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8a90eb2c7b15c/Tohoku U/PhD/Thesis/Github/chapters_code/Chaper_4/"/>
    </mc:Choice>
  </mc:AlternateContent>
  <xr:revisionPtr revIDLastSave="5" documentId="13_ncr:1_{33A970EB-AD38-024C-8605-6024B958306D}" xr6:coauthVersionLast="47" xr6:coauthVersionMax="47" xr10:uidLastSave="{6C47813B-FD0F-D846-BC36-03D8C3C64774}"/>
  <bookViews>
    <workbookView xWindow="0" yWindow="500" windowWidth="28800" windowHeight="14120" xr2:uid="{4A1978AF-F529-3841-830F-77A89E56246C}"/>
  </bookViews>
  <sheets>
    <sheet name="Similarity" sheetId="20" r:id="rId1"/>
    <sheet name="prm" sheetId="9" r:id="rId2"/>
    <sheet name="Asia" sheetId="2" r:id="rId3"/>
    <sheet name="Sports" sheetId="7" r:id="rId4"/>
    <sheet name="Insurance" sheetId="1" r:id="rId5"/>
    <sheet name="Alarm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1" i="20" l="1"/>
  <c r="J181" i="20" s="1"/>
  <c r="G181" i="20"/>
  <c r="F181" i="20"/>
  <c r="H181" i="20" s="1"/>
  <c r="E181" i="20"/>
  <c r="J180" i="20"/>
  <c r="I180" i="20"/>
  <c r="G180" i="20"/>
  <c r="F180" i="20"/>
  <c r="H180" i="20" s="1"/>
  <c r="E180" i="20"/>
  <c r="I179" i="20"/>
  <c r="J179" i="20" s="1"/>
  <c r="H179" i="20"/>
  <c r="G179" i="20"/>
  <c r="F179" i="20"/>
  <c r="E179" i="20"/>
  <c r="I178" i="20"/>
  <c r="J178" i="20" s="1"/>
  <c r="G178" i="20"/>
  <c r="F178" i="20"/>
  <c r="H178" i="20" s="1"/>
  <c r="E178" i="20"/>
  <c r="I177" i="20"/>
  <c r="J177" i="20" s="1"/>
  <c r="G177" i="20"/>
  <c r="F177" i="20"/>
  <c r="E177" i="20"/>
  <c r="I176" i="20"/>
  <c r="J176" i="20" s="1"/>
  <c r="G176" i="20"/>
  <c r="F176" i="20"/>
  <c r="H176" i="20" s="1"/>
  <c r="E176" i="20"/>
  <c r="I175" i="20"/>
  <c r="J175" i="20" s="1"/>
  <c r="H175" i="20"/>
  <c r="G175" i="20"/>
  <c r="F175" i="20"/>
  <c r="E175" i="20"/>
  <c r="I174" i="20"/>
  <c r="J174" i="20" s="1"/>
  <c r="G174" i="20"/>
  <c r="F174" i="20"/>
  <c r="H174" i="20" s="1"/>
  <c r="E174" i="20"/>
  <c r="I173" i="20"/>
  <c r="J173" i="20" s="1"/>
  <c r="G173" i="20"/>
  <c r="F173" i="20"/>
  <c r="H173" i="20" s="1"/>
  <c r="E173" i="20"/>
  <c r="I172" i="20"/>
  <c r="J172" i="20" s="1"/>
  <c r="G172" i="20"/>
  <c r="F172" i="20"/>
  <c r="E172" i="20"/>
  <c r="I171" i="20"/>
  <c r="J171" i="20" s="1"/>
  <c r="G171" i="20"/>
  <c r="H171" i="20" s="1"/>
  <c r="F171" i="20"/>
  <c r="E171" i="20"/>
  <c r="J170" i="20"/>
  <c r="I170" i="20"/>
  <c r="G170" i="20"/>
  <c r="F170" i="20"/>
  <c r="H170" i="20" s="1"/>
  <c r="E170" i="20"/>
  <c r="I169" i="20"/>
  <c r="J169" i="20" s="1"/>
  <c r="H169" i="20"/>
  <c r="G169" i="20"/>
  <c r="F169" i="20"/>
  <c r="E169" i="20"/>
  <c r="I168" i="20"/>
  <c r="J168" i="20" s="1"/>
  <c r="G168" i="20"/>
  <c r="F168" i="20"/>
  <c r="H168" i="20" s="1"/>
  <c r="E168" i="20"/>
  <c r="J167" i="20"/>
  <c r="I167" i="20"/>
  <c r="G167" i="20"/>
  <c r="H167" i="20" s="1"/>
  <c r="F167" i="20"/>
  <c r="E167" i="20"/>
  <c r="I166" i="20"/>
  <c r="J166" i="20" s="1"/>
  <c r="H166" i="20"/>
  <c r="G166" i="20"/>
  <c r="F166" i="20"/>
  <c r="E166" i="20"/>
  <c r="I165" i="20"/>
  <c r="J165" i="20" s="1"/>
  <c r="G165" i="20"/>
  <c r="F165" i="20"/>
  <c r="H165" i="20" s="1"/>
  <c r="E165" i="20"/>
  <c r="I164" i="20"/>
  <c r="J164" i="20" s="1"/>
  <c r="G164" i="20"/>
  <c r="F164" i="20"/>
  <c r="H164" i="20" s="1"/>
  <c r="E164" i="20"/>
  <c r="I163" i="20"/>
  <c r="J163" i="20" s="1"/>
  <c r="H163" i="20"/>
  <c r="G163" i="20"/>
  <c r="F163" i="20"/>
  <c r="E163" i="20"/>
  <c r="I162" i="20"/>
  <c r="J162" i="20" s="1"/>
  <c r="G162" i="20"/>
  <c r="H162" i="20" s="1"/>
  <c r="F162" i="20"/>
  <c r="E162" i="20"/>
  <c r="I161" i="20"/>
  <c r="J161" i="20" s="1"/>
  <c r="G161" i="20"/>
  <c r="F161" i="20"/>
  <c r="H161" i="20" s="1"/>
  <c r="E161" i="20"/>
  <c r="J160" i="20"/>
  <c r="I160" i="20"/>
  <c r="G160" i="20"/>
  <c r="F160" i="20"/>
  <c r="H160" i="20" s="1"/>
  <c r="E160" i="20"/>
  <c r="I159" i="20"/>
  <c r="J159" i="20" s="1"/>
  <c r="G159" i="20"/>
  <c r="H159" i="20" s="1"/>
  <c r="F159" i="20"/>
  <c r="E159" i="20"/>
  <c r="I158" i="20"/>
  <c r="J158" i="20" s="1"/>
  <c r="G158" i="20"/>
  <c r="F158" i="20"/>
  <c r="H158" i="20" s="1"/>
  <c r="E158" i="20"/>
  <c r="I157" i="20"/>
  <c r="J157" i="20" s="1"/>
  <c r="G157" i="20"/>
  <c r="F157" i="20"/>
  <c r="H157" i="20" s="1"/>
  <c r="E157" i="20"/>
  <c r="I156" i="20"/>
  <c r="J156" i="20" s="1"/>
  <c r="G156" i="20"/>
  <c r="F156" i="20"/>
  <c r="E156" i="20"/>
  <c r="I155" i="20"/>
  <c r="J155" i="20" s="1"/>
  <c r="G155" i="20"/>
  <c r="H155" i="20" s="1"/>
  <c r="F155" i="20"/>
  <c r="E155" i="20"/>
  <c r="J154" i="20"/>
  <c r="I154" i="20"/>
  <c r="G154" i="20"/>
  <c r="F154" i="20"/>
  <c r="H154" i="20" s="1"/>
  <c r="E154" i="20"/>
  <c r="I153" i="20"/>
  <c r="J153" i="20" s="1"/>
  <c r="H153" i="20"/>
  <c r="G153" i="20"/>
  <c r="F153" i="20"/>
  <c r="E153" i="20"/>
  <c r="I152" i="20"/>
  <c r="J152" i="20" s="1"/>
  <c r="G152" i="20"/>
  <c r="F152" i="20"/>
  <c r="H152" i="20" s="1"/>
  <c r="E152" i="20"/>
  <c r="J151" i="20"/>
  <c r="I151" i="20"/>
  <c r="G151" i="20"/>
  <c r="H151" i="20" s="1"/>
  <c r="F151" i="20"/>
  <c r="E151" i="20"/>
  <c r="I150" i="20"/>
  <c r="J150" i="20" s="1"/>
  <c r="H150" i="20"/>
  <c r="G150" i="20"/>
  <c r="F150" i="20"/>
  <c r="E150" i="20"/>
  <c r="I149" i="20"/>
  <c r="J149" i="20" s="1"/>
  <c r="G149" i="20"/>
  <c r="F149" i="20"/>
  <c r="H149" i="20" s="1"/>
  <c r="E149" i="20"/>
  <c r="I148" i="20"/>
  <c r="J148" i="20" s="1"/>
  <c r="G148" i="20"/>
  <c r="F148" i="20"/>
  <c r="H148" i="20" s="1"/>
  <c r="E148" i="20"/>
  <c r="I147" i="20"/>
  <c r="J147" i="20" s="1"/>
  <c r="H147" i="20"/>
  <c r="G147" i="20"/>
  <c r="F147" i="20"/>
  <c r="E147" i="20"/>
  <c r="I146" i="20"/>
  <c r="J146" i="20" s="1"/>
  <c r="G146" i="20"/>
  <c r="H146" i="20" s="1"/>
  <c r="F146" i="20"/>
  <c r="E146" i="20"/>
  <c r="I145" i="20"/>
  <c r="J145" i="20" s="1"/>
  <c r="G145" i="20"/>
  <c r="F145" i="20"/>
  <c r="H145" i="20" s="1"/>
  <c r="E145" i="20"/>
  <c r="J144" i="20"/>
  <c r="I144" i="20"/>
  <c r="G144" i="20"/>
  <c r="F144" i="20"/>
  <c r="H144" i="20" s="1"/>
  <c r="E144" i="20"/>
  <c r="I143" i="20"/>
  <c r="J143" i="20" s="1"/>
  <c r="G143" i="20"/>
  <c r="H143" i="20" s="1"/>
  <c r="F143" i="20"/>
  <c r="E143" i="20"/>
  <c r="I142" i="20"/>
  <c r="J142" i="20" s="1"/>
  <c r="G142" i="20"/>
  <c r="F142" i="20"/>
  <c r="H142" i="20" s="1"/>
  <c r="E142" i="20"/>
  <c r="I141" i="20"/>
  <c r="J141" i="20" s="1"/>
  <c r="G141" i="20"/>
  <c r="F141" i="20"/>
  <c r="H141" i="20" s="1"/>
  <c r="E141" i="20"/>
  <c r="I140" i="20"/>
  <c r="J140" i="20" s="1"/>
  <c r="G140" i="20"/>
  <c r="F140" i="20"/>
  <c r="E140" i="20"/>
  <c r="I139" i="20"/>
  <c r="J139" i="20" s="1"/>
  <c r="G139" i="20"/>
  <c r="H139" i="20" s="1"/>
  <c r="F139" i="20"/>
  <c r="E139" i="20"/>
  <c r="J138" i="20"/>
  <c r="I138" i="20"/>
  <c r="G138" i="20"/>
  <c r="F138" i="20"/>
  <c r="H138" i="20" s="1"/>
  <c r="E138" i="20"/>
  <c r="I137" i="20"/>
  <c r="J137" i="20" s="1"/>
  <c r="H137" i="20"/>
  <c r="G137" i="20"/>
  <c r="F137" i="20"/>
  <c r="E137" i="20"/>
  <c r="I136" i="20"/>
  <c r="J136" i="20" s="1"/>
  <c r="G136" i="20"/>
  <c r="F136" i="20"/>
  <c r="H136" i="20" s="1"/>
  <c r="E136" i="20"/>
  <c r="J135" i="20"/>
  <c r="I135" i="20"/>
  <c r="G135" i="20"/>
  <c r="H135" i="20" s="1"/>
  <c r="F135" i="20"/>
  <c r="E135" i="20"/>
  <c r="I134" i="20"/>
  <c r="J134" i="20" s="1"/>
  <c r="H134" i="20"/>
  <c r="G134" i="20"/>
  <c r="F134" i="20"/>
  <c r="E134" i="20"/>
  <c r="I133" i="20"/>
  <c r="J133" i="20" s="1"/>
  <c r="G133" i="20"/>
  <c r="F133" i="20"/>
  <c r="H133" i="20" s="1"/>
  <c r="E133" i="20"/>
  <c r="I132" i="20"/>
  <c r="J132" i="20" s="1"/>
  <c r="G132" i="20"/>
  <c r="F132" i="20"/>
  <c r="H132" i="20" s="1"/>
  <c r="E132" i="20"/>
  <c r="I131" i="20"/>
  <c r="J131" i="20" s="1"/>
  <c r="H131" i="20"/>
  <c r="G131" i="20"/>
  <c r="F131" i="20"/>
  <c r="E131" i="20"/>
  <c r="I130" i="20"/>
  <c r="J130" i="20" s="1"/>
  <c r="G130" i="20"/>
  <c r="H130" i="20" s="1"/>
  <c r="F130" i="20"/>
  <c r="E130" i="20"/>
  <c r="I129" i="20"/>
  <c r="J129" i="20" s="1"/>
  <c r="G129" i="20"/>
  <c r="F129" i="20"/>
  <c r="H129" i="20" s="1"/>
  <c r="E129" i="20"/>
  <c r="J128" i="20"/>
  <c r="I128" i="20"/>
  <c r="G128" i="20"/>
  <c r="F128" i="20"/>
  <c r="H128" i="20" s="1"/>
  <c r="E128" i="20"/>
  <c r="I127" i="20"/>
  <c r="J127" i="20" s="1"/>
  <c r="G127" i="20"/>
  <c r="H127" i="20" s="1"/>
  <c r="F127" i="20"/>
  <c r="E127" i="20"/>
  <c r="I126" i="20"/>
  <c r="J126" i="20" s="1"/>
  <c r="G126" i="20"/>
  <c r="F126" i="20"/>
  <c r="H126" i="20" s="1"/>
  <c r="E126" i="20"/>
  <c r="I125" i="20"/>
  <c r="J125" i="20" s="1"/>
  <c r="G125" i="20"/>
  <c r="F125" i="20"/>
  <c r="H125" i="20" s="1"/>
  <c r="E125" i="20"/>
  <c r="I124" i="20"/>
  <c r="J124" i="20" s="1"/>
  <c r="G124" i="20"/>
  <c r="F124" i="20"/>
  <c r="E124" i="20"/>
  <c r="I123" i="20"/>
  <c r="J123" i="20" s="1"/>
  <c r="G123" i="20"/>
  <c r="H123" i="20" s="1"/>
  <c r="F123" i="20"/>
  <c r="E123" i="20"/>
  <c r="J122" i="20"/>
  <c r="I122" i="20"/>
  <c r="G122" i="20"/>
  <c r="F122" i="20"/>
  <c r="H122" i="20" s="1"/>
  <c r="E122" i="20"/>
  <c r="I121" i="20"/>
  <c r="J121" i="20" s="1"/>
  <c r="H121" i="20"/>
  <c r="G121" i="20"/>
  <c r="F121" i="20"/>
  <c r="E121" i="20"/>
  <c r="I120" i="20"/>
  <c r="J120" i="20" s="1"/>
  <c r="G120" i="20"/>
  <c r="F120" i="20"/>
  <c r="H120" i="20" s="1"/>
  <c r="E120" i="20"/>
  <c r="J119" i="20"/>
  <c r="I119" i="20"/>
  <c r="G119" i="20"/>
  <c r="H119" i="20" s="1"/>
  <c r="F119" i="20"/>
  <c r="E119" i="20"/>
  <c r="I118" i="20"/>
  <c r="J118" i="20" s="1"/>
  <c r="H118" i="20"/>
  <c r="G118" i="20"/>
  <c r="F118" i="20"/>
  <c r="E118" i="20"/>
  <c r="I117" i="20"/>
  <c r="J117" i="20" s="1"/>
  <c r="G117" i="20"/>
  <c r="F117" i="20"/>
  <c r="H117" i="20" s="1"/>
  <c r="E117" i="20"/>
  <c r="I116" i="20"/>
  <c r="J116" i="20" s="1"/>
  <c r="G116" i="20"/>
  <c r="F116" i="20"/>
  <c r="H116" i="20" s="1"/>
  <c r="E116" i="20"/>
  <c r="I115" i="20"/>
  <c r="J115" i="20" s="1"/>
  <c r="H115" i="20"/>
  <c r="G115" i="20"/>
  <c r="F115" i="20"/>
  <c r="E115" i="20"/>
  <c r="I114" i="20"/>
  <c r="J114" i="20" s="1"/>
  <c r="G114" i="20"/>
  <c r="H114" i="20" s="1"/>
  <c r="F114" i="20"/>
  <c r="E114" i="20"/>
  <c r="I113" i="20"/>
  <c r="J113" i="20" s="1"/>
  <c r="G113" i="20"/>
  <c r="F113" i="20"/>
  <c r="H113" i="20" s="1"/>
  <c r="E113" i="20"/>
  <c r="J112" i="20"/>
  <c r="I112" i="20"/>
  <c r="G112" i="20"/>
  <c r="F112" i="20"/>
  <c r="H112" i="20" s="1"/>
  <c r="E112" i="20"/>
  <c r="I111" i="20"/>
  <c r="J111" i="20" s="1"/>
  <c r="G111" i="20"/>
  <c r="H111" i="20" s="1"/>
  <c r="F111" i="20"/>
  <c r="E111" i="20"/>
  <c r="I110" i="20"/>
  <c r="J110" i="20" s="1"/>
  <c r="G110" i="20"/>
  <c r="F110" i="20"/>
  <c r="H110" i="20" s="1"/>
  <c r="E110" i="20"/>
  <c r="I109" i="20"/>
  <c r="J109" i="20" s="1"/>
  <c r="G109" i="20"/>
  <c r="F109" i="20"/>
  <c r="H109" i="20" s="1"/>
  <c r="E109" i="20"/>
  <c r="I108" i="20"/>
  <c r="J108" i="20" s="1"/>
  <c r="G108" i="20"/>
  <c r="F108" i="20"/>
  <c r="E108" i="20"/>
  <c r="I107" i="20"/>
  <c r="J107" i="20" s="1"/>
  <c r="G107" i="20"/>
  <c r="H107" i="20" s="1"/>
  <c r="F107" i="20"/>
  <c r="E107" i="20"/>
  <c r="J106" i="20"/>
  <c r="I106" i="20"/>
  <c r="G106" i="20"/>
  <c r="F106" i="20"/>
  <c r="H106" i="20" s="1"/>
  <c r="E106" i="20"/>
  <c r="I105" i="20"/>
  <c r="J105" i="20" s="1"/>
  <c r="H105" i="20"/>
  <c r="G105" i="20"/>
  <c r="F105" i="20"/>
  <c r="E105" i="20"/>
  <c r="I104" i="20"/>
  <c r="J104" i="20" s="1"/>
  <c r="G104" i="20"/>
  <c r="F104" i="20"/>
  <c r="H104" i="20" s="1"/>
  <c r="E104" i="20"/>
  <c r="J103" i="20"/>
  <c r="I103" i="20"/>
  <c r="G103" i="20"/>
  <c r="H103" i="20" s="1"/>
  <c r="F103" i="20"/>
  <c r="E103" i="20"/>
  <c r="I102" i="20"/>
  <c r="J102" i="20" s="1"/>
  <c r="H102" i="20"/>
  <c r="G102" i="20"/>
  <c r="F102" i="20"/>
  <c r="E102" i="20"/>
  <c r="I101" i="20"/>
  <c r="J101" i="20" s="1"/>
  <c r="G101" i="20"/>
  <c r="F101" i="20"/>
  <c r="H101" i="20" s="1"/>
  <c r="E101" i="20"/>
  <c r="J100" i="20"/>
  <c r="I100" i="20"/>
  <c r="G100" i="20"/>
  <c r="F100" i="20"/>
  <c r="H100" i="20" s="1"/>
  <c r="E100" i="20"/>
  <c r="I99" i="20"/>
  <c r="J99" i="20" s="1"/>
  <c r="H99" i="20"/>
  <c r="G99" i="20"/>
  <c r="F99" i="20"/>
  <c r="E99" i="20"/>
  <c r="I98" i="20"/>
  <c r="J98" i="20" s="1"/>
  <c r="G98" i="20"/>
  <c r="H98" i="20" s="1"/>
  <c r="F98" i="20"/>
  <c r="E98" i="20"/>
  <c r="I97" i="20"/>
  <c r="J97" i="20" s="1"/>
  <c r="G97" i="20"/>
  <c r="F97" i="20"/>
  <c r="H97" i="20" s="1"/>
  <c r="E97" i="20"/>
  <c r="J96" i="20"/>
  <c r="I96" i="20"/>
  <c r="G96" i="20"/>
  <c r="F96" i="20"/>
  <c r="E96" i="20"/>
  <c r="I95" i="20"/>
  <c r="J95" i="20" s="1"/>
  <c r="G95" i="20"/>
  <c r="H95" i="20" s="1"/>
  <c r="F95" i="20"/>
  <c r="E95" i="20"/>
  <c r="I94" i="20"/>
  <c r="J94" i="20" s="1"/>
  <c r="G94" i="20"/>
  <c r="F94" i="20"/>
  <c r="H94" i="20" s="1"/>
  <c r="E94" i="20"/>
  <c r="I93" i="20"/>
  <c r="J93" i="20" s="1"/>
  <c r="G93" i="20"/>
  <c r="F93" i="20"/>
  <c r="H93" i="20" s="1"/>
  <c r="E93" i="20"/>
  <c r="I92" i="20"/>
  <c r="J92" i="20" s="1"/>
  <c r="G92" i="20"/>
  <c r="F92" i="20"/>
  <c r="E92" i="20"/>
  <c r="I91" i="20"/>
  <c r="J91" i="20" s="1"/>
  <c r="G91" i="20"/>
  <c r="H91" i="20" s="1"/>
  <c r="F91" i="20"/>
  <c r="E91" i="20"/>
  <c r="J90" i="20"/>
  <c r="I90" i="20"/>
  <c r="G90" i="20"/>
  <c r="F90" i="20"/>
  <c r="H90" i="20" s="1"/>
  <c r="E90" i="20"/>
  <c r="I89" i="20"/>
  <c r="J89" i="20" s="1"/>
  <c r="H89" i="20"/>
  <c r="G89" i="20"/>
  <c r="F89" i="20"/>
  <c r="E89" i="20"/>
  <c r="I88" i="20"/>
  <c r="J88" i="20" s="1"/>
  <c r="G88" i="20"/>
  <c r="F88" i="20"/>
  <c r="H88" i="20" s="1"/>
  <c r="E88" i="20"/>
  <c r="J87" i="20"/>
  <c r="I87" i="20"/>
  <c r="G87" i="20"/>
  <c r="H87" i="20" s="1"/>
  <c r="F87" i="20"/>
  <c r="E87" i="20"/>
  <c r="I86" i="20"/>
  <c r="J86" i="20" s="1"/>
  <c r="H86" i="20"/>
  <c r="G86" i="20"/>
  <c r="F86" i="20"/>
  <c r="E86" i="20"/>
  <c r="I85" i="20"/>
  <c r="J85" i="20" s="1"/>
  <c r="G85" i="20"/>
  <c r="F85" i="20"/>
  <c r="H85" i="20" s="1"/>
  <c r="E85" i="20"/>
  <c r="J84" i="20"/>
  <c r="I84" i="20"/>
  <c r="G84" i="20"/>
  <c r="F84" i="20"/>
  <c r="H84" i="20" s="1"/>
  <c r="E84" i="20"/>
  <c r="I83" i="20"/>
  <c r="J83" i="20" s="1"/>
  <c r="H83" i="20"/>
  <c r="G83" i="20"/>
  <c r="F83" i="20"/>
  <c r="E83" i="20"/>
  <c r="I82" i="20"/>
  <c r="J82" i="20" s="1"/>
  <c r="G82" i="20"/>
  <c r="H82" i="20" s="1"/>
  <c r="F82" i="20"/>
  <c r="E82" i="20"/>
  <c r="I81" i="20"/>
  <c r="J81" i="20" s="1"/>
  <c r="G81" i="20"/>
  <c r="F81" i="20"/>
  <c r="H81" i="20" s="1"/>
  <c r="E81" i="20"/>
  <c r="J80" i="20"/>
  <c r="I80" i="20"/>
  <c r="G80" i="20"/>
  <c r="F80" i="20"/>
  <c r="E80" i="20"/>
  <c r="I79" i="20"/>
  <c r="J79" i="20" s="1"/>
  <c r="G79" i="20"/>
  <c r="H79" i="20" s="1"/>
  <c r="F79" i="20"/>
  <c r="E79" i="20"/>
  <c r="I78" i="20"/>
  <c r="J78" i="20" s="1"/>
  <c r="G78" i="20"/>
  <c r="F78" i="20"/>
  <c r="H78" i="20" s="1"/>
  <c r="E78" i="20"/>
  <c r="I77" i="20"/>
  <c r="J77" i="20" s="1"/>
  <c r="G77" i="20"/>
  <c r="F77" i="20"/>
  <c r="H77" i="20" s="1"/>
  <c r="E77" i="20"/>
  <c r="I76" i="20"/>
  <c r="J76" i="20" s="1"/>
  <c r="G76" i="20"/>
  <c r="F76" i="20"/>
  <c r="E76" i="20"/>
  <c r="I75" i="20"/>
  <c r="J75" i="20" s="1"/>
  <c r="G75" i="20"/>
  <c r="H75" i="20" s="1"/>
  <c r="F75" i="20"/>
  <c r="E75" i="20"/>
  <c r="J74" i="20"/>
  <c r="I74" i="20"/>
  <c r="G74" i="20"/>
  <c r="F74" i="20"/>
  <c r="H74" i="20" s="1"/>
  <c r="E74" i="20"/>
  <c r="I73" i="20"/>
  <c r="J73" i="20" s="1"/>
  <c r="H73" i="20"/>
  <c r="G73" i="20"/>
  <c r="F73" i="20"/>
  <c r="E73" i="20"/>
  <c r="I72" i="20"/>
  <c r="J72" i="20" s="1"/>
  <c r="G72" i="20"/>
  <c r="F72" i="20"/>
  <c r="H72" i="20" s="1"/>
  <c r="E72" i="20"/>
  <c r="J71" i="20"/>
  <c r="I71" i="20"/>
  <c r="G71" i="20"/>
  <c r="H71" i="20" s="1"/>
  <c r="F71" i="20"/>
  <c r="E71" i="20"/>
  <c r="I70" i="20"/>
  <c r="J70" i="20" s="1"/>
  <c r="H70" i="20"/>
  <c r="G70" i="20"/>
  <c r="F70" i="20"/>
  <c r="E70" i="20"/>
  <c r="I69" i="20"/>
  <c r="J69" i="20" s="1"/>
  <c r="G69" i="20"/>
  <c r="F69" i="20"/>
  <c r="H69" i="20" s="1"/>
  <c r="E69" i="20"/>
  <c r="J68" i="20"/>
  <c r="I68" i="20"/>
  <c r="G68" i="20"/>
  <c r="F68" i="20"/>
  <c r="H68" i="20" s="1"/>
  <c r="E68" i="20"/>
  <c r="I67" i="20"/>
  <c r="J67" i="20" s="1"/>
  <c r="H67" i="20"/>
  <c r="G67" i="20"/>
  <c r="F67" i="20"/>
  <c r="E67" i="20"/>
  <c r="I66" i="20"/>
  <c r="J66" i="20" s="1"/>
  <c r="G66" i="20"/>
  <c r="H66" i="20" s="1"/>
  <c r="F66" i="20"/>
  <c r="E66" i="20"/>
  <c r="I65" i="20"/>
  <c r="J65" i="20" s="1"/>
  <c r="G65" i="20"/>
  <c r="F65" i="20"/>
  <c r="H65" i="20" s="1"/>
  <c r="E65" i="20"/>
  <c r="J64" i="20"/>
  <c r="I64" i="20"/>
  <c r="G64" i="20"/>
  <c r="F64" i="20"/>
  <c r="E64" i="20"/>
  <c r="I63" i="20"/>
  <c r="J63" i="20" s="1"/>
  <c r="G63" i="20"/>
  <c r="H63" i="20" s="1"/>
  <c r="F63" i="20"/>
  <c r="E63" i="20"/>
  <c r="I62" i="20"/>
  <c r="J62" i="20" s="1"/>
  <c r="G62" i="20"/>
  <c r="F62" i="20"/>
  <c r="H62" i="20" s="1"/>
  <c r="E62" i="20"/>
  <c r="I61" i="20"/>
  <c r="J61" i="20" s="1"/>
  <c r="G61" i="20"/>
  <c r="F61" i="20"/>
  <c r="H61" i="20" s="1"/>
  <c r="E61" i="20"/>
  <c r="I60" i="20"/>
  <c r="J60" i="20" s="1"/>
  <c r="G60" i="20"/>
  <c r="F60" i="20"/>
  <c r="E60" i="20"/>
  <c r="I59" i="20"/>
  <c r="J59" i="20" s="1"/>
  <c r="G59" i="20"/>
  <c r="H59" i="20" s="1"/>
  <c r="F59" i="20"/>
  <c r="E59" i="20"/>
  <c r="J58" i="20"/>
  <c r="I58" i="20"/>
  <c r="G58" i="20"/>
  <c r="F58" i="20"/>
  <c r="H58" i="20" s="1"/>
  <c r="E58" i="20"/>
  <c r="I57" i="20"/>
  <c r="J57" i="20" s="1"/>
  <c r="H57" i="20"/>
  <c r="G57" i="20"/>
  <c r="F57" i="20"/>
  <c r="E57" i="20"/>
  <c r="I56" i="20"/>
  <c r="J56" i="20" s="1"/>
  <c r="G56" i="20"/>
  <c r="F56" i="20"/>
  <c r="H56" i="20" s="1"/>
  <c r="E56" i="20"/>
  <c r="J55" i="20"/>
  <c r="I55" i="20"/>
  <c r="G55" i="20"/>
  <c r="H55" i="20" s="1"/>
  <c r="F55" i="20"/>
  <c r="E55" i="20"/>
  <c r="I54" i="20"/>
  <c r="J54" i="20" s="1"/>
  <c r="H54" i="20"/>
  <c r="G54" i="20"/>
  <c r="F54" i="20"/>
  <c r="E54" i="20"/>
  <c r="I53" i="20"/>
  <c r="J53" i="20" s="1"/>
  <c r="G53" i="20"/>
  <c r="F53" i="20"/>
  <c r="H53" i="20" s="1"/>
  <c r="E53" i="20"/>
  <c r="J52" i="20"/>
  <c r="I52" i="20"/>
  <c r="G52" i="20"/>
  <c r="F52" i="20"/>
  <c r="H52" i="20" s="1"/>
  <c r="E52" i="20"/>
  <c r="I51" i="20"/>
  <c r="J51" i="20" s="1"/>
  <c r="H51" i="20"/>
  <c r="G51" i="20"/>
  <c r="F51" i="20"/>
  <c r="E51" i="20"/>
  <c r="I50" i="20"/>
  <c r="J50" i="20" s="1"/>
  <c r="G50" i="20"/>
  <c r="H50" i="20" s="1"/>
  <c r="F50" i="20"/>
  <c r="E50" i="20"/>
  <c r="I49" i="20"/>
  <c r="J49" i="20" s="1"/>
  <c r="G49" i="20"/>
  <c r="F49" i="20"/>
  <c r="H49" i="20" s="1"/>
  <c r="E49" i="20"/>
  <c r="J48" i="20"/>
  <c r="I48" i="20"/>
  <c r="G48" i="20"/>
  <c r="F48" i="20"/>
  <c r="E48" i="20"/>
  <c r="I47" i="20"/>
  <c r="J47" i="20" s="1"/>
  <c r="G47" i="20"/>
  <c r="H47" i="20" s="1"/>
  <c r="F47" i="20"/>
  <c r="E47" i="20"/>
  <c r="I46" i="20"/>
  <c r="J46" i="20" s="1"/>
  <c r="G46" i="20"/>
  <c r="F46" i="20"/>
  <c r="H46" i="20" s="1"/>
  <c r="E46" i="20"/>
  <c r="I45" i="20"/>
  <c r="J45" i="20" s="1"/>
  <c r="G45" i="20"/>
  <c r="F45" i="20"/>
  <c r="H45" i="20" s="1"/>
  <c r="E45" i="20"/>
  <c r="I44" i="20"/>
  <c r="J44" i="20" s="1"/>
  <c r="G44" i="20"/>
  <c r="F44" i="20"/>
  <c r="E44" i="20"/>
  <c r="I43" i="20"/>
  <c r="J43" i="20" s="1"/>
  <c r="G43" i="20"/>
  <c r="H43" i="20" s="1"/>
  <c r="F43" i="20"/>
  <c r="E43" i="20"/>
  <c r="J42" i="20"/>
  <c r="I42" i="20"/>
  <c r="G42" i="20"/>
  <c r="F42" i="20"/>
  <c r="H42" i="20" s="1"/>
  <c r="E42" i="20"/>
  <c r="I41" i="20"/>
  <c r="J41" i="20" s="1"/>
  <c r="H41" i="20"/>
  <c r="G41" i="20"/>
  <c r="F41" i="20"/>
  <c r="E41" i="20"/>
  <c r="I40" i="20"/>
  <c r="J40" i="20" s="1"/>
  <c r="G40" i="20"/>
  <c r="F40" i="20"/>
  <c r="H40" i="20" s="1"/>
  <c r="E40" i="20"/>
  <c r="J39" i="20"/>
  <c r="I39" i="20"/>
  <c r="G39" i="20"/>
  <c r="H39" i="20" s="1"/>
  <c r="F39" i="20"/>
  <c r="E39" i="20"/>
  <c r="I38" i="20"/>
  <c r="J38" i="20" s="1"/>
  <c r="H38" i="20"/>
  <c r="G38" i="20"/>
  <c r="F38" i="20"/>
  <c r="E38" i="20"/>
  <c r="I37" i="20"/>
  <c r="J37" i="20" s="1"/>
  <c r="G37" i="20"/>
  <c r="F37" i="20"/>
  <c r="H37" i="20" s="1"/>
  <c r="E37" i="20"/>
  <c r="J36" i="20"/>
  <c r="I36" i="20"/>
  <c r="G36" i="20"/>
  <c r="F36" i="20"/>
  <c r="H36" i="20" s="1"/>
  <c r="E36" i="20"/>
  <c r="I35" i="20"/>
  <c r="J35" i="20" s="1"/>
  <c r="H35" i="20"/>
  <c r="G35" i="20"/>
  <c r="F35" i="20"/>
  <c r="E35" i="20"/>
  <c r="I34" i="20"/>
  <c r="J34" i="20" s="1"/>
  <c r="G34" i="20"/>
  <c r="H34" i="20" s="1"/>
  <c r="F34" i="20"/>
  <c r="E34" i="20"/>
  <c r="I33" i="20"/>
  <c r="J33" i="20" s="1"/>
  <c r="G33" i="20"/>
  <c r="F33" i="20"/>
  <c r="H33" i="20" s="1"/>
  <c r="E33" i="20"/>
  <c r="J32" i="20"/>
  <c r="I32" i="20"/>
  <c r="G32" i="20"/>
  <c r="F32" i="20"/>
  <c r="E32" i="20"/>
  <c r="I31" i="20"/>
  <c r="J31" i="20" s="1"/>
  <c r="G31" i="20"/>
  <c r="H31" i="20" s="1"/>
  <c r="F31" i="20"/>
  <c r="E31" i="20"/>
  <c r="I30" i="20"/>
  <c r="J30" i="20" s="1"/>
  <c r="G30" i="20"/>
  <c r="F30" i="20"/>
  <c r="H30" i="20" s="1"/>
  <c r="E30" i="20"/>
  <c r="I29" i="20"/>
  <c r="J29" i="20" s="1"/>
  <c r="G29" i="20"/>
  <c r="F29" i="20"/>
  <c r="H29" i="20" s="1"/>
  <c r="E29" i="20"/>
  <c r="I28" i="20"/>
  <c r="J28" i="20" s="1"/>
  <c r="G28" i="20"/>
  <c r="F28" i="20"/>
  <c r="E28" i="20"/>
  <c r="I27" i="20"/>
  <c r="J27" i="20" s="1"/>
  <c r="G27" i="20"/>
  <c r="H27" i="20" s="1"/>
  <c r="F27" i="20"/>
  <c r="E27" i="20"/>
  <c r="J26" i="20"/>
  <c r="I26" i="20"/>
  <c r="G26" i="20"/>
  <c r="F26" i="20"/>
  <c r="H26" i="20" s="1"/>
  <c r="E26" i="20"/>
  <c r="I25" i="20"/>
  <c r="J25" i="20" s="1"/>
  <c r="H25" i="20"/>
  <c r="G25" i="20"/>
  <c r="F25" i="20"/>
  <c r="E25" i="20"/>
  <c r="I24" i="20"/>
  <c r="J24" i="20" s="1"/>
  <c r="G24" i="20"/>
  <c r="F24" i="20"/>
  <c r="H24" i="20" s="1"/>
  <c r="E24" i="20"/>
  <c r="J23" i="20"/>
  <c r="I23" i="20"/>
  <c r="G23" i="20"/>
  <c r="H23" i="20" s="1"/>
  <c r="F23" i="20"/>
  <c r="E23" i="20"/>
  <c r="I22" i="20"/>
  <c r="J22" i="20" s="1"/>
  <c r="H22" i="20"/>
  <c r="G22" i="20"/>
  <c r="F22" i="20"/>
  <c r="E22" i="20"/>
  <c r="I21" i="20"/>
  <c r="J21" i="20" s="1"/>
  <c r="G21" i="20"/>
  <c r="F21" i="20"/>
  <c r="H21" i="20" s="1"/>
  <c r="E21" i="20"/>
  <c r="J20" i="20"/>
  <c r="I20" i="20"/>
  <c r="G20" i="20"/>
  <c r="F20" i="20"/>
  <c r="H20" i="20" s="1"/>
  <c r="E20" i="20"/>
  <c r="I19" i="20"/>
  <c r="J19" i="20" s="1"/>
  <c r="H19" i="20"/>
  <c r="G19" i="20"/>
  <c r="F19" i="20"/>
  <c r="E19" i="20"/>
  <c r="I18" i="20"/>
  <c r="J18" i="20" s="1"/>
  <c r="G18" i="20"/>
  <c r="H18" i="20" s="1"/>
  <c r="F18" i="20"/>
  <c r="E18" i="20"/>
  <c r="I17" i="20"/>
  <c r="J17" i="20" s="1"/>
  <c r="G17" i="20"/>
  <c r="F17" i="20"/>
  <c r="H17" i="20" s="1"/>
  <c r="E17" i="20"/>
  <c r="J16" i="20"/>
  <c r="I16" i="20"/>
  <c r="G16" i="20"/>
  <c r="F16" i="20"/>
  <c r="E16" i="20"/>
  <c r="I15" i="20"/>
  <c r="J15" i="20" s="1"/>
  <c r="G15" i="20"/>
  <c r="H15" i="20" s="1"/>
  <c r="F15" i="20"/>
  <c r="E15" i="20"/>
  <c r="I14" i="20"/>
  <c r="J14" i="20" s="1"/>
  <c r="G14" i="20"/>
  <c r="F14" i="20"/>
  <c r="H14" i="20" s="1"/>
  <c r="E14" i="20"/>
  <c r="I13" i="20"/>
  <c r="J13" i="20" s="1"/>
  <c r="G13" i="20"/>
  <c r="F13" i="20"/>
  <c r="H13" i="20" s="1"/>
  <c r="E13" i="20"/>
  <c r="I12" i="20"/>
  <c r="J12" i="20" s="1"/>
  <c r="H12" i="20"/>
  <c r="G12" i="20"/>
  <c r="F12" i="20"/>
  <c r="E12" i="20"/>
  <c r="I11" i="20"/>
  <c r="J11" i="20" s="1"/>
  <c r="G11" i="20"/>
  <c r="F11" i="20"/>
  <c r="H11" i="20" s="1"/>
  <c r="E11" i="20"/>
  <c r="J10" i="20"/>
  <c r="I10" i="20"/>
  <c r="G10" i="20"/>
  <c r="F10" i="20"/>
  <c r="H10" i="20" s="1"/>
  <c r="E10" i="20"/>
  <c r="J9" i="20"/>
  <c r="I9" i="20"/>
  <c r="G9" i="20"/>
  <c r="F9" i="20"/>
  <c r="H9" i="20" s="1"/>
  <c r="E9" i="20"/>
  <c r="I8" i="20"/>
  <c r="J8" i="20" s="1"/>
  <c r="H8" i="20"/>
  <c r="G8" i="20"/>
  <c r="F8" i="20"/>
  <c r="E8" i="20"/>
  <c r="I7" i="20"/>
  <c r="J7" i="20" s="1"/>
  <c r="G7" i="20"/>
  <c r="F7" i="20"/>
  <c r="H7" i="20" s="1"/>
  <c r="E7" i="20"/>
  <c r="J6" i="20"/>
  <c r="I6" i="20"/>
  <c r="G6" i="20"/>
  <c r="F6" i="20"/>
  <c r="H6" i="20" s="1"/>
  <c r="E6" i="20"/>
  <c r="J5" i="20"/>
  <c r="I5" i="20"/>
  <c r="G5" i="20"/>
  <c r="F5" i="20"/>
  <c r="H5" i="20" s="1"/>
  <c r="E5" i="20"/>
  <c r="I4" i="20"/>
  <c r="J4" i="20" s="1"/>
  <c r="H4" i="20"/>
  <c r="G4" i="20"/>
  <c r="F4" i="20"/>
  <c r="E4" i="20"/>
  <c r="I3" i="20"/>
  <c r="J3" i="20" s="1"/>
  <c r="G3" i="20"/>
  <c r="F3" i="20"/>
  <c r="H3" i="20" s="1"/>
  <c r="E3" i="20"/>
  <c r="J2" i="20"/>
  <c r="I2" i="20"/>
  <c r="G2" i="20"/>
  <c r="F2" i="20"/>
  <c r="H2" i="20" s="1"/>
  <c r="E2" i="20"/>
  <c r="M19" i="7"/>
  <c r="M18" i="7"/>
  <c r="M17" i="7"/>
  <c r="M16" i="7"/>
  <c r="M14" i="7"/>
  <c r="M13" i="7"/>
  <c r="M12" i="7"/>
  <c r="M11" i="7"/>
  <c r="M6" i="7"/>
  <c r="M9" i="7"/>
  <c r="M8" i="7"/>
  <c r="M7" i="7"/>
  <c r="T15" i="9"/>
  <c r="T10" i="9"/>
  <c r="T5" i="9"/>
  <c r="T4" i="9"/>
  <c r="H28" i="20" l="1"/>
  <c r="H44" i="20"/>
  <c r="H60" i="20"/>
  <c r="H76" i="20"/>
  <c r="H92" i="20"/>
  <c r="H108" i="20"/>
  <c r="H124" i="20"/>
  <c r="H140" i="20"/>
  <c r="H156" i="20"/>
  <c r="H172" i="20"/>
  <c r="H177" i="20"/>
  <c r="H16" i="20"/>
  <c r="H32" i="20"/>
  <c r="H48" i="20"/>
  <c r="H64" i="20"/>
  <c r="H80" i="20"/>
  <c r="H96" i="20"/>
  <c r="U12" i="7"/>
  <c r="U13" i="7"/>
  <c r="U14" i="7"/>
  <c r="M14" i="1"/>
  <c r="M13" i="1"/>
  <c r="M12" i="1"/>
  <c r="M11" i="1"/>
  <c r="L14" i="1"/>
  <c r="L13" i="1"/>
  <c r="L12" i="1"/>
  <c r="L11" i="1"/>
  <c r="N14" i="1"/>
  <c r="N13" i="1"/>
  <c r="N12" i="1"/>
  <c r="N11" i="1"/>
  <c r="N14" i="4"/>
  <c r="M14" i="4"/>
  <c r="L14" i="4"/>
  <c r="N13" i="4"/>
  <c r="M13" i="4"/>
  <c r="L13" i="4"/>
  <c r="N12" i="4"/>
  <c r="M12" i="4"/>
  <c r="L12" i="4"/>
  <c r="M11" i="4"/>
  <c r="C6" i="1"/>
  <c r="D6" i="1"/>
  <c r="E6" i="1"/>
  <c r="F6" i="1"/>
  <c r="M19" i="2"/>
  <c r="M18" i="2"/>
  <c r="U18" i="2" s="1"/>
  <c r="M17" i="2"/>
  <c r="M16" i="2"/>
  <c r="E19" i="2"/>
  <c r="E18" i="2"/>
  <c r="E17" i="2"/>
  <c r="E16" i="2"/>
  <c r="M14" i="2"/>
  <c r="M13" i="2"/>
  <c r="M12" i="2"/>
  <c r="M11" i="2"/>
  <c r="E14" i="2"/>
  <c r="E13" i="2"/>
  <c r="E12" i="2"/>
  <c r="E11" i="2"/>
  <c r="M9" i="2"/>
  <c r="M8" i="2"/>
  <c r="M7" i="2"/>
  <c r="M6" i="2"/>
  <c r="E9" i="2"/>
  <c r="E8" i="2"/>
  <c r="E7" i="2"/>
  <c r="E6" i="2"/>
  <c r="L19" i="2"/>
  <c r="L18" i="2"/>
  <c r="T18" i="2" s="1"/>
  <c r="L17" i="2"/>
  <c r="L16" i="2"/>
  <c r="D19" i="2"/>
  <c r="D18" i="2"/>
  <c r="D17" i="2"/>
  <c r="D16" i="2"/>
  <c r="L14" i="2"/>
  <c r="L13" i="2"/>
  <c r="L12" i="2"/>
  <c r="L11" i="2"/>
  <c r="D14" i="2"/>
  <c r="D13" i="2"/>
  <c r="D12" i="2"/>
  <c r="D11" i="2"/>
  <c r="L9" i="2"/>
  <c r="L8" i="2"/>
  <c r="L7" i="2"/>
  <c r="L6" i="2"/>
  <c r="D9" i="2"/>
  <c r="D8" i="2"/>
  <c r="D7" i="2"/>
  <c r="D6" i="2"/>
  <c r="N19" i="2"/>
  <c r="N18" i="2"/>
  <c r="V18" i="2" s="1"/>
  <c r="N17" i="2"/>
  <c r="N16" i="2"/>
  <c r="F19" i="2"/>
  <c r="F18" i="2"/>
  <c r="F17" i="2"/>
  <c r="F16" i="2"/>
  <c r="N14" i="2"/>
  <c r="N13" i="2"/>
  <c r="N12" i="2"/>
  <c r="N11" i="2"/>
  <c r="F14" i="2"/>
  <c r="F13" i="2"/>
  <c r="F12" i="2"/>
  <c r="F11" i="2"/>
  <c r="N9" i="2"/>
  <c r="N8" i="2"/>
  <c r="N7" i="2"/>
  <c r="N6" i="2"/>
  <c r="F9" i="2"/>
  <c r="F8" i="2"/>
  <c r="F7" i="2"/>
  <c r="F6" i="2"/>
  <c r="K15" i="2"/>
  <c r="K18" i="2" s="1"/>
  <c r="K10" i="2"/>
  <c r="K11" i="2" s="1"/>
  <c r="K5" i="2"/>
  <c r="K7" i="2" s="1"/>
  <c r="C15" i="2"/>
  <c r="C19" i="2" s="1"/>
  <c r="C10" i="2"/>
  <c r="C13" i="2" s="1"/>
  <c r="C5" i="2"/>
  <c r="C7" i="2" s="1"/>
  <c r="C4" i="2"/>
  <c r="E16" i="9"/>
  <c r="M16" i="9"/>
  <c r="V16" i="9" s="1"/>
  <c r="D16" i="9"/>
  <c r="E11" i="9"/>
  <c r="D11" i="9"/>
  <c r="E6" i="9"/>
  <c r="M6" i="9"/>
  <c r="D6" i="9"/>
  <c r="E16" i="4"/>
  <c r="M16" i="4"/>
  <c r="D16" i="4"/>
  <c r="E11" i="4"/>
  <c r="D11" i="4"/>
  <c r="M6" i="4"/>
  <c r="E6" i="4"/>
  <c r="D6" i="4"/>
  <c r="E16" i="1"/>
  <c r="M16" i="1"/>
  <c r="E11" i="1"/>
  <c r="D16" i="1"/>
  <c r="D11" i="1"/>
  <c r="L16" i="7"/>
  <c r="D16" i="7"/>
  <c r="L11" i="7"/>
  <c r="T11" i="7" s="1"/>
  <c r="L6" i="7"/>
  <c r="T6" i="7" s="1"/>
  <c r="F16" i="9"/>
  <c r="N16" i="9"/>
  <c r="W16" i="9" s="1"/>
  <c r="F11" i="9"/>
  <c r="N11" i="9"/>
  <c r="W11" i="9" s="1"/>
  <c r="F16" i="4"/>
  <c r="F11" i="4"/>
  <c r="E9" i="4"/>
  <c r="F6" i="4"/>
  <c r="F16" i="1"/>
  <c r="N16" i="1"/>
  <c r="F11" i="1"/>
  <c r="C3" i="1"/>
  <c r="N6" i="1"/>
  <c r="F16" i="7"/>
  <c r="N16" i="7"/>
  <c r="F11" i="7"/>
  <c r="N11" i="7"/>
  <c r="N6" i="7"/>
  <c r="G11" i="7"/>
  <c r="G16" i="9"/>
  <c r="G11" i="9"/>
  <c r="G6" i="9"/>
  <c r="C16" i="9"/>
  <c r="C11" i="9"/>
  <c r="C6" i="9"/>
  <c r="G16" i="4"/>
  <c r="G11" i="4"/>
  <c r="G6" i="4"/>
  <c r="C16" i="4"/>
  <c r="C11" i="4"/>
  <c r="C6" i="4"/>
  <c r="G16" i="1"/>
  <c r="G11" i="1"/>
  <c r="G6" i="1"/>
  <c r="G16" i="7"/>
  <c r="G6" i="7"/>
  <c r="C16" i="1"/>
  <c r="C11" i="1"/>
  <c r="C16" i="7"/>
  <c r="C11" i="7"/>
  <c r="C6" i="7"/>
  <c r="G16" i="2"/>
  <c r="G11" i="2"/>
  <c r="G6" i="2"/>
  <c r="C11" i="2"/>
  <c r="C6" i="2"/>
  <c r="M19" i="4"/>
  <c r="M18" i="4"/>
  <c r="M17" i="4"/>
  <c r="M9" i="4"/>
  <c r="M8" i="4"/>
  <c r="M7" i="4"/>
  <c r="L19" i="4"/>
  <c r="L18" i="4"/>
  <c r="L17" i="4"/>
  <c r="L9" i="4"/>
  <c r="L8" i="4"/>
  <c r="L7" i="4"/>
  <c r="M19" i="1"/>
  <c r="M18" i="1"/>
  <c r="M17" i="1"/>
  <c r="M9" i="1"/>
  <c r="M8" i="1"/>
  <c r="M7" i="1"/>
  <c r="L19" i="1"/>
  <c r="L18" i="1"/>
  <c r="L17" i="1"/>
  <c r="L9" i="1"/>
  <c r="L8" i="1"/>
  <c r="L7" i="1"/>
  <c r="L19" i="9"/>
  <c r="U19" i="9" s="1"/>
  <c r="L18" i="9"/>
  <c r="U18" i="9" s="1"/>
  <c r="L17" i="9"/>
  <c r="U17" i="9" s="1"/>
  <c r="L14" i="9"/>
  <c r="U14" i="9" s="1"/>
  <c r="L13" i="9"/>
  <c r="U13" i="9" s="1"/>
  <c r="L12" i="9"/>
  <c r="L9" i="9"/>
  <c r="L8" i="9"/>
  <c r="L7" i="9"/>
  <c r="M19" i="9"/>
  <c r="V19" i="9" s="1"/>
  <c r="M18" i="9"/>
  <c r="V18" i="9" s="1"/>
  <c r="M17" i="9"/>
  <c r="V17" i="9" s="1"/>
  <c r="M14" i="9"/>
  <c r="V14" i="9" s="1"/>
  <c r="M13" i="9"/>
  <c r="M12" i="9"/>
  <c r="M9" i="9"/>
  <c r="M8" i="9"/>
  <c r="M7" i="9"/>
  <c r="V7" i="9" s="1"/>
  <c r="L19" i="7"/>
  <c r="T19" i="7" s="1"/>
  <c r="L18" i="7"/>
  <c r="T18" i="7" s="1"/>
  <c r="L17" i="7"/>
  <c r="L14" i="7"/>
  <c r="L13" i="7"/>
  <c r="T13" i="7" s="1"/>
  <c r="L12" i="7"/>
  <c r="T12" i="7" s="1"/>
  <c r="L9" i="7"/>
  <c r="T9" i="7" s="1"/>
  <c r="L8" i="7"/>
  <c r="T8" i="7" s="1"/>
  <c r="L7" i="7"/>
  <c r="T7" i="7" s="1"/>
  <c r="G19" i="9"/>
  <c r="G18" i="9"/>
  <c r="G17" i="9"/>
  <c r="G14" i="9"/>
  <c r="G13" i="9"/>
  <c r="G12" i="9"/>
  <c r="G9" i="9"/>
  <c r="G8" i="9"/>
  <c r="G7" i="9"/>
  <c r="C19" i="9"/>
  <c r="C18" i="9"/>
  <c r="C17" i="9"/>
  <c r="C14" i="9"/>
  <c r="C13" i="9"/>
  <c r="C12" i="9"/>
  <c r="C9" i="9"/>
  <c r="C8" i="9"/>
  <c r="C7" i="9"/>
  <c r="N19" i="9"/>
  <c r="W19" i="9" s="1"/>
  <c r="N18" i="9"/>
  <c r="N17" i="9"/>
  <c r="W17" i="9" s="1"/>
  <c r="N14" i="9"/>
  <c r="W14" i="9" s="1"/>
  <c r="N13" i="9"/>
  <c r="W13" i="9" s="1"/>
  <c r="N12" i="9"/>
  <c r="W12" i="9" s="1"/>
  <c r="N9" i="9"/>
  <c r="W9" i="9" s="1"/>
  <c r="N8" i="9"/>
  <c r="W8" i="9" s="1"/>
  <c r="N7" i="9"/>
  <c r="K15" i="9"/>
  <c r="K10" i="9"/>
  <c r="K5" i="9"/>
  <c r="K4" i="9"/>
  <c r="G9" i="4"/>
  <c r="G8" i="4"/>
  <c r="G7" i="4"/>
  <c r="G14" i="4"/>
  <c r="G13" i="4"/>
  <c r="G12" i="4"/>
  <c r="G19" i="4"/>
  <c r="G18" i="4"/>
  <c r="G17" i="4"/>
  <c r="C19" i="4"/>
  <c r="C18" i="4"/>
  <c r="C17" i="4"/>
  <c r="C14" i="4"/>
  <c r="C13" i="4"/>
  <c r="C12" i="4"/>
  <c r="C9" i="4"/>
  <c r="C8" i="4"/>
  <c r="C7" i="4"/>
  <c r="G19" i="1"/>
  <c r="G18" i="1"/>
  <c r="G17" i="1"/>
  <c r="G14" i="1"/>
  <c r="G13" i="1"/>
  <c r="G12" i="1"/>
  <c r="G9" i="1"/>
  <c r="G8" i="1"/>
  <c r="G7" i="1"/>
  <c r="C19" i="1"/>
  <c r="C18" i="1"/>
  <c r="C17" i="1"/>
  <c r="C14" i="1"/>
  <c r="C13" i="1"/>
  <c r="C12" i="1"/>
  <c r="C9" i="1"/>
  <c r="C8" i="1"/>
  <c r="C7" i="1"/>
  <c r="G9" i="7"/>
  <c r="G8" i="7"/>
  <c r="G7" i="7"/>
  <c r="G14" i="7"/>
  <c r="G13" i="7"/>
  <c r="G12" i="7"/>
  <c r="G19" i="7"/>
  <c r="G18" i="7"/>
  <c r="G17" i="7"/>
  <c r="C19" i="7"/>
  <c r="C18" i="7"/>
  <c r="C17" i="7"/>
  <c r="C14" i="7"/>
  <c r="C13" i="7"/>
  <c r="C12" i="7"/>
  <c r="C9" i="7"/>
  <c r="C8" i="7"/>
  <c r="C7" i="7"/>
  <c r="G19" i="2"/>
  <c r="G18" i="2"/>
  <c r="G17" i="2"/>
  <c r="G14" i="2"/>
  <c r="G13" i="2"/>
  <c r="G12" i="2"/>
  <c r="G9" i="2"/>
  <c r="G8" i="2"/>
  <c r="G7" i="2"/>
  <c r="C8" i="2"/>
  <c r="N19" i="4"/>
  <c r="N18" i="4"/>
  <c r="N17" i="4"/>
  <c r="N9" i="4"/>
  <c r="N8" i="4"/>
  <c r="N7" i="4"/>
  <c r="K15" i="4"/>
  <c r="K19" i="4" s="1"/>
  <c r="K10" i="4"/>
  <c r="K14" i="4" s="1"/>
  <c r="K5" i="4"/>
  <c r="K7" i="4" s="1"/>
  <c r="N19" i="7"/>
  <c r="V19" i="7" s="1"/>
  <c r="N18" i="7"/>
  <c r="N17" i="7"/>
  <c r="N14" i="7"/>
  <c r="V14" i="7" s="1"/>
  <c r="N13" i="7"/>
  <c r="V13" i="7" s="1"/>
  <c r="N12" i="7"/>
  <c r="V12" i="7" s="1"/>
  <c r="N9" i="7"/>
  <c r="V9" i="7" s="1"/>
  <c r="N8" i="7"/>
  <c r="V8" i="7" s="1"/>
  <c r="N7" i="7"/>
  <c r="V7" i="7" s="1"/>
  <c r="K15" i="7"/>
  <c r="K10" i="7"/>
  <c r="K5" i="7"/>
  <c r="U8" i="7" s="1"/>
  <c r="N19" i="1"/>
  <c r="N18" i="1"/>
  <c r="N17" i="1"/>
  <c r="N9" i="1"/>
  <c r="N8" i="1"/>
  <c r="N7" i="1"/>
  <c r="K15" i="1"/>
  <c r="K19" i="1" s="1"/>
  <c r="K10" i="1"/>
  <c r="K14" i="1" s="1"/>
  <c r="K5" i="1"/>
  <c r="K9" i="1" s="1"/>
  <c r="K4" i="1"/>
  <c r="K19" i="7" l="1"/>
  <c r="U16" i="7"/>
  <c r="U18" i="7"/>
  <c r="U17" i="7"/>
  <c r="V18" i="7"/>
  <c r="T17" i="7"/>
  <c r="N5" i="7"/>
  <c r="V6" i="7"/>
  <c r="V11" i="7"/>
  <c r="U10" i="7"/>
  <c r="T5" i="7"/>
  <c r="V16" i="7"/>
  <c r="K7" i="7"/>
  <c r="U7" i="7"/>
  <c r="U9" i="7"/>
  <c r="T16" i="7"/>
  <c r="U19" i="7"/>
  <c r="K13" i="7"/>
  <c r="U11" i="7"/>
  <c r="V17" i="7"/>
  <c r="T14" i="7"/>
  <c r="U6" i="7"/>
  <c r="U8" i="2"/>
  <c r="V8" i="2"/>
  <c r="T8" i="2"/>
  <c r="V9" i="2"/>
  <c r="T9" i="2"/>
  <c r="T19" i="2"/>
  <c r="U9" i="2"/>
  <c r="U19" i="2"/>
  <c r="C16" i="2"/>
  <c r="V8" i="9"/>
  <c r="U7" i="9"/>
  <c r="W7" i="9"/>
  <c r="V13" i="9"/>
  <c r="U12" i="9"/>
  <c r="W10" i="9"/>
  <c r="V15" i="9"/>
  <c r="K14" i="9"/>
  <c r="U11" i="9"/>
  <c r="V11" i="9"/>
  <c r="K7" i="9"/>
  <c r="U6" i="9"/>
  <c r="W6" i="9"/>
  <c r="V9" i="9"/>
  <c r="U8" i="9"/>
  <c r="K19" i="9"/>
  <c r="U16" i="9"/>
  <c r="W18" i="9"/>
  <c r="V12" i="9"/>
  <c r="U9" i="9"/>
  <c r="V6" i="9"/>
  <c r="V14" i="2"/>
  <c r="T14" i="2"/>
  <c r="V7" i="2"/>
  <c r="V12" i="2"/>
  <c r="V17" i="2"/>
  <c r="T7" i="2"/>
  <c r="T12" i="2"/>
  <c r="T17" i="2"/>
  <c r="U7" i="2"/>
  <c r="U12" i="2"/>
  <c r="U17" i="2"/>
  <c r="U13" i="2"/>
  <c r="U14" i="2"/>
  <c r="V13" i="2"/>
  <c r="T13" i="2"/>
  <c r="V19" i="2"/>
  <c r="V6" i="2"/>
  <c r="V11" i="2"/>
  <c r="V16" i="2"/>
  <c r="T6" i="2"/>
  <c r="T11" i="2"/>
  <c r="T16" i="2"/>
  <c r="U6" i="2"/>
  <c r="U11" i="2"/>
  <c r="U16" i="2"/>
  <c r="C12" i="2"/>
  <c r="C14" i="2"/>
  <c r="C9" i="2"/>
  <c r="C17" i="2"/>
  <c r="K13" i="4"/>
  <c r="K11" i="4"/>
  <c r="K12" i="4"/>
  <c r="K6" i="1"/>
  <c r="K13" i="1"/>
  <c r="K16" i="1"/>
  <c r="K11" i="1"/>
  <c r="K12" i="1"/>
  <c r="K9" i="7"/>
  <c r="K11" i="7"/>
  <c r="N10" i="7" s="1"/>
  <c r="K6" i="7"/>
  <c r="K16" i="7"/>
  <c r="N15" i="7" s="1"/>
  <c r="K8" i="7"/>
  <c r="K16" i="2"/>
  <c r="K12" i="2"/>
  <c r="C18" i="2"/>
  <c r="K6" i="2"/>
  <c r="K16" i="9"/>
  <c r="K6" i="9"/>
  <c r="K11" i="9"/>
  <c r="K6" i="4"/>
  <c r="K16" i="4"/>
  <c r="K18" i="1"/>
  <c r="K17" i="1"/>
  <c r="K13" i="2"/>
  <c r="K19" i="2"/>
  <c r="K14" i="2"/>
  <c r="K17" i="2"/>
  <c r="K8" i="9"/>
  <c r="K9" i="9"/>
  <c r="K12" i="9"/>
  <c r="K13" i="9"/>
  <c r="K17" i="9"/>
  <c r="K18" i="9"/>
  <c r="K14" i="7"/>
  <c r="K8" i="2"/>
  <c r="K17" i="7"/>
  <c r="K9" i="2"/>
  <c r="K18" i="7"/>
  <c r="K8" i="4"/>
  <c r="K9" i="4"/>
  <c r="K12" i="7"/>
  <c r="K7" i="1"/>
  <c r="K8" i="1"/>
  <c r="K17" i="4"/>
  <c r="K18" i="4"/>
  <c r="V15" i="7" l="1"/>
  <c r="V5" i="7"/>
  <c r="T15" i="7"/>
  <c r="U5" i="7"/>
  <c r="U15" i="7"/>
  <c r="V10" i="7"/>
  <c r="T10" i="7"/>
  <c r="V10" i="2"/>
  <c r="U15" i="2"/>
  <c r="V5" i="2"/>
  <c r="U10" i="2"/>
  <c r="U5" i="2"/>
  <c r="T15" i="2"/>
  <c r="T10" i="2"/>
  <c r="T5" i="2"/>
  <c r="V15" i="2"/>
  <c r="U10" i="9"/>
  <c r="V10" i="9"/>
  <c r="W15" i="9"/>
  <c r="U15" i="9"/>
  <c r="V5" i="9"/>
  <c r="W5" i="9"/>
  <c r="U5" i="9"/>
  <c r="N10" i="2"/>
  <c r="N15" i="9"/>
  <c r="N15" i="4"/>
  <c r="N10" i="4"/>
  <c r="N5" i="4"/>
  <c r="N10" i="1"/>
  <c r="N15" i="1"/>
  <c r="N5" i="1"/>
  <c r="N5" i="9"/>
  <c r="N10" i="9"/>
  <c r="N15" i="2"/>
  <c r="N5" i="2"/>
</calcChain>
</file>

<file path=xl/sharedStrings.xml><?xml version="1.0" encoding="utf-8"?>
<sst xmlns="http://schemas.openxmlformats.org/spreadsheetml/2006/main" count="637" uniqueCount="43">
  <si>
    <t>Dataset</t>
  </si>
  <si>
    <t>BIC</t>
  </si>
  <si>
    <t>SHD</t>
  </si>
  <si>
    <t>KL</t>
  </si>
  <si>
    <t>BN</t>
  </si>
  <si>
    <t>Full training</t>
  </si>
  <si>
    <t>100 samples</t>
  </si>
  <si>
    <t>100_samples</t>
  </si>
  <si>
    <t>500_samples</t>
  </si>
  <si>
    <t>1000_samples</t>
  </si>
  <si>
    <t>Mostly</t>
  </si>
  <si>
    <t>TVAE</t>
  </si>
  <si>
    <t>CTGAN</t>
  </si>
  <si>
    <t>100_samples_aug*5</t>
  </si>
  <si>
    <t>100_samples_aug*10</t>
  </si>
  <si>
    <t>100_samples_aug*20</t>
  </si>
  <si>
    <t>500_samples_aug*5</t>
  </si>
  <si>
    <t>500_samples_aug*10</t>
  </si>
  <si>
    <t>500_samples_aug*20</t>
  </si>
  <si>
    <t>1000_samples_aug*5</t>
  </si>
  <si>
    <t>1000_samples_aug*10</t>
  </si>
  <si>
    <t>1000_samples_aug*20</t>
  </si>
  <si>
    <t>500 samples</t>
  </si>
  <si>
    <t>1,000 samples</t>
  </si>
  <si>
    <t>Baseline</t>
  </si>
  <si>
    <t>Original</t>
  </si>
  <si>
    <t>100_samples_aug*2</t>
  </si>
  <si>
    <t>Benchmark</t>
  </si>
  <si>
    <t>Asia</t>
  </si>
  <si>
    <t>Sports</t>
  </si>
  <si>
    <t>Augmentation</t>
  </si>
  <si>
    <t>Starter</t>
  </si>
  <si>
    <t>Column Shapes</t>
  </si>
  <si>
    <t>Column Pair Trends</t>
  </si>
  <si>
    <t>KL improvement</t>
  </si>
  <si>
    <t>Synthesizer</t>
  </si>
  <si>
    <t>Logical</t>
  </si>
  <si>
    <t>500_samples_aug*2</t>
  </si>
  <si>
    <t>1000_samples_aug*2</t>
  </si>
  <si>
    <t>Average</t>
  </si>
  <si>
    <t>The structures learned with CTGAN-augmented data did not include a single relationship</t>
  </si>
  <si>
    <t>Insurance</t>
  </si>
  <si>
    <t>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</si>
</sst>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5B9BD5"/>
      </bottom>
      <diagonal/>
    </border>
    <border>
      <left/>
      <right/>
      <top style="medium">
        <color indexed="64"/>
      </top>
      <bottom style="medium">
        <color rgb="FF5B9BD5"/>
      </bottom>
      <diagonal/>
    </border>
    <border>
      <left/>
      <right style="medium">
        <color indexed="64"/>
      </right>
      <top style="medium">
        <color indexed="64"/>
      </top>
      <bottom style="medium">
        <color rgb="FF5B9BD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B9BD5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indexed="64"/>
      </right>
      <top style="medium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0" fillId="0" borderId="16" xfId="0" applyBorder="1"/>
    <xf numFmtId="0" fontId="0" fillId="0" borderId="14" xfId="0" applyBorder="1"/>
    <xf numFmtId="0" fontId="3" fillId="0" borderId="16" xfId="0" applyFont="1" applyBorder="1"/>
    <xf numFmtId="1" fontId="0" fillId="0" borderId="0" xfId="0" applyNumberFormat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4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2" borderId="9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0" fillId="2" borderId="15" xfId="0" applyFill="1" applyBorder="1"/>
    <xf numFmtId="0" fontId="0" fillId="2" borderId="16" xfId="0" applyFill="1" applyBorder="1"/>
    <xf numFmtId="2" fontId="1" fillId="2" borderId="7" xfId="0" applyNumberFormat="1" applyFont="1" applyFill="1" applyBorder="1"/>
    <xf numFmtId="0" fontId="0" fillId="3" borderId="0" xfId="0" applyFill="1" applyAlignment="1">
      <alignment horizontal="center"/>
    </xf>
    <xf numFmtId="1" fontId="0" fillId="3" borderId="3" xfId="0" applyNumberFormat="1" applyFill="1" applyBorder="1"/>
    <xf numFmtId="1" fontId="0" fillId="3" borderId="8" xfId="0" applyNumberForma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1" fontId="0" fillId="0" borderId="5" xfId="0" applyNumberFormat="1" applyBorder="1"/>
    <xf numFmtId="1" fontId="0" fillId="0" borderId="6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6" xfId="0" applyNumberFormat="1" applyBorder="1"/>
    <xf numFmtId="0" fontId="5" fillId="0" borderId="0" xfId="0" applyFont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9" fontId="0" fillId="2" borderId="4" xfId="1" applyFont="1" applyFill="1" applyBorder="1"/>
    <xf numFmtId="2" fontId="5" fillId="0" borderId="0" xfId="0" applyNumberFormat="1" applyFont="1"/>
    <xf numFmtId="2" fontId="6" fillId="2" borderId="7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ASIA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Similarity!$H$2:$H$13</c:f>
              <c:numCache>
                <c:formatCode>0.00</c:formatCode>
                <c:ptCount val="12"/>
                <c:pt idx="0">
                  <c:v>96.294999999999987</c:v>
                </c:pt>
                <c:pt idx="1">
                  <c:v>95.06</c:v>
                </c:pt>
                <c:pt idx="2">
                  <c:v>94.82</c:v>
                </c:pt>
                <c:pt idx="3">
                  <c:v>94.515000000000001</c:v>
                </c:pt>
                <c:pt idx="4">
                  <c:v>92.064999999999998</c:v>
                </c:pt>
                <c:pt idx="5">
                  <c:v>89.625</c:v>
                </c:pt>
                <c:pt idx="6">
                  <c:v>88.050000000000011</c:v>
                </c:pt>
                <c:pt idx="7">
                  <c:v>87.77</c:v>
                </c:pt>
                <c:pt idx="8">
                  <c:v>96.36</c:v>
                </c:pt>
                <c:pt idx="9">
                  <c:v>96.435000000000002</c:v>
                </c:pt>
                <c:pt idx="10">
                  <c:v>96.710000000000008</c:v>
                </c:pt>
                <c:pt idx="11">
                  <c:v>96.41</c:v>
                </c:pt>
              </c:numCache>
            </c:numRef>
          </c:xVal>
          <c:yVal>
            <c:numRef>
              <c:f>Similarity!$I$2:$I$13</c:f>
              <c:numCache>
                <c:formatCode>0.00</c:formatCode>
                <c:ptCount val="12"/>
                <c:pt idx="0">
                  <c:v>-0.17680461895859301</c:v>
                </c:pt>
                <c:pt idx="1">
                  <c:v>-0.37463233127703277</c:v>
                </c:pt>
                <c:pt idx="2">
                  <c:v>-0.4595260710012552</c:v>
                </c:pt>
                <c:pt idx="3">
                  <c:v>-0.63014728835807676</c:v>
                </c:pt>
                <c:pt idx="4">
                  <c:v>-2.4503977789694211</c:v>
                </c:pt>
                <c:pt idx="5">
                  <c:v>-5.6866682273610865</c:v>
                </c:pt>
                <c:pt idx="6">
                  <c:v>-6.8324896619449902</c:v>
                </c:pt>
                <c:pt idx="7">
                  <c:v>-7.1118685752548778</c:v>
                </c:pt>
                <c:pt idx="8">
                  <c:v>-0.17095833746760003</c:v>
                </c:pt>
                <c:pt idx="9">
                  <c:v>-0.87792087515335404</c:v>
                </c:pt>
                <c:pt idx="10">
                  <c:v>-1.4479202538542255</c:v>
                </c:pt>
                <c:pt idx="11">
                  <c:v>-2.512999778035196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F-894D-AF15-A7C9C6D30B8D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Similarity!$H$14:$H$25</c:f>
              <c:numCache>
                <c:formatCode>0.00</c:formatCode>
                <c:ptCount val="12"/>
                <c:pt idx="0">
                  <c:v>95.444999999999993</c:v>
                </c:pt>
                <c:pt idx="1">
                  <c:v>94.52</c:v>
                </c:pt>
                <c:pt idx="2">
                  <c:v>93.6</c:v>
                </c:pt>
                <c:pt idx="3">
                  <c:v>93.050000000000011</c:v>
                </c:pt>
                <c:pt idx="4">
                  <c:v>92.555000000000007</c:v>
                </c:pt>
                <c:pt idx="5">
                  <c:v>91.025000000000006</c:v>
                </c:pt>
                <c:pt idx="6">
                  <c:v>89.789999999999992</c:v>
                </c:pt>
                <c:pt idx="7">
                  <c:v>89.44</c:v>
                </c:pt>
                <c:pt idx="8">
                  <c:v>98.954999999999998</c:v>
                </c:pt>
                <c:pt idx="9">
                  <c:v>99.02000000000001</c:v>
                </c:pt>
                <c:pt idx="10">
                  <c:v>99.14500000000001</c:v>
                </c:pt>
                <c:pt idx="11">
                  <c:v>99.22</c:v>
                </c:pt>
              </c:numCache>
            </c:numRef>
          </c:xVal>
          <c:yVal>
            <c:numRef>
              <c:f>Similarity!$I$14:$I$25</c:f>
              <c:numCache>
                <c:formatCode>0.00</c:formatCode>
                <c:ptCount val="12"/>
                <c:pt idx="0">
                  <c:v>-6.3091263661898029</c:v>
                </c:pt>
                <c:pt idx="1">
                  <c:v>-8.2977178547948949</c:v>
                </c:pt>
                <c:pt idx="2">
                  <c:v>-8.1278468285540537</c:v>
                </c:pt>
                <c:pt idx="3">
                  <c:v>-7.9396095542960978</c:v>
                </c:pt>
                <c:pt idx="4">
                  <c:v>-6.3091263661898029</c:v>
                </c:pt>
                <c:pt idx="5">
                  <c:v>-8.2977178547948949</c:v>
                </c:pt>
                <c:pt idx="6">
                  <c:v>-8.1278468285540537</c:v>
                </c:pt>
                <c:pt idx="7">
                  <c:v>-7.9396095542960978</c:v>
                </c:pt>
                <c:pt idx="8">
                  <c:v>0.6813660347798246</c:v>
                </c:pt>
                <c:pt idx="9">
                  <c:v>0.81783334461740353</c:v>
                </c:pt>
                <c:pt idx="10">
                  <c:v>0.7686429819305125</c:v>
                </c:pt>
                <c:pt idx="11">
                  <c:v>0.79833978634509384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F-894D-AF15-A7C9C6D30B8D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Similarity!$H$26:$H$37</c:f>
              <c:numCache>
                <c:formatCode>0.00</c:formatCode>
                <c:ptCount val="12"/>
                <c:pt idx="0">
                  <c:v>97.34</c:v>
                </c:pt>
                <c:pt idx="1">
                  <c:v>96.68</c:v>
                </c:pt>
                <c:pt idx="2">
                  <c:v>96.11</c:v>
                </c:pt>
                <c:pt idx="3">
                  <c:v>95.88</c:v>
                </c:pt>
                <c:pt idx="4">
                  <c:v>93.954999999999998</c:v>
                </c:pt>
                <c:pt idx="5">
                  <c:v>92.7</c:v>
                </c:pt>
                <c:pt idx="6">
                  <c:v>92.004999999999995</c:v>
                </c:pt>
                <c:pt idx="7">
                  <c:v>91.539999999999992</c:v>
                </c:pt>
                <c:pt idx="8">
                  <c:v>99.275000000000006</c:v>
                </c:pt>
                <c:pt idx="9">
                  <c:v>99.10499999999999</c:v>
                </c:pt>
                <c:pt idx="10">
                  <c:v>99.125</c:v>
                </c:pt>
                <c:pt idx="11">
                  <c:v>98.985000000000014</c:v>
                </c:pt>
              </c:numCache>
            </c:numRef>
          </c:xVal>
          <c:yVal>
            <c:numRef>
              <c:f>Similarity!$I$26:$I$37</c:f>
              <c:numCache>
                <c:formatCode>0.00</c:formatCode>
                <c:ptCount val="12"/>
                <c:pt idx="0">
                  <c:v>-9.3574207254358166E-2</c:v>
                </c:pt>
                <c:pt idx="1">
                  <c:v>-0.18972982935234728</c:v>
                </c:pt>
                <c:pt idx="2">
                  <c:v>-0.25141902510270353</c:v>
                </c:pt>
                <c:pt idx="3">
                  <c:v>-0.49218461099429844</c:v>
                </c:pt>
                <c:pt idx="4">
                  <c:v>-2.3514570084574067</c:v>
                </c:pt>
                <c:pt idx="5">
                  <c:v>-2.6378607510399177</c:v>
                </c:pt>
                <c:pt idx="6">
                  <c:v>-2.9928815890385985</c:v>
                </c:pt>
                <c:pt idx="7">
                  <c:v>-3.2288474000558844</c:v>
                </c:pt>
                <c:pt idx="8">
                  <c:v>0.67864047334526345</c:v>
                </c:pt>
                <c:pt idx="9">
                  <c:v>0.74847752805648748</c:v>
                </c:pt>
                <c:pt idx="10">
                  <c:v>0.71346255600893371</c:v>
                </c:pt>
                <c:pt idx="11">
                  <c:v>0.68005094393590793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F-894D-AF15-A7C9C6D3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8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4"/>
      </c:valAx>
      <c:valAx>
        <c:axId val="408799632"/>
        <c:scaling>
          <c:orientation val="minMax"/>
          <c:max val="1"/>
          <c:min val="-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positive or negative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PRM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Similarity!$H$38:$H$49</c:f>
              <c:numCache>
                <c:formatCode>0.00</c:formatCode>
                <c:ptCount val="12"/>
                <c:pt idx="0">
                  <c:v>87.24</c:v>
                </c:pt>
                <c:pt idx="1">
                  <c:v>84.789999999999992</c:v>
                </c:pt>
                <c:pt idx="2">
                  <c:v>83.22</c:v>
                </c:pt>
                <c:pt idx="3">
                  <c:v>82.594999999999999</c:v>
                </c:pt>
                <c:pt idx="4">
                  <c:v>94.085000000000008</c:v>
                </c:pt>
                <c:pt idx="5">
                  <c:v>92.259999999999991</c:v>
                </c:pt>
                <c:pt idx="6">
                  <c:v>92.009999999999991</c:v>
                </c:pt>
                <c:pt idx="7">
                  <c:v>91.705000000000013</c:v>
                </c:pt>
                <c:pt idx="8">
                  <c:v>97.17</c:v>
                </c:pt>
                <c:pt idx="9">
                  <c:v>96.17</c:v>
                </c:pt>
                <c:pt idx="10">
                  <c:v>96.205000000000013</c:v>
                </c:pt>
                <c:pt idx="11">
                  <c:v>96.169999999999987</c:v>
                </c:pt>
              </c:numCache>
            </c:numRef>
          </c:xVal>
          <c:yVal>
            <c:numRef>
              <c:f>Similarity!$I$38:$I$49</c:f>
              <c:numCache>
                <c:formatCode>0.00</c:formatCode>
                <c:ptCount val="12"/>
                <c:pt idx="0">
                  <c:v>-0.30609939928522611</c:v>
                </c:pt>
                <c:pt idx="1">
                  <c:v>-0.50422781382638182</c:v>
                </c:pt>
                <c:pt idx="2">
                  <c:v>-0.74786654728965996</c:v>
                </c:pt>
                <c:pt idx="3">
                  <c:v>-1.0242525510441864</c:v>
                </c:pt>
                <c:pt idx="4">
                  <c:v>8.759998942208691E-2</c:v>
                </c:pt>
                <c:pt idx="5">
                  <c:v>7.8941051405648444E-2</c:v>
                </c:pt>
                <c:pt idx="6">
                  <c:v>-0.19237190846815699</c:v>
                </c:pt>
                <c:pt idx="7">
                  <c:v>-9.2345561031202728E-2</c:v>
                </c:pt>
                <c:pt idx="8">
                  <c:v>0.3028086293263117</c:v>
                </c:pt>
                <c:pt idx="9">
                  <c:v>0.53043699674858558</c:v>
                </c:pt>
                <c:pt idx="10">
                  <c:v>0.58730257521582563</c:v>
                </c:pt>
                <c:pt idx="11">
                  <c:v>0.62981702925140781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B-0A40-A9FD-2E9BA409A3C3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Similarity!$H$50:$H$61</c:f>
              <c:numCache>
                <c:formatCode>0.00</c:formatCode>
                <c:ptCount val="12"/>
                <c:pt idx="0">
                  <c:v>90.36</c:v>
                </c:pt>
                <c:pt idx="1">
                  <c:v>87.825000000000003</c:v>
                </c:pt>
                <c:pt idx="2">
                  <c:v>86.594999999999999</c:v>
                </c:pt>
                <c:pt idx="3">
                  <c:v>85.97999999999999</c:v>
                </c:pt>
                <c:pt idx="4">
                  <c:v>92.77000000000001</c:v>
                </c:pt>
                <c:pt idx="5">
                  <c:v>91.055000000000007</c:v>
                </c:pt>
                <c:pt idx="6">
                  <c:v>90.259999999999991</c:v>
                </c:pt>
                <c:pt idx="7">
                  <c:v>89.85499999999999</c:v>
                </c:pt>
                <c:pt idx="8">
                  <c:v>97.365000000000009</c:v>
                </c:pt>
                <c:pt idx="9">
                  <c:v>97.740000000000009</c:v>
                </c:pt>
                <c:pt idx="10">
                  <c:v>97.9</c:v>
                </c:pt>
                <c:pt idx="11">
                  <c:v>97.97999999999999</c:v>
                </c:pt>
              </c:numCache>
            </c:numRef>
          </c:xVal>
          <c:yVal>
            <c:numRef>
              <c:f>Similarity!$I$50:$I$61</c:f>
              <c:numCache>
                <c:formatCode>0.00</c:formatCode>
                <c:ptCount val="12"/>
                <c:pt idx="0">
                  <c:v>-1.3335390698951013</c:v>
                </c:pt>
                <c:pt idx="1">
                  <c:v>-2.3301253709065071</c:v>
                </c:pt>
                <c:pt idx="2">
                  <c:v>-3.4145153056361428</c:v>
                </c:pt>
                <c:pt idx="3">
                  <c:v>-4.7784391799678456</c:v>
                </c:pt>
                <c:pt idx="4">
                  <c:v>-3.3152734408684532</c:v>
                </c:pt>
                <c:pt idx="5">
                  <c:v>-5.9735031263491791</c:v>
                </c:pt>
                <c:pt idx="6">
                  <c:v>-6.874233400666844</c:v>
                </c:pt>
                <c:pt idx="7">
                  <c:v>-7.7972514940759616</c:v>
                </c:pt>
                <c:pt idx="8">
                  <c:v>0.22268686976877461</c:v>
                </c:pt>
                <c:pt idx="9">
                  <c:v>0.3036561604349528</c:v>
                </c:pt>
                <c:pt idx="10">
                  <c:v>0.23311999668558991</c:v>
                </c:pt>
                <c:pt idx="11">
                  <c:v>7.7015369500866737E-2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B-0A40-A9FD-2E9BA409A3C3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Similarity!$H$62:$H$73</c:f>
              <c:numCache>
                <c:formatCode>0.00</c:formatCode>
                <c:ptCount val="12"/>
                <c:pt idx="0">
                  <c:v>95.35</c:v>
                </c:pt>
                <c:pt idx="1">
                  <c:v>94.284999999999997</c:v>
                </c:pt>
                <c:pt idx="2">
                  <c:v>93.894999999999996</c:v>
                </c:pt>
                <c:pt idx="3">
                  <c:v>93.56</c:v>
                </c:pt>
                <c:pt idx="4">
                  <c:v>91.424999999999997</c:v>
                </c:pt>
                <c:pt idx="5">
                  <c:v>89.36</c:v>
                </c:pt>
                <c:pt idx="6">
                  <c:v>88.09</c:v>
                </c:pt>
                <c:pt idx="7">
                  <c:v>87.66</c:v>
                </c:pt>
                <c:pt idx="8">
                  <c:v>98.495000000000005</c:v>
                </c:pt>
                <c:pt idx="9">
                  <c:v>98.775000000000006</c:v>
                </c:pt>
                <c:pt idx="10">
                  <c:v>98.58</c:v>
                </c:pt>
                <c:pt idx="11">
                  <c:v>98.56</c:v>
                </c:pt>
              </c:numCache>
            </c:numRef>
          </c:xVal>
          <c:yVal>
            <c:numRef>
              <c:f>Similarity!$I$62:$I$73</c:f>
              <c:numCache>
                <c:formatCode>0.00</c:formatCode>
                <c:ptCount val="12"/>
                <c:pt idx="0">
                  <c:v>-0.35305486281866627</c:v>
                </c:pt>
                <c:pt idx="1">
                  <c:v>-1.0412807037082938</c:v>
                </c:pt>
                <c:pt idx="2">
                  <c:v>-1.3889880889582891</c:v>
                </c:pt>
                <c:pt idx="3">
                  <c:v>-1.8555843281387632</c:v>
                </c:pt>
                <c:pt idx="4">
                  <c:v>-2.7189749404076924</c:v>
                </c:pt>
                <c:pt idx="5">
                  <c:v>-4.1226611903574124</c:v>
                </c:pt>
                <c:pt idx="6">
                  <c:v>-4.6284801896365559</c:v>
                </c:pt>
                <c:pt idx="7">
                  <c:v>-5.0734199651883092</c:v>
                </c:pt>
                <c:pt idx="8">
                  <c:v>0.2542715236427987</c:v>
                </c:pt>
                <c:pt idx="9">
                  <c:v>0.35436503818241627</c:v>
                </c:pt>
                <c:pt idx="10">
                  <c:v>0.22890351977865186</c:v>
                </c:pt>
                <c:pt idx="11">
                  <c:v>0.19115674042326891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B-0A40-A9FD-2E9BA409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8"/>
      </c:valAx>
      <c:valAx>
        <c:axId val="408799632"/>
        <c:scaling>
          <c:orientation val="minMax"/>
          <c:max val="1"/>
          <c:min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positive or negative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SPORTS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Similarity!$H$74:$H$85</c:f>
              <c:numCache>
                <c:formatCode>0.00</c:formatCode>
                <c:ptCount val="12"/>
                <c:pt idx="0">
                  <c:v>85.97999999999999</c:v>
                </c:pt>
                <c:pt idx="1">
                  <c:v>82.490000000000009</c:v>
                </c:pt>
                <c:pt idx="2">
                  <c:v>80.685000000000002</c:v>
                </c:pt>
                <c:pt idx="3">
                  <c:v>79.844999999999999</c:v>
                </c:pt>
                <c:pt idx="4">
                  <c:v>90.515000000000001</c:v>
                </c:pt>
                <c:pt idx="5">
                  <c:v>89.02000000000001</c:v>
                </c:pt>
                <c:pt idx="6">
                  <c:v>87.935000000000002</c:v>
                </c:pt>
                <c:pt idx="7">
                  <c:v>87.795000000000002</c:v>
                </c:pt>
                <c:pt idx="8">
                  <c:v>92.305000000000007</c:v>
                </c:pt>
                <c:pt idx="9">
                  <c:v>91.60499999999999</c:v>
                </c:pt>
                <c:pt idx="10">
                  <c:v>91.300000000000011</c:v>
                </c:pt>
                <c:pt idx="11">
                  <c:v>91.275000000000006</c:v>
                </c:pt>
              </c:numCache>
            </c:numRef>
          </c:xVal>
          <c:yVal>
            <c:numRef>
              <c:f>Similarity!$I$74:$I$85</c:f>
              <c:numCache>
                <c:formatCode>0.00</c:formatCode>
                <c:ptCount val="12"/>
                <c:pt idx="0">
                  <c:v>5.0981449560030034E-2</c:v>
                </c:pt>
                <c:pt idx="1">
                  <c:v>4.6804968976624006E-2</c:v>
                </c:pt>
                <c:pt idx="2">
                  <c:v>-2.7972935497453388E-2</c:v>
                </c:pt>
                <c:pt idx="3">
                  <c:v>-3.2697107441549189E-2</c:v>
                </c:pt>
                <c:pt idx="4">
                  <c:v>-8.9577860872501747E-2</c:v>
                </c:pt>
                <c:pt idx="5">
                  <c:v>0.15224223507233803</c:v>
                </c:pt>
                <c:pt idx="6">
                  <c:v>0.35046442891553897</c:v>
                </c:pt>
                <c:pt idx="7">
                  <c:v>0.46161872452567254</c:v>
                </c:pt>
                <c:pt idx="8">
                  <c:v>-5.7613724771465646E-2</c:v>
                </c:pt>
                <c:pt idx="9">
                  <c:v>0.16145246680188852</c:v>
                </c:pt>
                <c:pt idx="10">
                  <c:v>0.34999421584489809</c:v>
                </c:pt>
                <c:pt idx="11">
                  <c:v>0.49674978573245299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B-774C-97DC-550F9F99D2C3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Similarity!$H$86:$H$97</c:f>
              <c:numCache>
                <c:formatCode>0.00</c:formatCode>
                <c:ptCount val="12"/>
                <c:pt idx="0">
                  <c:v>69.204999999999998</c:v>
                </c:pt>
                <c:pt idx="1">
                  <c:v>61.775000000000006</c:v>
                </c:pt>
                <c:pt idx="2">
                  <c:v>58.13</c:v>
                </c:pt>
                <c:pt idx="3">
                  <c:v>56.265000000000001</c:v>
                </c:pt>
                <c:pt idx="4">
                  <c:v>92.35499999999999</c:v>
                </c:pt>
                <c:pt idx="5">
                  <c:v>90.81</c:v>
                </c:pt>
                <c:pt idx="6">
                  <c:v>90.13</c:v>
                </c:pt>
                <c:pt idx="7">
                  <c:v>89.82</c:v>
                </c:pt>
                <c:pt idx="8">
                  <c:v>96.51</c:v>
                </c:pt>
                <c:pt idx="9">
                  <c:v>95.89500000000001</c:v>
                </c:pt>
                <c:pt idx="10">
                  <c:v>96.125</c:v>
                </c:pt>
                <c:pt idx="11">
                  <c:v>95.800000000000011</c:v>
                </c:pt>
              </c:numCache>
            </c:numRef>
          </c:xVal>
          <c:yVal>
            <c:numRef>
              <c:f>Similarity!$I$86:$I$97</c:f>
              <c:numCache>
                <c:formatCode>0.00</c:formatCode>
                <c:ptCount val="12"/>
                <c:pt idx="0">
                  <c:v>-9.6317570496321503E-2</c:v>
                </c:pt>
                <c:pt idx="1">
                  <c:v>-0.17195034093524764</c:v>
                </c:pt>
                <c:pt idx="2">
                  <c:v>-0.23012157682178391</c:v>
                </c:pt>
                <c:pt idx="3">
                  <c:v>-0.29633416138299218</c:v>
                </c:pt>
                <c:pt idx="4">
                  <c:v>0.14569862579628778</c:v>
                </c:pt>
                <c:pt idx="5">
                  <c:v>0.22618684626675167</c:v>
                </c:pt>
                <c:pt idx="6">
                  <c:v>0.20460524152444848</c:v>
                </c:pt>
                <c:pt idx="7">
                  <c:v>0.20288038718047607</c:v>
                </c:pt>
                <c:pt idx="8">
                  <c:v>0.15800779323271197</c:v>
                </c:pt>
                <c:pt idx="9">
                  <c:v>0.37521665306512897</c:v>
                </c:pt>
                <c:pt idx="10">
                  <c:v>0.49076859150845542</c:v>
                </c:pt>
                <c:pt idx="11">
                  <c:v>0.52239298878097351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B-774C-97DC-550F9F99D2C3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Similarity!$H$98:$H$109</c:f>
              <c:numCache>
                <c:formatCode>0.00</c:formatCode>
                <c:ptCount val="12"/>
                <c:pt idx="0">
                  <c:v>75.990000000000009</c:v>
                </c:pt>
                <c:pt idx="1">
                  <c:v>69.819999999999993</c:v>
                </c:pt>
                <c:pt idx="2">
                  <c:v>67.3</c:v>
                </c:pt>
                <c:pt idx="3">
                  <c:v>65.685000000000002</c:v>
                </c:pt>
                <c:pt idx="4">
                  <c:v>89.995000000000005</c:v>
                </c:pt>
                <c:pt idx="5">
                  <c:v>87.22</c:v>
                </c:pt>
                <c:pt idx="6">
                  <c:v>86.27</c:v>
                </c:pt>
                <c:pt idx="7">
                  <c:v>85.64</c:v>
                </c:pt>
                <c:pt idx="8">
                  <c:v>97.64</c:v>
                </c:pt>
                <c:pt idx="9">
                  <c:v>97.18</c:v>
                </c:pt>
                <c:pt idx="10">
                  <c:v>97.11</c:v>
                </c:pt>
                <c:pt idx="11">
                  <c:v>97.2</c:v>
                </c:pt>
              </c:numCache>
            </c:numRef>
          </c:xVal>
          <c:yVal>
            <c:numRef>
              <c:f>Similarity!$I$98:$I$109</c:f>
              <c:numCache>
                <c:formatCode>0.00</c:formatCode>
                <c:ptCount val="12"/>
                <c:pt idx="0">
                  <c:v>-0.20730958277174705</c:v>
                </c:pt>
                <c:pt idx="1">
                  <c:v>-0.36315596488579249</c:v>
                </c:pt>
                <c:pt idx="2">
                  <c:v>-0.50926159542819072</c:v>
                </c:pt>
                <c:pt idx="3">
                  <c:v>-0.70234735095999268</c:v>
                </c:pt>
                <c:pt idx="4">
                  <c:v>-0.13939719373257242</c:v>
                </c:pt>
                <c:pt idx="5">
                  <c:v>-0.16698873751071552</c:v>
                </c:pt>
                <c:pt idx="6">
                  <c:v>-0.24072398348923985</c:v>
                </c:pt>
                <c:pt idx="7">
                  <c:v>-0.34006367346856892</c:v>
                </c:pt>
                <c:pt idx="8">
                  <c:v>9.0075335735342321E-2</c:v>
                </c:pt>
                <c:pt idx="9">
                  <c:v>0.24909686402900466</c:v>
                </c:pt>
                <c:pt idx="10">
                  <c:v>0.34554794846933379</c:v>
                </c:pt>
                <c:pt idx="11">
                  <c:v>0.30632323088429081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B-774C-97DC-550F9F99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15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positive or negative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ASIA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Similarity!$H$2:$H$13</c:f>
              <c:numCache>
                <c:formatCode>0.00</c:formatCode>
                <c:ptCount val="12"/>
                <c:pt idx="0">
                  <c:v>96.294999999999987</c:v>
                </c:pt>
                <c:pt idx="1">
                  <c:v>95.06</c:v>
                </c:pt>
                <c:pt idx="2">
                  <c:v>94.82</c:v>
                </c:pt>
                <c:pt idx="3">
                  <c:v>94.515000000000001</c:v>
                </c:pt>
                <c:pt idx="4">
                  <c:v>92.064999999999998</c:v>
                </c:pt>
                <c:pt idx="5">
                  <c:v>89.625</c:v>
                </c:pt>
                <c:pt idx="6">
                  <c:v>88.050000000000011</c:v>
                </c:pt>
                <c:pt idx="7">
                  <c:v>87.77</c:v>
                </c:pt>
                <c:pt idx="8">
                  <c:v>96.36</c:v>
                </c:pt>
                <c:pt idx="9">
                  <c:v>96.435000000000002</c:v>
                </c:pt>
                <c:pt idx="10">
                  <c:v>96.710000000000008</c:v>
                </c:pt>
                <c:pt idx="11">
                  <c:v>96.41</c:v>
                </c:pt>
              </c:numCache>
            </c:numRef>
          </c:xVal>
          <c:yVal>
            <c:numRef>
              <c:f>Similarity!$J$2:$J$13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A-D84B-BAA8-0BE630987221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Similarity!$H$14:$H$25</c:f>
              <c:numCache>
                <c:formatCode>0.00</c:formatCode>
                <c:ptCount val="12"/>
                <c:pt idx="0">
                  <c:v>95.444999999999993</c:v>
                </c:pt>
                <c:pt idx="1">
                  <c:v>94.52</c:v>
                </c:pt>
                <c:pt idx="2">
                  <c:v>93.6</c:v>
                </c:pt>
                <c:pt idx="3">
                  <c:v>93.050000000000011</c:v>
                </c:pt>
                <c:pt idx="4">
                  <c:v>92.555000000000007</c:v>
                </c:pt>
                <c:pt idx="5">
                  <c:v>91.025000000000006</c:v>
                </c:pt>
                <c:pt idx="6">
                  <c:v>89.789999999999992</c:v>
                </c:pt>
                <c:pt idx="7">
                  <c:v>89.44</c:v>
                </c:pt>
                <c:pt idx="8">
                  <c:v>98.954999999999998</c:v>
                </c:pt>
                <c:pt idx="9">
                  <c:v>99.02000000000001</c:v>
                </c:pt>
                <c:pt idx="10">
                  <c:v>99.14500000000001</c:v>
                </c:pt>
                <c:pt idx="11">
                  <c:v>99.22</c:v>
                </c:pt>
              </c:numCache>
            </c:numRef>
          </c:xVal>
          <c:yVal>
            <c:numRef>
              <c:f>Similarity!$J$14:$J$25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A-D84B-BAA8-0BE630987221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Similarity!$H$26:$H$37</c:f>
              <c:numCache>
                <c:formatCode>0.00</c:formatCode>
                <c:ptCount val="12"/>
                <c:pt idx="0">
                  <c:v>97.34</c:v>
                </c:pt>
                <c:pt idx="1">
                  <c:v>96.68</c:v>
                </c:pt>
                <c:pt idx="2">
                  <c:v>96.11</c:v>
                </c:pt>
                <c:pt idx="3">
                  <c:v>95.88</c:v>
                </c:pt>
                <c:pt idx="4">
                  <c:v>93.954999999999998</c:v>
                </c:pt>
                <c:pt idx="5">
                  <c:v>92.7</c:v>
                </c:pt>
                <c:pt idx="6">
                  <c:v>92.004999999999995</c:v>
                </c:pt>
                <c:pt idx="7">
                  <c:v>91.539999999999992</c:v>
                </c:pt>
                <c:pt idx="8">
                  <c:v>99.275000000000006</c:v>
                </c:pt>
                <c:pt idx="9">
                  <c:v>99.10499999999999</c:v>
                </c:pt>
                <c:pt idx="10">
                  <c:v>99.125</c:v>
                </c:pt>
                <c:pt idx="11">
                  <c:v>98.985000000000014</c:v>
                </c:pt>
              </c:numCache>
            </c:numRef>
          </c:xVal>
          <c:yVal>
            <c:numRef>
              <c:f>Similarity!$J$26:$J$37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BA-D84B-BAA8-0BE63098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8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improvement?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PRM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Similarity!$H$38:$H$49</c:f>
              <c:numCache>
                <c:formatCode>0.00</c:formatCode>
                <c:ptCount val="12"/>
                <c:pt idx="0">
                  <c:v>87.24</c:v>
                </c:pt>
                <c:pt idx="1">
                  <c:v>84.789999999999992</c:v>
                </c:pt>
                <c:pt idx="2">
                  <c:v>83.22</c:v>
                </c:pt>
                <c:pt idx="3">
                  <c:v>82.594999999999999</c:v>
                </c:pt>
                <c:pt idx="4">
                  <c:v>94.085000000000008</c:v>
                </c:pt>
                <c:pt idx="5">
                  <c:v>92.259999999999991</c:v>
                </c:pt>
                <c:pt idx="6">
                  <c:v>92.009999999999991</c:v>
                </c:pt>
                <c:pt idx="7">
                  <c:v>91.705000000000013</c:v>
                </c:pt>
                <c:pt idx="8">
                  <c:v>97.17</c:v>
                </c:pt>
                <c:pt idx="9">
                  <c:v>96.17</c:v>
                </c:pt>
                <c:pt idx="10">
                  <c:v>96.205000000000013</c:v>
                </c:pt>
                <c:pt idx="11">
                  <c:v>96.169999999999987</c:v>
                </c:pt>
              </c:numCache>
            </c:numRef>
          </c:xVal>
          <c:yVal>
            <c:numRef>
              <c:f>Similarity!$J$38:$J$49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E-5D4E-9E74-43F61D698F5B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Similarity!$H$50:$H$61</c:f>
              <c:numCache>
                <c:formatCode>0.00</c:formatCode>
                <c:ptCount val="12"/>
                <c:pt idx="0">
                  <c:v>90.36</c:v>
                </c:pt>
                <c:pt idx="1">
                  <c:v>87.825000000000003</c:v>
                </c:pt>
                <c:pt idx="2">
                  <c:v>86.594999999999999</c:v>
                </c:pt>
                <c:pt idx="3">
                  <c:v>85.97999999999999</c:v>
                </c:pt>
                <c:pt idx="4">
                  <c:v>92.77000000000001</c:v>
                </c:pt>
                <c:pt idx="5">
                  <c:v>91.055000000000007</c:v>
                </c:pt>
                <c:pt idx="6">
                  <c:v>90.259999999999991</c:v>
                </c:pt>
                <c:pt idx="7">
                  <c:v>89.85499999999999</c:v>
                </c:pt>
                <c:pt idx="8">
                  <c:v>97.365000000000009</c:v>
                </c:pt>
                <c:pt idx="9">
                  <c:v>97.740000000000009</c:v>
                </c:pt>
                <c:pt idx="10">
                  <c:v>97.9</c:v>
                </c:pt>
                <c:pt idx="11">
                  <c:v>97.97999999999999</c:v>
                </c:pt>
              </c:numCache>
            </c:numRef>
          </c:xVal>
          <c:yVal>
            <c:numRef>
              <c:f>Similarity!$J$50:$J$61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E-5D4E-9E74-43F61D698F5B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Similarity!$H$62:$H$73</c:f>
              <c:numCache>
                <c:formatCode>0.00</c:formatCode>
                <c:ptCount val="12"/>
                <c:pt idx="0">
                  <c:v>95.35</c:v>
                </c:pt>
                <c:pt idx="1">
                  <c:v>94.284999999999997</c:v>
                </c:pt>
                <c:pt idx="2">
                  <c:v>93.894999999999996</c:v>
                </c:pt>
                <c:pt idx="3">
                  <c:v>93.56</c:v>
                </c:pt>
                <c:pt idx="4">
                  <c:v>91.424999999999997</c:v>
                </c:pt>
                <c:pt idx="5">
                  <c:v>89.36</c:v>
                </c:pt>
                <c:pt idx="6">
                  <c:v>88.09</c:v>
                </c:pt>
                <c:pt idx="7">
                  <c:v>87.66</c:v>
                </c:pt>
                <c:pt idx="8">
                  <c:v>98.495000000000005</c:v>
                </c:pt>
                <c:pt idx="9">
                  <c:v>98.775000000000006</c:v>
                </c:pt>
                <c:pt idx="10">
                  <c:v>98.58</c:v>
                </c:pt>
                <c:pt idx="11">
                  <c:v>98.56</c:v>
                </c:pt>
              </c:numCache>
            </c:numRef>
          </c:xVal>
          <c:yVal>
            <c:numRef>
              <c:f>Similarity!$J$62:$J$73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E-5D4E-9E74-43F61D69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6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improvement?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SPORTS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Similarity!$H$74:$H$85</c:f>
              <c:numCache>
                <c:formatCode>0.00</c:formatCode>
                <c:ptCount val="12"/>
                <c:pt idx="0">
                  <c:v>85.97999999999999</c:v>
                </c:pt>
                <c:pt idx="1">
                  <c:v>82.490000000000009</c:v>
                </c:pt>
                <c:pt idx="2">
                  <c:v>80.685000000000002</c:v>
                </c:pt>
                <c:pt idx="3">
                  <c:v>79.844999999999999</c:v>
                </c:pt>
                <c:pt idx="4">
                  <c:v>90.515000000000001</c:v>
                </c:pt>
                <c:pt idx="5">
                  <c:v>89.02000000000001</c:v>
                </c:pt>
                <c:pt idx="6">
                  <c:v>87.935000000000002</c:v>
                </c:pt>
                <c:pt idx="7">
                  <c:v>87.795000000000002</c:v>
                </c:pt>
                <c:pt idx="8">
                  <c:v>92.305000000000007</c:v>
                </c:pt>
                <c:pt idx="9">
                  <c:v>91.60499999999999</c:v>
                </c:pt>
                <c:pt idx="10">
                  <c:v>91.300000000000011</c:v>
                </c:pt>
                <c:pt idx="11">
                  <c:v>91.275000000000006</c:v>
                </c:pt>
              </c:numCache>
            </c:numRef>
          </c:xVal>
          <c:yVal>
            <c:numRef>
              <c:f>Similarity!$J$74:$J$85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5-EF4F-8906-6BAE5320903D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Similarity!$H$86:$H$97</c:f>
              <c:numCache>
                <c:formatCode>0.00</c:formatCode>
                <c:ptCount val="12"/>
                <c:pt idx="0">
                  <c:v>69.204999999999998</c:v>
                </c:pt>
                <c:pt idx="1">
                  <c:v>61.775000000000006</c:v>
                </c:pt>
                <c:pt idx="2">
                  <c:v>58.13</c:v>
                </c:pt>
                <c:pt idx="3">
                  <c:v>56.265000000000001</c:v>
                </c:pt>
                <c:pt idx="4">
                  <c:v>92.35499999999999</c:v>
                </c:pt>
                <c:pt idx="5">
                  <c:v>90.81</c:v>
                </c:pt>
                <c:pt idx="6">
                  <c:v>90.13</c:v>
                </c:pt>
                <c:pt idx="7">
                  <c:v>89.82</c:v>
                </c:pt>
                <c:pt idx="8">
                  <c:v>96.51</c:v>
                </c:pt>
                <c:pt idx="9">
                  <c:v>95.89500000000001</c:v>
                </c:pt>
                <c:pt idx="10">
                  <c:v>96.125</c:v>
                </c:pt>
                <c:pt idx="11">
                  <c:v>95.800000000000011</c:v>
                </c:pt>
              </c:numCache>
            </c:numRef>
          </c:xVal>
          <c:yVal>
            <c:numRef>
              <c:f>Similarity!$J$86:$J$97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5-EF4F-8906-6BAE5320903D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Similarity!$H$98:$H$109</c:f>
              <c:numCache>
                <c:formatCode>0.00</c:formatCode>
                <c:ptCount val="12"/>
                <c:pt idx="0">
                  <c:v>75.990000000000009</c:v>
                </c:pt>
                <c:pt idx="1">
                  <c:v>69.819999999999993</c:v>
                </c:pt>
                <c:pt idx="2">
                  <c:v>67.3</c:v>
                </c:pt>
                <c:pt idx="3">
                  <c:v>65.685000000000002</c:v>
                </c:pt>
                <c:pt idx="4">
                  <c:v>89.995000000000005</c:v>
                </c:pt>
                <c:pt idx="5">
                  <c:v>87.22</c:v>
                </c:pt>
                <c:pt idx="6">
                  <c:v>86.27</c:v>
                </c:pt>
                <c:pt idx="7">
                  <c:v>85.64</c:v>
                </c:pt>
                <c:pt idx="8">
                  <c:v>97.64</c:v>
                </c:pt>
                <c:pt idx="9">
                  <c:v>97.18</c:v>
                </c:pt>
                <c:pt idx="10">
                  <c:v>97.11</c:v>
                </c:pt>
                <c:pt idx="11">
                  <c:v>97.2</c:v>
                </c:pt>
              </c:numCache>
            </c:numRef>
          </c:xVal>
          <c:yVal>
            <c:numRef>
              <c:f>Similarity!$J$98:$J$109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5-EF4F-8906-6BAE5320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6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improvement?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INSURANCE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Similarity!$H$110:$H$121</c:f>
              <c:numCache>
                <c:formatCode>0.00</c:formatCode>
                <c:ptCount val="12"/>
                <c:pt idx="0">
                  <c:v>91</c:v>
                </c:pt>
                <c:pt idx="1">
                  <c:v>88.78</c:v>
                </c:pt>
                <c:pt idx="2">
                  <c:v>88.10499999999999</c:v>
                </c:pt>
                <c:pt idx="3">
                  <c:v>87.44</c:v>
                </c:pt>
                <c:pt idx="4">
                  <c:v>91.224999999999994</c:v>
                </c:pt>
                <c:pt idx="5">
                  <c:v>88.92</c:v>
                </c:pt>
                <c:pt idx="6">
                  <c:v>88.335000000000008</c:v>
                </c:pt>
                <c:pt idx="7">
                  <c:v>88.004999999999995</c:v>
                </c:pt>
                <c:pt idx="8">
                  <c:v>96.355000000000004</c:v>
                </c:pt>
                <c:pt idx="9">
                  <c:v>96.65</c:v>
                </c:pt>
                <c:pt idx="10">
                  <c:v>96.185000000000002</c:v>
                </c:pt>
                <c:pt idx="11">
                  <c:v>96.25</c:v>
                </c:pt>
              </c:numCache>
            </c:numRef>
          </c:xVal>
          <c:yVal>
            <c:numRef>
              <c:f>Similarity!$I$110:$I$121</c:f>
              <c:numCache>
                <c:formatCode>0.00</c:formatCode>
                <c:ptCount val="12"/>
                <c:pt idx="0">
                  <c:v>1.3359786356625158E-2</c:v>
                </c:pt>
                <c:pt idx="1">
                  <c:v>-3.8657941455617628E-3</c:v>
                </c:pt>
                <c:pt idx="2">
                  <c:v>-6.1639201980327352E-2</c:v>
                </c:pt>
                <c:pt idx="3">
                  <c:v>-0.11269839457142861</c:v>
                </c:pt>
                <c:pt idx="4">
                  <c:v>-0.46380195138009461</c:v>
                </c:pt>
                <c:pt idx="5">
                  <c:v>-0.53247587338794933</c:v>
                </c:pt>
                <c:pt idx="6">
                  <c:v>-0.53132518425301178</c:v>
                </c:pt>
                <c:pt idx="7">
                  <c:v>-0.61789995633091288</c:v>
                </c:pt>
                <c:pt idx="8">
                  <c:v>-2.8582646416193125E-2</c:v>
                </c:pt>
                <c:pt idx="9">
                  <c:v>-1.6651228978200594E-2</c:v>
                </c:pt>
                <c:pt idx="10">
                  <c:v>9.0623906876353688E-3</c:v>
                </c:pt>
                <c:pt idx="11">
                  <c:v>2.0012308773961207E-3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5-8F4D-BF9B-6D42E278D4DB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Similarity!$H$122:$H$133</c:f>
              <c:numCache>
                <c:formatCode>0.00</c:formatCode>
                <c:ptCount val="12"/>
                <c:pt idx="0">
                  <c:v>92.164999999999992</c:v>
                </c:pt>
                <c:pt idx="1">
                  <c:v>90.3</c:v>
                </c:pt>
                <c:pt idx="2">
                  <c:v>89.7</c:v>
                </c:pt>
                <c:pt idx="3">
                  <c:v>89.314999999999998</c:v>
                </c:pt>
                <c:pt idx="4">
                  <c:v>91.574999999999989</c:v>
                </c:pt>
                <c:pt idx="5">
                  <c:v>89.63</c:v>
                </c:pt>
                <c:pt idx="6">
                  <c:v>88.754999999999995</c:v>
                </c:pt>
                <c:pt idx="7">
                  <c:v>88.194999999999993</c:v>
                </c:pt>
                <c:pt idx="8">
                  <c:v>97.765000000000001</c:v>
                </c:pt>
                <c:pt idx="9">
                  <c:v>98.10499999999999</c:v>
                </c:pt>
                <c:pt idx="10">
                  <c:v>98.03</c:v>
                </c:pt>
                <c:pt idx="11">
                  <c:v>97.990000000000009</c:v>
                </c:pt>
              </c:numCache>
            </c:numRef>
          </c:xVal>
          <c:yVal>
            <c:numRef>
              <c:f>Similarity!$I$122:$I$133</c:f>
              <c:numCache>
                <c:formatCode>0.00</c:formatCode>
                <c:ptCount val="12"/>
                <c:pt idx="0">
                  <c:v>-6.9873869508348729E-2</c:v>
                </c:pt>
                <c:pt idx="1">
                  <c:v>-0.1722748235683822</c:v>
                </c:pt>
                <c:pt idx="2">
                  <c:v>-0.232389378825828</c:v>
                </c:pt>
                <c:pt idx="3">
                  <c:v>-0.28076471568523154</c:v>
                </c:pt>
                <c:pt idx="4">
                  <c:v>-0.70064521630437437</c:v>
                </c:pt>
                <c:pt idx="5">
                  <c:v>-0.96595831644808605</c:v>
                </c:pt>
                <c:pt idx="6">
                  <c:v>-1.2321743545530928</c:v>
                </c:pt>
                <c:pt idx="7">
                  <c:v>-1.3399263178025955</c:v>
                </c:pt>
                <c:pt idx="8">
                  <c:v>1.8310679942006969E-2</c:v>
                </c:pt>
                <c:pt idx="9">
                  <c:v>-3.5895319870641096E-2</c:v>
                </c:pt>
                <c:pt idx="10">
                  <c:v>-9.9091753050464693E-2</c:v>
                </c:pt>
                <c:pt idx="11">
                  <c:v>-7.1462466375553868E-2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5-8F4D-BF9B-6D42E278D4DB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Similarity!$H$134:$H$145</c:f>
              <c:numCache>
                <c:formatCode>0.00</c:formatCode>
                <c:ptCount val="12"/>
                <c:pt idx="0">
                  <c:v>92.85499999999999</c:v>
                </c:pt>
                <c:pt idx="1">
                  <c:v>90.87</c:v>
                </c:pt>
                <c:pt idx="2">
                  <c:v>90.16</c:v>
                </c:pt>
                <c:pt idx="3">
                  <c:v>89.60499999999999</c:v>
                </c:pt>
                <c:pt idx="4">
                  <c:v>88.88</c:v>
                </c:pt>
                <c:pt idx="5">
                  <c:v>86.245000000000005</c:v>
                </c:pt>
                <c:pt idx="6">
                  <c:v>84.875</c:v>
                </c:pt>
                <c:pt idx="7">
                  <c:v>84.045000000000002</c:v>
                </c:pt>
                <c:pt idx="8">
                  <c:v>98.02000000000001</c:v>
                </c:pt>
                <c:pt idx="9">
                  <c:v>97.734999999999999</c:v>
                </c:pt>
                <c:pt idx="10">
                  <c:v>97.605000000000004</c:v>
                </c:pt>
                <c:pt idx="11">
                  <c:v>97.53</c:v>
                </c:pt>
              </c:numCache>
            </c:numRef>
          </c:xVal>
          <c:yVal>
            <c:numRef>
              <c:f>Similarity!$I$134:$I$145</c:f>
              <c:numCache>
                <c:formatCode>0.00</c:formatCode>
                <c:ptCount val="12"/>
                <c:pt idx="0">
                  <c:v>-0.22596475518528902</c:v>
                </c:pt>
                <c:pt idx="1">
                  <c:v>-0.34237704725302831</c:v>
                </c:pt>
                <c:pt idx="2">
                  <c:v>-0.41034980605904936</c:v>
                </c:pt>
                <c:pt idx="3">
                  <c:v>-0.55771125887078621</c:v>
                </c:pt>
                <c:pt idx="4">
                  <c:v>-0.96876325652727191</c:v>
                </c:pt>
                <c:pt idx="5">
                  <c:v>-1.6951496466711564</c:v>
                </c:pt>
                <c:pt idx="6">
                  <c:v>-2.2100493398466807</c:v>
                </c:pt>
                <c:pt idx="7">
                  <c:v>-2.577908971648962</c:v>
                </c:pt>
                <c:pt idx="8">
                  <c:v>-0.2315271922896105</c:v>
                </c:pt>
                <c:pt idx="9">
                  <c:v>-0.39651953941685103</c:v>
                </c:pt>
                <c:pt idx="10">
                  <c:v>-0.43398738114255897</c:v>
                </c:pt>
                <c:pt idx="11">
                  <c:v>-0.46777383002733774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5-8F4D-BF9B-6D42E278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15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positive or negative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ALARM -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Similarity!$H$146:$H$157</c:f>
              <c:numCache>
                <c:formatCode>0.00</c:formatCode>
                <c:ptCount val="12"/>
                <c:pt idx="0">
                  <c:v>91.27000000000001</c:v>
                </c:pt>
                <c:pt idx="1">
                  <c:v>89.614999999999995</c:v>
                </c:pt>
                <c:pt idx="2">
                  <c:v>88.99</c:v>
                </c:pt>
                <c:pt idx="3">
                  <c:v>88.289999999999992</c:v>
                </c:pt>
                <c:pt idx="4">
                  <c:v>94.564999999999998</c:v>
                </c:pt>
                <c:pt idx="5">
                  <c:v>94.224999999999994</c:v>
                </c:pt>
                <c:pt idx="6">
                  <c:v>93.905000000000001</c:v>
                </c:pt>
                <c:pt idx="7">
                  <c:v>93.844999999999999</c:v>
                </c:pt>
                <c:pt idx="8">
                  <c:v>96.784999999999997</c:v>
                </c:pt>
                <c:pt idx="9">
                  <c:v>96.789999999999992</c:v>
                </c:pt>
                <c:pt idx="10">
                  <c:v>96.435000000000002</c:v>
                </c:pt>
                <c:pt idx="11">
                  <c:v>96.34</c:v>
                </c:pt>
              </c:numCache>
            </c:numRef>
          </c:xVal>
          <c:yVal>
            <c:numRef>
              <c:f>Similarity!$I$146:$I$157</c:f>
              <c:numCache>
                <c:formatCode>0.00</c:formatCode>
                <c:ptCount val="12"/>
                <c:pt idx="0">
                  <c:v>-0.17190110872897435</c:v>
                </c:pt>
                <c:pt idx="1">
                  <c:v>-0.30012902285665066</c:v>
                </c:pt>
                <c:pt idx="2">
                  <c:v>-0.43603892459754312</c:v>
                </c:pt>
                <c:pt idx="3">
                  <c:v>-0.57840207497897889</c:v>
                </c:pt>
                <c:pt idx="4">
                  <c:v>-0.78892707186764754</c:v>
                </c:pt>
                <c:pt idx="5">
                  <c:v>-1.1586385193137341</c:v>
                </c:pt>
                <c:pt idx="6">
                  <c:v>-1.3952018322214315</c:v>
                </c:pt>
                <c:pt idx="7">
                  <c:v>-1.8552798187152</c:v>
                </c:pt>
                <c:pt idx="8">
                  <c:v>-0.61056829230131338</c:v>
                </c:pt>
                <c:pt idx="9">
                  <c:v>-0.71695897738593861</c:v>
                </c:pt>
                <c:pt idx="10">
                  <c:v>-0.71159759019754798</c:v>
                </c:pt>
                <c:pt idx="11">
                  <c:v>-0.82323279012611872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4-5F4E-9255-5D9F86C8E320}"/>
            </c:ext>
          </c:extLst>
        </c:ser>
        <c:ser>
          <c:idx val="1"/>
          <c:order val="1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Similarity!$H$158:$H$169</c:f>
              <c:numCache>
                <c:formatCode>0.00</c:formatCode>
                <c:ptCount val="12"/>
                <c:pt idx="0">
                  <c:v>83.85</c:v>
                </c:pt>
                <c:pt idx="1">
                  <c:v>79.824999999999989</c:v>
                </c:pt>
                <c:pt idx="2">
                  <c:v>77.974999999999994</c:v>
                </c:pt>
                <c:pt idx="3">
                  <c:v>76.905000000000001</c:v>
                </c:pt>
                <c:pt idx="4">
                  <c:v>94.984999999999999</c:v>
                </c:pt>
                <c:pt idx="5">
                  <c:v>93.98</c:v>
                </c:pt>
                <c:pt idx="6">
                  <c:v>93.33</c:v>
                </c:pt>
                <c:pt idx="7">
                  <c:v>93.164999999999992</c:v>
                </c:pt>
                <c:pt idx="8">
                  <c:v>98.075000000000003</c:v>
                </c:pt>
                <c:pt idx="9">
                  <c:v>98.224999999999994</c:v>
                </c:pt>
                <c:pt idx="10">
                  <c:v>97.835000000000008</c:v>
                </c:pt>
                <c:pt idx="11">
                  <c:v>97.82</c:v>
                </c:pt>
              </c:numCache>
            </c:numRef>
          </c:xVal>
          <c:yVal>
            <c:numRef>
              <c:f>Similarity!$I$158:$I$169</c:f>
              <c:numCache>
                <c:formatCode>0.00</c:formatCode>
                <c:ptCount val="12"/>
                <c:pt idx="0">
                  <c:v>-0.71394359107106808</c:v>
                </c:pt>
                <c:pt idx="1">
                  <c:v>-0.90148109741740767</c:v>
                </c:pt>
                <c:pt idx="2">
                  <c:v>-1.100253761182993</c:v>
                </c:pt>
                <c:pt idx="3">
                  <c:v>-1.3084645115470659</c:v>
                </c:pt>
                <c:pt idx="4">
                  <c:v>-1.6163641854102799</c:v>
                </c:pt>
                <c:pt idx="5">
                  <c:v>-2.1570792348081684</c:v>
                </c:pt>
                <c:pt idx="6">
                  <c:v>-2.5030607950444579</c:v>
                </c:pt>
                <c:pt idx="7">
                  <c:v>-3.1759398549500526</c:v>
                </c:pt>
                <c:pt idx="8">
                  <c:v>-1.35550865342727</c:v>
                </c:pt>
                <c:pt idx="9">
                  <c:v>-1.5111085001141844</c:v>
                </c:pt>
                <c:pt idx="10">
                  <c:v>-1.5032672964986684</c:v>
                </c:pt>
                <c:pt idx="11">
                  <c:v>-1.6665374171857561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4-5F4E-9255-5D9F86C8E320}"/>
            </c:ext>
          </c:extLst>
        </c:ser>
        <c:ser>
          <c:idx val="2"/>
          <c:order val="2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Similarity!$H$170:$H$181</c:f>
              <c:numCache>
                <c:formatCode>0.00</c:formatCode>
                <c:ptCount val="12"/>
                <c:pt idx="0">
                  <c:v>92.89500000000001</c:v>
                </c:pt>
                <c:pt idx="1">
                  <c:v>90.995000000000005</c:v>
                </c:pt>
                <c:pt idx="2">
                  <c:v>89.995000000000005</c:v>
                </c:pt>
                <c:pt idx="3">
                  <c:v>89.64500000000001</c:v>
                </c:pt>
                <c:pt idx="4">
                  <c:v>94.504999999999995</c:v>
                </c:pt>
                <c:pt idx="5">
                  <c:v>93.284999999999997</c:v>
                </c:pt>
                <c:pt idx="6">
                  <c:v>92.62</c:v>
                </c:pt>
                <c:pt idx="7">
                  <c:v>92.37</c:v>
                </c:pt>
                <c:pt idx="8">
                  <c:v>98.28</c:v>
                </c:pt>
                <c:pt idx="9">
                  <c:v>97.965000000000003</c:v>
                </c:pt>
                <c:pt idx="10">
                  <c:v>97.76</c:v>
                </c:pt>
                <c:pt idx="11">
                  <c:v>97.65</c:v>
                </c:pt>
              </c:numCache>
            </c:numRef>
          </c:xVal>
          <c:yVal>
            <c:numRef>
              <c:f>Similarity!$I$170:$I$181</c:f>
              <c:numCache>
                <c:formatCode>0.00</c:formatCode>
                <c:ptCount val="12"/>
                <c:pt idx="0">
                  <c:v>-0.25095411852995331</c:v>
                </c:pt>
                <c:pt idx="1">
                  <c:v>-0.51758055862057906</c:v>
                </c:pt>
                <c:pt idx="2">
                  <c:v>-0.62776542855563999</c:v>
                </c:pt>
                <c:pt idx="3">
                  <c:v>-0.78630329649957487</c:v>
                </c:pt>
                <c:pt idx="4">
                  <c:v>-1.6010937825875371</c:v>
                </c:pt>
                <c:pt idx="5">
                  <c:v>-2.0377404904552496</c:v>
                </c:pt>
                <c:pt idx="6">
                  <c:v>-2.5439500596268374</c:v>
                </c:pt>
                <c:pt idx="7">
                  <c:v>-2.6161083372401244</c:v>
                </c:pt>
                <c:pt idx="8">
                  <c:v>-0.70438992564916614</c:v>
                </c:pt>
                <c:pt idx="9">
                  <c:v>-1.0892031751068201</c:v>
                </c:pt>
                <c:pt idx="10">
                  <c:v>-1.1969058216827779</c:v>
                </c:pt>
                <c:pt idx="11">
                  <c:v>-1.2798004951968753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4-5F4E-9255-5D9F86C8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89136"/>
        <c:axId val="408799632"/>
      </c:scatterChart>
      <c:valAx>
        <c:axId val="408489136"/>
        <c:scaling>
          <c:orientation val="minMax"/>
          <c:max val="10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Similarity augmented vs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799632"/>
        <c:crosses val="autoZero"/>
        <c:crossBetween val="midCat"/>
        <c:majorUnit val="15"/>
      </c:valAx>
      <c:valAx>
        <c:axId val="40879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KL positive or negative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084891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473807</xdr:colOff>
      <xdr:row>2</xdr:row>
      <xdr:rowOff>15630</xdr:rowOff>
    </xdr:from>
    <xdr:to>
      <xdr:col>17</xdr:col>
      <xdr:colOff>63500</xdr:colOff>
      <xdr:row>15</xdr:row>
      <xdr:rowOff>91830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E728F-EB47-F24D-947A-9DD4D0DD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468923</xdr:colOff>
      <xdr:row>16</xdr:row>
      <xdr:rowOff>29308</xdr:rowOff>
    </xdr:from>
    <xdr:to>
      <xdr:col>17</xdr:col>
      <xdr:colOff>58616</xdr:colOff>
      <xdr:row>29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E6850-1503-EC46-BDD5-CCDFE3463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615462</xdr:colOff>
      <xdr:row>30</xdr:row>
      <xdr:rowOff>195384</xdr:rowOff>
    </xdr:from>
    <xdr:to>
      <xdr:col>17</xdr:col>
      <xdr:colOff>205155</xdr:colOff>
      <xdr:row>44</xdr:row>
      <xdr:rowOff>66430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EA5FF-E4A3-5346-AFD4-0AA17FF92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605691</xdr:colOff>
      <xdr:row>45</xdr:row>
      <xdr:rowOff>127000</xdr:rowOff>
    </xdr:from>
    <xdr:to>
      <xdr:col>17</xdr:col>
      <xdr:colOff>195384</xdr:colOff>
      <xdr:row>58</xdr:row>
      <xdr:rowOff>203200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41393-E9B4-5844-AE3B-E057C68E3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595923</xdr:colOff>
      <xdr:row>59</xdr:row>
      <xdr:rowOff>127000</xdr:rowOff>
    </xdr:from>
    <xdr:to>
      <xdr:col>17</xdr:col>
      <xdr:colOff>185616</xdr:colOff>
      <xdr:row>72</xdr:row>
      <xdr:rowOff>203200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8C15E-9F97-8D42-A0A3-0C2981AB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74</xdr:row>
      <xdr:rowOff>205153</xdr:rowOff>
    </xdr:from>
    <xdr:to>
      <xdr:col>17</xdr:col>
      <xdr:colOff>420077</xdr:colOff>
      <xdr:row>88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F0D1B-4A57-744F-A177-0338EEEFD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109</xdr:row>
      <xdr:rowOff>0</xdr:rowOff>
    </xdr:from>
    <xdr:to>
      <xdr:col>16</xdr:col>
      <xdr:colOff>415583</xdr:colOff>
      <xdr:row>122</xdr:row>
      <xdr:rowOff>73622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7CF223-C2B1-654B-90F7-76BB96EB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145</xdr:row>
      <xdr:rowOff>0</xdr:rowOff>
    </xdr:from>
    <xdr:to>
      <xdr:col>16</xdr:col>
      <xdr:colOff>415583</xdr:colOff>
      <xdr:row>158</xdr:row>
      <xdr:rowOff>73622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095BD1-30CA-7949-8DC7-6C186034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648a90eb2c7b15c/Tohoku%20U/PhD/Papers/4rd%20Paper/Code/Seed1/Metrics1.xlsx" TargetMode="External"/><Relationship Id="rId1" Type="http://schemas.openxmlformats.org/officeDocument/2006/relationships/externalLinkPath" Target="/a648a90eb2c7b15c/Tohoku%20U/PhD/Papers/4rd%20Paper/Code/Seed1/Metric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sum"/>
      <sheetName val="Sheet1"/>
      <sheetName val="Similarity"/>
      <sheetName val="Benchmark"/>
      <sheetName val="Asia"/>
      <sheetName val="Sports"/>
      <sheetName val="Insurance"/>
      <sheetName val="Alarm"/>
      <sheetName val="Summary"/>
      <sheetName val="Summary 2"/>
      <sheetName val="Comparison"/>
      <sheetName val="Comparison 2"/>
      <sheetName val="Data profiles"/>
      <sheetName val="Validation"/>
      <sheetName val="Mineros"/>
    </sheetNames>
    <sheetDataSet>
      <sheetData sheetId="0" refreshError="1"/>
      <sheetData sheetId="1" refreshError="1"/>
      <sheetData sheetId="2">
        <row r="2">
          <cell r="H2">
            <v>96.294999999999987</v>
          </cell>
          <cell r="I2">
            <v>-0.17680461895859301</v>
          </cell>
          <cell r="J2">
            <v>0</v>
          </cell>
        </row>
        <row r="3">
          <cell r="H3">
            <v>95.06</v>
          </cell>
          <cell r="I3">
            <v>-0.37463233127703277</v>
          </cell>
          <cell r="J3">
            <v>0</v>
          </cell>
        </row>
        <row r="4">
          <cell r="H4">
            <v>94.82</v>
          </cell>
          <cell r="I4">
            <v>-0.4595260710012552</v>
          </cell>
          <cell r="J4">
            <v>0</v>
          </cell>
        </row>
        <row r="5">
          <cell r="H5">
            <v>94.515000000000001</v>
          </cell>
          <cell r="I5">
            <v>-0.63014728835807676</v>
          </cell>
          <cell r="J5">
            <v>0</v>
          </cell>
        </row>
        <row r="6">
          <cell r="H6">
            <v>92.064999999999998</v>
          </cell>
          <cell r="I6">
            <v>-2.4503977789694211</v>
          </cell>
          <cell r="J6">
            <v>0</v>
          </cell>
        </row>
        <row r="7">
          <cell r="H7">
            <v>89.625</v>
          </cell>
          <cell r="I7">
            <v>-5.6866682273610865</v>
          </cell>
          <cell r="J7">
            <v>0</v>
          </cell>
        </row>
        <row r="8">
          <cell r="H8">
            <v>88.050000000000011</v>
          </cell>
          <cell r="I8">
            <v>-6.8324896619449902</v>
          </cell>
          <cell r="J8">
            <v>0</v>
          </cell>
        </row>
        <row r="9">
          <cell r="H9">
            <v>87.77</v>
          </cell>
          <cell r="I9">
            <v>-7.1118685752548778</v>
          </cell>
          <cell r="J9">
            <v>0</v>
          </cell>
        </row>
        <row r="10">
          <cell r="H10">
            <v>96.36</v>
          </cell>
          <cell r="I10">
            <v>-0.17095833746760003</v>
          </cell>
          <cell r="J10">
            <v>0</v>
          </cell>
        </row>
        <row r="11">
          <cell r="H11">
            <v>96.435000000000002</v>
          </cell>
          <cell r="I11">
            <v>-0.87792087515335404</v>
          </cell>
          <cell r="J11">
            <v>0</v>
          </cell>
        </row>
        <row r="12">
          <cell r="H12">
            <v>96.710000000000008</v>
          </cell>
          <cell r="I12">
            <v>-1.4479202538542255</v>
          </cell>
          <cell r="J12">
            <v>0</v>
          </cell>
        </row>
        <row r="13">
          <cell r="H13">
            <v>96.41</v>
          </cell>
          <cell r="I13">
            <v>-2.512999778035196</v>
          </cell>
          <cell r="J13">
            <v>0</v>
          </cell>
        </row>
        <row r="14">
          <cell r="H14">
            <v>95.444999999999993</v>
          </cell>
          <cell r="I14">
            <v>-6.3091263661898029</v>
          </cell>
          <cell r="J14">
            <v>0</v>
          </cell>
        </row>
        <row r="15">
          <cell r="H15">
            <v>94.52</v>
          </cell>
          <cell r="I15">
            <v>-8.2977178547948949</v>
          </cell>
          <cell r="J15">
            <v>0</v>
          </cell>
        </row>
        <row r="16">
          <cell r="H16">
            <v>93.6</v>
          </cell>
          <cell r="I16">
            <v>-8.1278468285540537</v>
          </cell>
          <cell r="J16">
            <v>0</v>
          </cell>
        </row>
        <row r="17">
          <cell r="H17">
            <v>93.050000000000011</v>
          </cell>
          <cell r="I17">
            <v>-7.9396095542960978</v>
          </cell>
          <cell r="J17">
            <v>0</v>
          </cell>
        </row>
        <row r="18">
          <cell r="H18">
            <v>92.555000000000007</v>
          </cell>
          <cell r="I18">
            <v>-6.3091263661898029</v>
          </cell>
          <cell r="J18">
            <v>0</v>
          </cell>
        </row>
        <row r="19">
          <cell r="H19">
            <v>91.025000000000006</v>
          </cell>
          <cell r="I19">
            <v>-8.2977178547948949</v>
          </cell>
          <cell r="J19">
            <v>0</v>
          </cell>
        </row>
        <row r="20">
          <cell r="H20">
            <v>89.789999999999992</v>
          </cell>
          <cell r="I20">
            <v>-8.1278468285540537</v>
          </cell>
          <cell r="J20">
            <v>0</v>
          </cell>
        </row>
        <row r="21">
          <cell r="H21">
            <v>89.44</v>
          </cell>
          <cell r="I21">
            <v>-7.9396095542960978</v>
          </cell>
          <cell r="J21">
            <v>0</v>
          </cell>
        </row>
        <row r="22">
          <cell r="H22">
            <v>98.954999999999998</v>
          </cell>
          <cell r="I22">
            <v>0.6813660347798246</v>
          </cell>
          <cell r="J22">
            <v>1</v>
          </cell>
        </row>
        <row r="23">
          <cell r="H23">
            <v>99.02000000000001</v>
          </cell>
          <cell r="I23">
            <v>0.81783334461740353</v>
          </cell>
          <cell r="J23">
            <v>1</v>
          </cell>
        </row>
        <row r="24">
          <cell r="H24">
            <v>99.14500000000001</v>
          </cell>
          <cell r="I24">
            <v>0.7686429819305125</v>
          </cell>
          <cell r="J24">
            <v>1</v>
          </cell>
        </row>
        <row r="25">
          <cell r="H25">
            <v>99.22</v>
          </cell>
          <cell r="I25">
            <v>0.79833978634509384</v>
          </cell>
          <cell r="J25">
            <v>1</v>
          </cell>
        </row>
        <row r="26">
          <cell r="H26">
            <v>97.34</v>
          </cell>
          <cell r="I26">
            <v>-9.3574207254358166E-2</v>
          </cell>
          <cell r="J26">
            <v>0</v>
          </cell>
        </row>
        <row r="27">
          <cell r="H27">
            <v>96.68</v>
          </cell>
          <cell r="I27">
            <v>-0.18972982935234728</v>
          </cell>
          <cell r="J27">
            <v>0</v>
          </cell>
        </row>
        <row r="28">
          <cell r="H28">
            <v>96.11</v>
          </cell>
          <cell r="I28">
            <v>-0.25141902510270353</v>
          </cell>
          <cell r="J28">
            <v>0</v>
          </cell>
        </row>
        <row r="29">
          <cell r="H29">
            <v>95.88</v>
          </cell>
          <cell r="I29">
            <v>-0.49218461099429844</v>
          </cell>
          <cell r="J29">
            <v>0</v>
          </cell>
        </row>
        <row r="30">
          <cell r="H30">
            <v>93.954999999999998</v>
          </cell>
          <cell r="I30">
            <v>-2.3514570084574067</v>
          </cell>
          <cell r="J30">
            <v>0</v>
          </cell>
        </row>
        <row r="31">
          <cell r="H31">
            <v>92.7</v>
          </cell>
          <cell r="I31">
            <v>-2.6378607510399177</v>
          </cell>
          <cell r="J31">
            <v>0</v>
          </cell>
        </row>
        <row r="32">
          <cell r="H32">
            <v>92.004999999999995</v>
          </cell>
          <cell r="I32">
            <v>-2.9928815890385985</v>
          </cell>
          <cell r="J32">
            <v>0</v>
          </cell>
        </row>
        <row r="33">
          <cell r="H33">
            <v>91.539999999999992</v>
          </cell>
          <cell r="I33">
            <v>-3.2288474000558844</v>
          </cell>
          <cell r="J33">
            <v>0</v>
          </cell>
        </row>
        <row r="34">
          <cell r="H34">
            <v>99.275000000000006</v>
          </cell>
          <cell r="I34">
            <v>0.67864047334526345</v>
          </cell>
          <cell r="J34">
            <v>1</v>
          </cell>
        </row>
        <row r="35">
          <cell r="H35">
            <v>99.10499999999999</v>
          </cell>
          <cell r="I35">
            <v>0.74847752805648748</v>
          </cell>
          <cell r="J35">
            <v>1</v>
          </cell>
        </row>
        <row r="36">
          <cell r="H36">
            <v>99.125</v>
          </cell>
          <cell r="I36">
            <v>0.71346255600893371</v>
          </cell>
          <cell r="J36">
            <v>1</v>
          </cell>
        </row>
        <row r="37">
          <cell r="H37">
            <v>98.985000000000014</v>
          </cell>
          <cell r="I37">
            <v>0.68005094393590793</v>
          </cell>
          <cell r="J37">
            <v>1</v>
          </cell>
        </row>
        <row r="38">
          <cell r="H38">
            <v>87.24</v>
          </cell>
          <cell r="I38">
            <v>-0.30609939928522611</v>
          </cell>
          <cell r="J38">
            <v>0</v>
          </cell>
        </row>
        <row r="39">
          <cell r="H39">
            <v>84.789999999999992</v>
          </cell>
          <cell r="I39">
            <v>-0.50422781382638182</v>
          </cell>
          <cell r="J39">
            <v>0</v>
          </cell>
        </row>
        <row r="40">
          <cell r="H40">
            <v>83.22</v>
          </cell>
          <cell r="I40">
            <v>-0.74786654728965996</v>
          </cell>
          <cell r="J40">
            <v>0</v>
          </cell>
        </row>
        <row r="41">
          <cell r="H41">
            <v>82.594999999999999</v>
          </cell>
          <cell r="I41">
            <v>-1.0242525510441864</v>
          </cell>
          <cell r="J41">
            <v>0</v>
          </cell>
        </row>
        <row r="42">
          <cell r="H42">
            <v>94.085000000000008</v>
          </cell>
          <cell r="I42">
            <v>8.759998942208691E-2</v>
          </cell>
          <cell r="J42">
            <v>1</v>
          </cell>
        </row>
        <row r="43">
          <cell r="H43">
            <v>92.259999999999991</v>
          </cell>
          <cell r="I43">
            <v>7.8941051405648444E-2</v>
          </cell>
          <cell r="J43">
            <v>1</v>
          </cell>
        </row>
        <row r="44">
          <cell r="H44">
            <v>92.009999999999991</v>
          </cell>
          <cell r="I44">
            <v>-0.19237190846815699</v>
          </cell>
          <cell r="J44">
            <v>0</v>
          </cell>
        </row>
        <row r="45">
          <cell r="H45">
            <v>91.705000000000013</v>
          </cell>
          <cell r="I45">
            <v>-9.2345561031202728E-2</v>
          </cell>
          <cell r="J45">
            <v>0</v>
          </cell>
        </row>
        <row r="46">
          <cell r="H46">
            <v>97.17</v>
          </cell>
          <cell r="I46">
            <v>0.3028086293263117</v>
          </cell>
          <cell r="J46">
            <v>1</v>
          </cell>
        </row>
        <row r="47">
          <cell r="H47">
            <v>96.17</v>
          </cell>
          <cell r="I47">
            <v>0.53043699674858558</v>
          </cell>
          <cell r="J47">
            <v>1</v>
          </cell>
        </row>
        <row r="48">
          <cell r="H48">
            <v>96.205000000000013</v>
          </cell>
          <cell r="I48">
            <v>0.58730257521582563</v>
          </cell>
          <cell r="J48">
            <v>1</v>
          </cell>
        </row>
        <row r="49">
          <cell r="H49">
            <v>96.169999999999987</v>
          </cell>
          <cell r="I49">
            <v>0.62981702925140781</v>
          </cell>
          <cell r="J49">
            <v>1</v>
          </cell>
        </row>
        <row r="50">
          <cell r="H50">
            <v>90.36</v>
          </cell>
          <cell r="I50">
            <v>-1.3335390698951013</v>
          </cell>
          <cell r="J50">
            <v>0</v>
          </cell>
        </row>
        <row r="51">
          <cell r="H51">
            <v>87.825000000000003</v>
          </cell>
          <cell r="I51">
            <v>-2.3301253709065071</v>
          </cell>
          <cell r="J51">
            <v>0</v>
          </cell>
        </row>
        <row r="52">
          <cell r="H52">
            <v>86.594999999999999</v>
          </cell>
          <cell r="I52">
            <v>-3.4145153056361428</v>
          </cell>
          <cell r="J52">
            <v>0</v>
          </cell>
        </row>
        <row r="53">
          <cell r="H53">
            <v>85.97999999999999</v>
          </cell>
          <cell r="I53">
            <v>-4.7784391799678456</v>
          </cell>
          <cell r="J53">
            <v>0</v>
          </cell>
        </row>
        <row r="54">
          <cell r="H54">
            <v>92.77000000000001</v>
          </cell>
          <cell r="I54">
            <v>-3.3152734408684532</v>
          </cell>
          <cell r="J54">
            <v>0</v>
          </cell>
        </row>
        <row r="55">
          <cell r="H55">
            <v>91.055000000000007</v>
          </cell>
          <cell r="I55">
            <v>-5.9735031263491791</v>
          </cell>
          <cell r="J55">
            <v>0</v>
          </cell>
        </row>
        <row r="56">
          <cell r="H56">
            <v>90.259999999999991</v>
          </cell>
          <cell r="I56">
            <v>-6.874233400666844</v>
          </cell>
          <cell r="J56">
            <v>0</v>
          </cell>
        </row>
        <row r="57">
          <cell r="H57">
            <v>89.85499999999999</v>
          </cell>
          <cell r="I57">
            <v>-7.7972514940759616</v>
          </cell>
          <cell r="J57">
            <v>0</v>
          </cell>
        </row>
        <row r="58">
          <cell r="H58">
            <v>97.365000000000009</v>
          </cell>
          <cell r="I58">
            <v>0.22268686976877461</v>
          </cell>
          <cell r="J58">
            <v>1</v>
          </cell>
        </row>
        <row r="59">
          <cell r="H59">
            <v>97.740000000000009</v>
          </cell>
          <cell r="I59">
            <v>0.3036561604349528</v>
          </cell>
          <cell r="J59">
            <v>1</v>
          </cell>
        </row>
        <row r="60">
          <cell r="H60">
            <v>97.9</v>
          </cell>
          <cell r="I60">
            <v>0.23311999668558991</v>
          </cell>
          <cell r="J60">
            <v>1</v>
          </cell>
        </row>
        <row r="61">
          <cell r="H61">
            <v>97.97999999999999</v>
          </cell>
          <cell r="I61">
            <v>7.7015369500866737E-2</v>
          </cell>
          <cell r="J61">
            <v>1</v>
          </cell>
        </row>
        <row r="62">
          <cell r="H62">
            <v>95.35</v>
          </cell>
          <cell r="I62">
            <v>-0.35305486281866627</v>
          </cell>
          <cell r="J62">
            <v>0</v>
          </cell>
        </row>
        <row r="63">
          <cell r="H63">
            <v>94.284999999999997</v>
          </cell>
          <cell r="I63">
            <v>-1.0412807037082938</v>
          </cell>
          <cell r="J63">
            <v>0</v>
          </cell>
        </row>
        <row r="64">
          <cell r="H64">
            <v>93.894999999999996</v>
          </cell>
          <cell r="I64">
            <v>-1.3889880889582891</v>
          </cell>
          <cell r="J64">
            <v>0</v>
          </cell>
        </row>
        <row r="65">
          <cell r="H65">
            <v>93.56</v>
          </cell>
          <cell r="I65">
            <v>-1.8555843281387632</v>
          </cell>
          <cell r="J65">
            <v>0</v>
          </cell>
        </row>
        <row r="66">
          <cell r="H66">
            <v>91.424999999999997</v>
          </cell>
          <cell r="I66">
            <v>-2.7189749404076924</v>
          </cell>
          <cell r="J66">
            <v>0</v>
          </cell>
        </row>
        <row r="67">
          <cell r="H67">
            <v>89.36</v>
          </cell>
          <cell r="I67">
            <v>-4.1226611903574124</v>
          </cell>
          <cell r="J67">
            <v>0</v>
          </cell>
        </row>
        <row r="68">
          <cell r="H68">
            <v>88.09</v>
          </cell>
          <cell r="I68">
            <v>-4.6284801896365559</v>
          </cell>
          <cell r="J68">
            <v>0</v>
          </cell>
        </row>
        <row r="69">
          <cell r="H69">
            <v>87.66</v>
          </cell>
          <cell r="I69">
            <v>-5.0734199651883092</v>
          </cell>
          <cell r="J69">
            <v>0</v>
          </cell>
        </row>
        <row r="70">
          <cell r="H70">
            <v>98.495000000000005</v>
          </cell>
          <cell r="I70">
            <v>0.2542715236427987</v>
          </cell>
          <cell r="J70">
            <v>1</v>
          </cell>
        </row>
        <row r="71">
          <cell r="H71">
            <v>98.775000000000006</v>
          </cell>
          <cell r="I71">
            <v>0.35436503818241627</v>
          </cell>
          <cell r="J71">
            <v>1</v>
          </cell>
        </row>
        <row r="72">
          <cell r="H72">
            <v>98.58</v>
          </cell>
          <cell r="I72">
            <v>0.22890351977865186</v>
          </cell>
          <cell r="J72">
            <v>1</v>
          </cell>
        </row>
        <row r="73">
          <cell r="H73">
            <v>98.56</v>
          </cell>
          <cell r="I73">
            <v>0.19115674042326891</v>
          </cell>
          <cell r="J73">
            <v>1</v>
          </cell>
        </row>
        <row r="74">
          <cell r="H74">
            <v>85.97999999999999</v>
          </cell>
          <cell r="I74">
            <v>5.0981449560030034E-2</v>
          </cell>
          <cell r="J74">
            <v>1</v>
          </cell>
        </row>
        <row r="75">
          <cell r="H75">
            <v>82.490000000000009</v>
          </cell>
          <cell r="I75">
            <v>4.6804968976624006E-2</v>
          </cell>
          <cell r="J75">
            <v>1</v>
          </cell>
        </row>
        <row r="76">
          <cell r="H76">
            <v>80.685000000000002</v>
          </cell>
          <cell r="I76">
            <v>-2.7972935497453388E-2</v>
          </cell>
          <cell r="J76">
            <v>0</v>
          </cell>
        </row>
        <row r="77">
          <cell r="H77">
            <v>79.844999999999999</v>
          </cell>
          <cell r="I77">
            <v>-3.2697107441549189E-2</v>
          </cell>
          <cell r="J77">
            <v>0</v>
          </cell>
        </row>
        <row r="78">
          <cell r="H78">
            <v>90.515000000000001</v>
          </cell>
          <cell r="I78">
            <v>-8.9577860872501747E-2</v>
          </cell>
          <cell r="J78">
            <v>0</v>
          </cell>
        </row>
        <row r="79">
          <cell r="H79">
            <v>89.02000000000001</v>
          </cell>
          <cell r="I79">
            <v>0.15224223507233803</v>
          </cell>
          <cell r="J79">
            <v>1</v>
          </cell>
        </row>
        <row r="80">
          <cell r="H80">
            <v>87.935000000000002</v>
          </cell>
          <cell r="I80">
            <v>0.35046442891553897</v>
          </cell>
          <cell r="J80">
            <v>1</v>
          </cell>
        </row>
        <row r="81">
          <cell r="H81">
            <v>87.795000000000002</v>
          </cell>
          <cell r="I81">
            <v>0.46161872452567254</v>
          </cell>
          <cell r="J81">
            <v>1</v>
          </cell>
        </row>
        <row r="82">
          <cell r="H82">
            <v>92.305000000000007</v>
          </cell>
          <cell r="I82">
            <v>-5.7613724771465646E-2</v>
          </cell>
          <cell r="J82">
            <v>0</v>
          </cell>
        </row>
        <row r="83">
          <cell r="H83">
            <v>91.60499999999999</v>
          </cell>
          <cell r="I83">
            <v>0.16145246680188852</v>
          </cell>
          <cell r="J83">
            <v>1</v>
          </cell>
        </row>
        <row r="84">
          <cell r="H84">
            <v>91.300000000000011</v>
          </cell>
          <cell r="I84">
            <v>0.34999421584489809</v>
          </cell>
          <cell r="J84">
            <v>1</v>
          </cell>
        </row>
        <row r="85">
          <cell r="H85">
            <v>91.275000000000006</v>
          </cell>
          <cell r="I85">
            <v>0.49674978573245299</v>
          </cell>
          <cell r="J85">
            <v>1</v>
          </cell>
        </row>
        <row r="86">
          <cell r="H86">
            <v>69.204999999999998</v>
          </cell>
          <cell r="I86">
            <v>-9.6317570496321503E-2</v>
          </cell>
          <cell r="J86">
            <v>0</v>
          </cell>
        </row>
        <row r="87">
          <cell r="H87">
            <v>61.775000000000006</v>
          </cell>
          <cell r="I87">
            <v>-0.17195034093524764</v>
          </cell>
          <cell r="J87">
            <v>0</v>
          </cell>
        </row>
        <row r="88">
          <cell r="H88">
            <v>58.13</v>
          </cell>
          <cell r="I88">
            <v>-0.23012157682178391</v>
          </cell>
          <cell r="J88">
            <v>0</v>
          </cell>
        </row>
        <row r="89">
          <cell r="H89">
            <v>56.265000000000001</v>
          </cell>
          <cell r="I89">
            <v>-0.29633416138299218</v>
          </cell>
          <cell r="J89">
            <v>0</v>
          </cell>
        </row>
        <row r="90">
          <cell r="H90">
            <v>92.35499999999999</v>
          </cell>
          <cell r="I90">
            <v>0.14569862579628778</v>
          </cell>
          <cell r="J90">
            <v>1</v>
          </cell>
        </row>
        <row r="91">
          <cell r="H91">
            <v>90.81</v>
          </cell>
          <cell r="I91">
            <v>0.22618684626675167</v>
          </cell>
          <cell r="J91">
            <v>1</v>
          </cell>
        </row>
        <row r="92">
          <cell r="H92">
            <v>90.13</v>
          </cell>
          <cell r="I92">
            <v>0.20460524152444848</v>
          </cell>
          <cell r="J92">
            <v>1</v>
          </cell>
        </row>
        <row r="93">
          <cell r="H93">
            <v>89.82</v>
          </cell>
          <cell r="I93">
            <v>0.20288038718047607</v>
          </cell>
          <cell r="J93">
            <v>1</v>
          </cell>
        </row>
        <row r="94">
          <cell r="H94">
            <v>96.51</v>
          </cell>
          <cell r="I94">
            <v>0.15800779323271197</v>
          </cell>
          <cell r="J94">
            <v>1</v>
          </cell>
        </row>
        <row r="95">
          <cell r="H95">
            <v>95.89500000000001</v>
          </cell>
          <cell r="I95">
            <v>0.37521665306512897</v>
          </cell>
          <cell r="J95">
            <v>1</v>
          </cell>
        </row>
        <row r="96">
          <cell r="H96">
            <v>96.125</v>
          </cell>
          <cell r="I96">
            <v>0.49076859150845542</v>
          </cell>
          <cell r="J96">
            <v>1</v>
          </cell>
        </row>
        <row r="97">
          <cell r="H97">
            <v>95.800000000000011</v>
          </cell>
          <cell r="I97">
            <v>0.52239298878097351</v>
          </cell>
          <cell r="J97">
            <v>1</v>
          </cell>
        </row>
        <row r="98">
          <cell r="H98">
            <v>75.990000000000009</v>
          </cell>
          <cell r="I98">
            <v>-0.20730958277174705</v>
          </cell>
          <cell r="J98">
            <v>0</v>
          </cell>
        </row>
        <row r="99">
          <cell r="H99">
            <v>69.819999999999993</v>
          </cell>
          <cell r="I99">
            <v>-0.36315596488579249</v>
          </cell>
          <cell r="J99">
            <v>0</v>
          </cell>
        </row>
        <row r="100">
          <cell r="H100">
            <v>67.3</v>
          </cell>
          <cell r="I100">
            <v>-0.50926159542819072</v>
          </cell>
          <cell r="J100">
            <v>0</v>
          </cell>
        </row>
        <row r="101">
          <cell r="H101">
            <v>65.685000000000002</v>
          </cell>
          <cell r="I101">
            <v>-0.70234735095999268</v>
          </cell>
          <cell r="J101">
            <v>0</v>
          </cell>
        </row>
        <row r="102">
          <cell r="H102">
            <v>89.995000000000005</v>
          </cell>
          <cell r="I102">
            <v>-0.13939719373257242</v>
          </cell>
          <cell r="J102">
            <v>0</v>
          </cell>
        </row>
        <row r="103">
          <cell r="H103">
            <v>87.22</v>
          </cell>
          <cell r="I103">
            <v>-0.16698873751071552</v>
          </cell>
          <cell r="J103">
            <v>0</v>
          </cell>
        </row>
        <row r="104">
          <cell r="H104">
            <v>86.27</v>
          </cell>
          <cell r="I104">
            <v>-0.24072398348923985</v>
          </cell>
          <cell r="J104">
            <v>0</v>
          </cell>
        </row>
        <row r="105">
          <cell r="H105">
            <v>85.64</v>
          </cell>
          <cell r="I105">
            <v>-0.34006367346856892</v>
          </cell>
          <cell r="J105">
            <v>0</v>
          </cell>
        </row>
        <row r="106">
          <cell r="H106">
            <v>97.64</v>
          </cell>
          <cell r="I106">
            <v>9.0075335735342321E-2</v>
          </cell>
          <cell r="J106">
            <v>1</v>
          </cell>
        </row>
        <row r="107">
          <cell r="H107">
            <v>97.18</v>
          </cell>
          <cell r="I107">
            <v>0.24909686402900466</v>
          </cell>
          <cell r="J107">
            <v>1</v>
          </cell>
        </row>
        <row r="108">
          <cell r="H108">
            <v>97.11</v>
          </cell>
          <cell r="I108">
            <v>0.34554794846933379</v>
          </cell>
          <cell r="J108">
            <v>1</v>
          </cell>
        </row>
        <row r="109">
          <cell r="H109">
            <v>97.2</v>
          </cell>
          <cell r="I109">
            <v>0.30632323088429081</v>
          </cell>
          <cell r="J109">
            <v>1</v>
          </cell>
        </row>
        <row r="110">
          <cell r="H110">
            <v>91</v>
          </cell>
          <cell r="I110">
            <v>1.3359786356625158E-2</v>
          </cell>
        </row>
        <row r="111">
          <cell r="H111">
            <v>88.78</v>
          </cell>
          <cell r="I111">
            <v>-3.8657941455617628E-3</v>
          </cell>
        </row>
        <row r="112">
          <cell r="H112">
            <v>88.10499999999999</v>
          </cell>
          <cell r="I112">
            <v>-6.1639201980327352E-2</v>
          </cell>
        </row>
        <row r="113">
          <cell r="H113">
            <v>87.44</v>
          </cell>
          <cell r="I113">
            <v>-0.11269839457142861</v>
          </cell>
        </row>
        <row r="114">
          <cell r="H114">
            <v>91.224999999999994</v>
          </cell>
          <cell r="I114">
            <v>-0.46380195138009461</v>
          </cell>
        </row>
        <row r="115">
          <cell r="H115">
            <v>88.92</v>
          </cell>
          <cell r="I115">
            <v>-0.53247587338794933</v>
          </cell>
        </row>
        <row r="116">
          <cell r="H116">
            <v>88.335000000000008</v>
          </cell>
          <cell r="I116">
            <v>-0.53132518425301178</v>
          </cell>
        </row>
        <row r="117">
          <cell r="H117">
            <v>88.004999999999995</v>
          </cell>
          <cell r="I117">
            <v>-0.61789995633091288</v>
          </cell>
        </row>
        <row r="118">
          <cell r="H118">
            <v>96.355000000000004</v>
          </cell>
          <cell r="I118">
            <v>-2.8582646416193125E-2</v>
          </cell>
        </row>
        <row r="119">
          <cell r="H119">
            <v>96.65</v>
          </cell>
          <cell r="I119">
            <v>-1.6651228978200594E-2</v>
          </cell>
        </row>
        <row r="120">
          <cell r="H120">
            <v>96.185000000000002</v>
          </cell>
          <cell r="I120">
            <v>9.0623906876353688E-3</v>
          </cell>
        </row>
        <row r="121">
          <cell r="H121">
            <v>96.25</v>
          </cell>
          <cell r="I121">
            <v>2.0012308773961207E-3</v>
          </cell>
        </row>
        <row r="122">
          <cell r="H122">
            <v>92.164999999999992</v>
          </cell>
          <cell r="I122">
            <v>-6.9873869508348729E-2</v>
          </cell>
        </row>
        <row r="123">
          <cell r="H123">
            <v>90.3</v>
          </cell>
          <cell r="I123">
            <v>-0.1722748235683822</v>
          </cell>
        </row>
        <row r="124">
          <cell r="H124">
            <v>89.7</v>
          </cell>
          <cell r="I124">
            <v>-0.232389378825828</v>
          </cell>
        </row>
        <row r="125">
          <cell r="H125">
            <v>89.314999999999998</v>
          </cell>
          <cell r="I125">
            <v>-0.28076471568523154</v>
          </cell>
        </row>
        <row r="126">
          <cell r="H126">
            <v>91.574999999999989</v>
          </cell>
          <cell r="I126">
            <v>-0.70064521630437437</v>
          </cell>
        </row>
        <row r="127">
          <cell r="H127">
            <v>89.63</v>
          </cell>
          <cell r="I127">
            <v>-0.96595831644808605</v>
          </cell>
        </row>
        <row r="128">
          <cell r="H128">
            <v>88.754999999999995</v>
          </cell>
          <cell r="I128">
            <v>-1.2321743545530928</v>
          </cell>
        </row>
        <row r="129">
          <cell r="H129">
            <v>88.194999999999993</v>
          </cell>
          <cell r="I129">
            <v>-1.3399263178025955</v>
          </cell>
        </row>
        <row r="130">
          <cell r="H130">
            <v>97.765000000000001</v>
          </cell>
          <cell r="I130">
            <v>1.8310679942006969E-2</v>
          </cell>
        </row>
        <row r="131">
          <cell r="H131">
            <v>98.10499999999999</v>
          </cell>
          <cell r="I131">
            <v>-3.5895319870641096E-2</v>
          </cell>
        </row>
        <row r="132">
          <cell r="H132">
            <v>98.03</v>
          </cell>
          <cell r="I132">
            <v>-9.9091753050464693E-2</v>
          </cell>
        </row>
        <row r="133">
          <cell r="H133">
            <v>97.990000000000009</v>
          </cell>
          <cell r="I133">
            <v>-7.1462466375553868E-2</v>
          </cell>
        </row>
        <row r="134">
          <cell r="H134">
            <v>92.85499999999999</v>
          </cell>
          <cell r="I134">
            <v>-0.22596475518528902</v>
          </cell>
        </row>
        <row r="135">
          <cell r="H135">
            <v>90.87</v>
          </cell>
          <cell r="I135">
            <v>-0.34237704725302831</v>
          </cell>
        </row>
        <row r="136">
          <cell r="H136">
            <v>90.16</v>
          </cell>
          <cell r="I136">
            <v>-0.41034980605904936</v>
          </cell>
        </row>
        <row r="137">
          <cell r="H137">
            <v>89.60499999999999</v>
          </cell>
          <cell r="I137">
            <v>-0.55771125887078621</v>
          </cell>
        </row>
        <row r="138">
          <cell r="H138">
            <v>88.88</v>
          </cell>
          <cell r="I138">
            <v>-0.96876325652727191</v>
          </cell>
        </row>
        <row r="139">
          <cell r="H139">
            <v>86.245000000000005</v>
          </cell>
          <cell r="I139">
            <v>-1.6951496466711564</v>
          </cell>
        </row>
        <row r="140">
          <cell r="H140">
            <v>84.875</v>
          </cell>
          <cell r="I140">
            <v>-2.2100493398466807</v>
          </cell>
        </row>
        <row r="141">
          <cell r="H141">
            <v>84.045000000000002</v>
          </cell>
          <cell r="I141">
            <v>-2.577908971648962</v>
          </cell>
        </row>
        <row r="142">
          <cell r="H142">
            <v>98.02000000000001</v>
          </cell>
          <cell r="I142">
            <v>-0.2315271922896105</v>
          </cell>
        </row>
        <row r="143">
          <cell r="H143">
            <v>97.734999999999999</v>
          </cell>
          <cell r="I143">
            <v>-0.39651953941685103</v>
          </cell>
        </row>
        <row r="144">
          <cell r="H144">
            <v>97.605000000000004</v>
          </cell>
          <cell r="I144">
            <v>-0.43398738114255897</v>
          </cell>
        </row>
        <row r="145">
          <cell r="H145">
            <v>97.53</v>
          </cell>
          <cell r="I145">
            <v>-0.46777383002733774</v>
          </cell>
        </row>
        <row r="146">
          <cell r="H146">
            <v>91.27000000000001</v>
          </cell>
          <cell r="I146">
            <v>-0.17190110872897435</v>
          </cell>
        </row>
        <row r="147">
          <cell r="H147">
            <v>89.614999999999995</v>
          </cell>
          <cell r="I147">
            <v>-0.30012902285665066</v>
          </cell>
        </row>
        <row r="148">
          <cell r="H148">
            <v>88.99</v>
          </cell>
          <cell r="I148">
            <v>-0.43603892459754312</v>
          </cell>
        </row>
        <row r="149">
          <cell r="H149">
            <v>88.289999999999992</v>
          </cell>
          <cell r="I149">
            <v>-0.57840207497897889</v>
          </cell>
        </row>
        <row r="150">
          <cell r="H150">
            <v>94.564999999999998</v>
          </cell>
          <cell r="I150">
            <v>-0.78892707186764754</v>
          </cell>
        </row>
        <row r="151">
          <cell r="H151">
            <v>94.224999999999994</v>
          </cell>
          <cell r="I151">
            <v>-1.1586385193137341</v>
          </cell>
        </row>
        <row r="152">
          <cell r="H152">
            <v>93.905000000000001</v>
          </cell>
          <cell r="I152">
            <v>-1.3952018322214315</v>
          </cell>
        </row>
        <row r="153">
          <cell r="H153">
            <v>93.844999999999999</v>
          </cell>
          <cell r="I153">
            <v>-1.8552798187152</v>
          </cell>
        </row>
        <row r="154">
          <cell r="H154">
            <v>96.784999999999997</v>
          </cell>
          <cell r="I154">
            <v>-0.61056829230131338</v>
          </cell>
        </row>
        <row r="155">
          <cell r="H155">
            <v>96.789999999999992</v>
          </cell>
          <cell r="I155">
            <v>-0.71695897738593861</v>
          </cell>
        </row>
        <row r="156">
          <cell r="H156">
            <v>96.435000000000002</v>
          </cell>
          <cell r="I156">
            <v>-0.71159759019754798</v>
          </cell>
        </row>
        <row r="157">
          <cell r="H157">
            <v>96.34</v>
          </cell>
          <cell r="I157">
            <v>-0.82323279012611872</v>
          </cell>
        </row>
        <row r="158">
          <cell r="H158">
            <v>83.85</v>
          </cell>
          <cell r="I158">
            <v>-0.71394359107106808</v>
          </cell>
        </row>
        <row r="159">
          <cell r="H159">
            <v>79.824999999999989</v>
          </cell>
          <cell r="I159">
            <v>-0.90148109741740767</v>
          </cell>
        </row>
        <row r="160">
          <cell r="H160">
            <v>77.974999999999994</v>
          </cell>
          <cell r="I160">
            <v>-1.100253761182993</v>
          </cell>
        </row>
        <row r="161">
          <cell r="H161">
            <v>76.905000000000001</v>
          </cell>
          <cell r="I161">
            <v>-1.3084645115470659</v>
          </cell>
        </row>
        <row r="162">
          <cell r="H162">
            <v>94.984999999999999</v>
          </cell>
          <cell r="I162">
            <v>-1.6163641854102799</v>
          </cell>
        </row>
        <row r="163">
          <cell r="H163">
            <v>93.98</v>
          </cell>
          <cell r="I163">
            <v>-2.1570792348081684</v>
          </cell>
        </row>
        <row r="164">
          <cell r="H164">
            <v>93.33</v>
          </cell>
          <cell r="I164">
            <v>-2.5030607950444579</v>
          </cell>
        </row>
        <row r="165">
          <cell r="H165">
            <v>93.164999999999992</v>
          </cell>
          <cell r="I165">
            <v>-3.1759398549500526</v>
          </cell>
        </row>
        <row r="166">
          <cell r="H166">
            <v>98.075000000000003</v>
          </cell>
          <cell r="I166">
            <v>-1.35550865342727</v>
          </cell>
        </row>
        <row r="167">
          <cell r="H167">
            <v>98.224999999999994</v>
          </cell>
          <cell r="I167">
            <v>-1.5111085001141844</v>
          </cell>
        </row>
        <row r="168">
          <cell r="H168">
            <v>97.835000000000008</v>
          </cell>
          <cell r="I168">
            <v>-1.5032672964986684</v>
          </cell>
        </row>
        <row r="169">
          <cell r="H169">
            <v>97.82</v>
          </cell>
          <cell r="I169">
            <v>-1.6665374171857561</v>
          </cell>
        </row>
        <row r="170">
          <cell r="H170">
            <v>92.89500000000001</v>
          </cell>
          <cell r="I170">
            <v>-0.25095411852995331</v>
          </cell>
        </row>
        <row r="171">
          <cell r="H171">
            <v>90.995000000000005</v>
          </cell>
          <cell r="I171">
            <v>-0.51758055862057906</v>
          </cell>
        </row>
        <row r="172">
          <cell r="H172">
            <v>89.995000000000005</v>
          </cell>
          <cell r="I172">
            <v>-0.62776542855563999</v>
          </cell>
        </row>
        <row r="173">
          <cell r="H173">
            <v>89.64500000000001</v>
          </cell>
          <cell r="I173">
            <v>-0.78630329649957487</v>
          </cell>
        </row>
        <row r="174">
          <cell r="H174">
            <v>94.504999999999995</v>
          </cell>
          <cell r="I174">
            <v>-1.6010937825875371</v>
          </cell>
        </row>
        <row r="175">
          <cell r="H175">
            <v>93.284999999999997</v>
          </cell>
          <cell r="I175">
            <v>-2.0377404904552496</v>
          </cell>
        </row>
        <row r="176">
          <cell r="H176">
            <v>92.62</v>
          </cell>
          <cell r="I176">
            <v>-2.5439500596268374</v>
          </cell>
        </row>
        <row r="177">
          <cell r="H177">
            <v>92.37</v>
          </cell>
          <cell r="I177">
            <v>-2.6161083372401244</v>
          </cell>
        </row>
        <row r="178">
          <cell r="H178">
            <v>98.28</v>
          </cell>
          <cell r="I178">
            <v>-0.70438992564916614</v>
          </cell>
        </row>
        <row r="179">
          <cell r="H179">
            <v>97.965000000000003</v>
          </cell>
          <cell r="I179">
            <v>-1.0892031751068201</v>
          </cell>
        </row>
        <row r="180">
          <cell r="H180">
            <v>97.76</v>
          </cell>
          <cell r="I180">
            <v>-1.1969058216827779</v>
          </cell>
        </row>
        <row r="181">
          <cell r="H181">
            <v>97.65</v>
          </cell>
          <cell r="I181">
            <v>-1.2798004951968753</v>
          </cell>
        </row>
      </sheetData>
      <sheetData sheetId="3">
        <row r="6">
          <cell r="U6">
            <v>-0.30609939928522611</v>
          </cell>
          <cell r="V6">
            <v>8.759998942208691E-2</v>
          </cell>
          <cell r="W6">
            <v>0.3028086293263117</v>
          </cell>
        </row>
        <row r="7">
          <cell r="U7">
            <v>-0.50422781382638182</v>
          </cell>
          <cell r="V7">
            <v>7.8941051405648444E-2</v>
          </cell>
          <cell r="W7">
            <v>0.53043699674858558</v>
          </cell>
        </row>
        <row r="8">
          <cell r="U8">
            <v>-0.74786654728965996</v>
          </cell>
          <cell r="V8">
            <v>-0.19237190846815699</v>
          </cell>
          <cell r="W8">
            <v>0.58730257521582563</v>
          </cell>
        </row>
        <row r="9">
          <cell r="U9">
            <v>-1.0242525510441864</v>
          </cell>
          <cell r="V9">
            <v>-9.2345561031202728E-2</v>
          </cell>
          <cell r="W9">
            <v>0.62981702925140781</v>
          </cell>
        </row>
        <row r="11">
          <cell r="U11">
            <v>-1.3335390698951013</v>
          </cell>
          <cell r="V11">
            <v>-3.3152734408684532</v>
          </cell>
          <cell r="W11">
            <v>0.22268686976877461</v>
          </cell>
        </row>
        <row r="12">
          <cell r="U12">
            <v>-2.3301253709065071</v>
          </cell>
          <cell r="V12">
            <v>-5.9735031263491791</v>
          </cell>
          <cell r="W12">
            <v>0.3036561604349528</v>
          </cell>
        </row>
        <row r="13">
          <cell r="U13">
            <v>-3.4145153056361428</v>
          </cell>
          <cell r="V13">
            <v>-6.874233400666844</v>
          </cell>
          <cell r="W13">
            <v>0.23311999668558991</v>
          </cell>
        </row>
        <row r="14">
          <cell r="U14">
            <v>-4.7784391799678456</v>
          </cell>
          <cell r="V14">
            <v>-7.7972514940759616</v>
          </cell>
          <cell r="W14">
            <v>7.7015369500866737E-2</v>
          </cell>
        </row>
        <row r="16">
          <cell r="U16">
            <v>-0.35305486281866627</v>
          </cell>
          <cell r="V16">
            <v>-2.7189749404076924</v>
          </cell>
          <cell r="W16">
            <v>0.2542715236427987</v>
          </cell>
        </row>
        <row r="17">
          <cell r="U17">
            <v>-1.0412807037082938</v>
          </cell>
          <cell r="V17">
            <v>-4.1226611903574124</v>
          </cell>
          <cell r="W17">
            <v>0.35436503818241627</v>
          </cell>
        </row>
        <row r="18">
          <cell r="U18">
            <v>-1.3889880889582891</v>
          </cell>
          <cell r="V18">
            <v>-4.6284801896365559</v>
          </cell>
          <cell r="W18">
            <v>0.22890351977865186</v>
          </cell>
        </row>
        <row r="19">
          <cell r="U19">
            <v>-1.8555843281387632</v>
          </cell>
          <cell r="V19">
            <v>-5.0734199651883092</v>
          </cell>
          <cell r="W19">
            <v>0.19115674042326891</v>
          </cell>
        </row>
      </sheetData>
      <sheetData sheetId="4">
        <row r="6">
          <cell r="T6">
            <v>-0.17680461895859301</v>
          </cell>
          <cell r="U6">
            <v>-2.4503977789694211</v>
          </cell>
          <cell r="V6">
            <v>-0.17095833746760003</v>
          </cell>
        </row>
        <row r="7">
          <cell r="T7">
            <v>-0.37463233127703277</v>
          </cell>
          <cell r="U7">
            <v>-5.6866682273610865</v>
          </cell>
          <cell r="V7">
            <v>-0.87792087515335404</v>
          </cell>
        </row>
        <row r="8">
          <cell r="T8">
            <v>-0.4595260710012552</v>
          </cell>
          <cell r="U8">
            <v>-6.8324896619449902</v>
          </cell>
          <cell r="V8">
            <v>-1.4479202538542255</v>
          </cell>
        </row>
        <row r="9">
          <cell r="T9">
            <v>-0.63014728835807676</v>
          </cell>
          <cell r="U9">
            <v>-7.1118685752548778</v>
          </cell>
          <cell r="V9">
            <v>-2.512999778035196</v>
          </cell>
        </row>
        <row r="11">
          <cell r="U11">
            <v>-6.3091263661898029</v>
          </cell>
          <cell r="V11">
            <v>0.6813660347798246</v>
          </cell>
        </row>
        <row r="12">
          <cell r="U12">
            <v>-8.2977178547948949</v>
          </cell>
          <cell r="V12">
            <v>0.81783334461740353</v>
          </cell>
        </row>
        <row r="13">
          <cell r="U13">
            <v>-8.1278468285540537</v>
          </cell>
          <cell r="V13">
            <v>0.7686429819305125</v>
          </cell>
        </row>
        <row r="14">
          <cell r="U14">
            <v>-7.9396095542960978</v>
          </cell>
          <cell r="V14">
            <v>0.79833978634509384</v>
          </cell>
        </row>
        <row r="16">
          <cell r="T16">
            <v>-9.3574207254358166E-2</v>
          </cell>
          <cell r="U16">
            <v>-2.3514570084574067</v>
          </cell>
          <cell r="V16">
            <v>0.67864047334526345</v>
          </cell>
        </row>
        <row r="17">
          <cell r="T17">
            <v>-0.18972982935234728</v>
          </cell>
          <cell r="U17">
            <v>-2.6378607510399177</v>
          </cell>
          <cell r="V17">
            <v>0.74847752805648748</v>
          </cell>
        </row>
        <row r="18">
          <cell r="T18">
            <v>-0.25141902510270353</v>
          </cell>
          <cell r="U18">
            <v>-2.9928815890385985</v>
          </cell>
          <cell r="V18">
            <v>0.71346255600893371</v>
          </cell>
        </row>
        <row r="19">
          <cell r="T19">
            <v>-0.49218461099429844</v>
          </cell>
          <cell r="U19">
            <v>-3.2288474000558844</v>
          </cell>
          <cell r="V19">
            <v>0.68005094393590793</v>
          </cell>
        </row>
      </sheetData>
      <sheetData sheetId="5">
        <row r="6">
          <cell r="T6">
            <v>5.0981449560030034E-2</v>
          </cell>
          <cell r="U6">
            <v>-8.9577860872501747E-2</v>
          </cell>
          <cell r="V6">
            <v>-5.7613724771465646E-2</v>
          </cell>
        </row>
        <row r="7">
          <cell r="T7">
            <v>4.6804968976624006E-2</v>
          </cell>
          <cell r="U7">
            <v>0.15224223507233803</v>
          </cell>
          <cell r="V7">
            <v>0.16145246680188852</v>
          </cell>
        </row>
        <row r="8">
          <cell r="T8">
            <v>-2.7972935497453388E-2</v>
          </cell>
          <cell r="U8">
            <v>0.35046442891553897</v>
          </cell>
          <cell r="V8">
            <v>0.34999421584489809</v>
          </cell>
        </row>
        <row r="9">
          <cell r="T9">
            <v>-3.2697107441549189E-2</v>
          </cell>
          <cell r="U9">
            <v>0.46161872452567254</v>
          </cell>
          <cell r="V9">
            <v>0.49674978573245299</v>
          </cell>
        </row>
        <row r="11">
          <cell r="T11">
            <v>-9.6317570496321503E-2</v>
          </cell>
          <cell r="U11">
            <v>0.14569862579628778</v>
          </cell>
          <cell r="V11">
            <v>0.15800779323271197</v>
          </cell>
        </row>
        <row r="12">
          <cell r="T12">
            <v>-0.17195034093524764</v>
          </cell>
          <cell r="U12">
            <v>0.22618684626675167</v>
          </cell>
          <cell r="V12">
            <v>0.37521665306512897</v>
          </cell>
        </row>
        <row r="13">
          <cell r="T13">
            <v>-0.23012157682178391</v>
          </cell>
          <cell r="U13">
            <v>0.20460524152444848</v>
          </cell>
          <cell r="V13">
            <v>0.49076859150845542</v>
          </cell>
        </row>
        <row r="14">
          <cell r="T14">
            <v>-0.29633416138299218</v>
          </cell>
          <cell r="U14">
            <v>0.20288038718047607</v>
          </cell>
          <cell r="V14">
            <v>0.52239298878097351</v>
          </cell>
        </row>
        <row r="16">
          <cell r="T16">
            <v>-0.20730958277174705</v>
          </cell>
          <cell r="U16">
            <v>-0.13939719373257242</v>
          </cell>
          <cell r="V16">
            <v>9.0075335735342321E-2</v>
          </cell>
        </row>
        <row r="17">
          <cell r="T17">
            <v>-0.36315596488579249</v>
          </cell>
          <cell r="U17">
            <v>-0.16698873751071552</v>
          </cell>
          <cell r="V17">
            <v>0.24909686402900466</v>
          </cell>
        </row>
        <row r="18">
          <cell r="T18">
            <v>-0.50926159542819072</v>
          </cell>
          <cell r="U18">
            <v>-0.24072398348923985</v>
          </cell>
          <cell r="V18">
            <v>0.34554794846933379</v>
          </cell>
        </row>
        <row r="19">
          <cell r="T19">
            <v>-0.70234735095999268</v>
          </cell>
          <cell r="U19">
            <v>-0.34006367346856892</v>
          </cell>
          <cell r="V19">
            <v>0.30632323088429081</v>
          </cell>
        </row>
      </sheetData>
      <sheetData sheetId="6">
        <row r="6">
          <cell r="T6">
            <v>1.3359786356625158E-2</v>
          </cell>
          <cell r="U6">
            <v>-0.46380195138009461</v>
          </cell>
          <cell r="V6">
            <v>-2.8582646416193125E-2</v>
          </cell>
        </row>
        <row r="7">
          <cell r="T7">
            <v>-3.8657941455617628E-3</v>
          </cell>
          <cell r="U7">
            <v>-0.53247587338794933</v>
          </cell>
          <cell r="V7">
            <v>-1.6651228978200594E-2</v>
          </cell>
        </row>
        <row r="8">
          <cell r="T8">
            <v>-6.1639201980327352E-2</v>
          </cell>
          <cell r="U8">
            <v>-0.53132518425301178</v>
          </cell>
          <cell r="V8">
            <v>9.0623906876353688E-3</v>
          </cell>
        </row>
        <row r="9">
          <cell r="T9">
            <v>-0.11269839457142861</v>
          </cell>
          <cell r="U9">
            <v>-0.61789995633091288</v>
          </cell>
          <cell r="V9">
            <v>2.0012308773961207E-3</v>
          </cell>
        </row>
        <row r="11">
          <cell r="T11">
            <v>-6.9873869508348729E-2</v>
          </cell>
          <cell r="U11">
            <v>-0.70064521630437437</v>
          </cell>
          <cell r="V11">
            <v>1.8310679942006969E-2</v>
          </cell>
        </row>
        <row r="12">
          <cell r="T12">
            <v>-0.1722748235683822</v>
          </cell>
          <cell r="U12">
            <v>-0.96595831644808605</v>
          </cell>
          <cell r="V12">
            <v>-3.5895319870641096E-2</v>
          </cell>
        </row>
        <row r="13">
          <cell r="T13">
            <v>-0.232389378825828</v>
          </cell>
          <cell r="U13">
            <v>-1.2321743545530928</v>
          </cell>
          <cell r="V13">
            <v>-9.9091753050464693E-2</v>
          </cell>
        </row>
        <row r="14">
          <cell r="T14">
            <v>-0.28076471568523154</v>
          </cell>
          <cell r="U14">
            <v>-1.3399263178025955</v>
          </cell>
          <cell r="V14">
            <v>-7.1462466375553868E-2</v>
          </cell>
        </row>
        <row r="16">
          <cell r="T16">
            <v>-0.22596475518528902</v>
          </cell>
          <cell r="U16">
            <v>-0.96876325652727191</v>
          </cell>
          <cell r="V16">
            <v>-0.2315271922896105</v>
          </cell>
        </row>
        <row r="17">
          <cell r="T17">
            <v>-0.34237704725302831</v>
          </cell>
          <cell r="U17">
            <v>-1.6951496466711564</v>
          </cell>
          <cell r="V17">
            <v>-0.39651953941685103</v>
          </cell>
        </row>
        <row r="18">
          <cell r="T18">
            <v>-0.41034980605904936</v>
          </cell>
          <cell r="U18">
            <v>-2.2100493398466807</v>
          </cell>
          <cell r="V18">
            <v>-0.43398738114255897</v>
          </cell>
        </row>
        <row r="19">
          <cell r="T19">
            <v>-0.55771125887078621</v>
          </cell>
          <cell r="U19">
            <v>-2.577908971648962</v>
          </cell>
          <cell r="V19">
            <v>-0.46777383002733774</v>
          </cell>
        </row>
      </sheetData>
      <sheetData sheetId="7">
        <row r="6">
          <cell r="T6">
            <v>-0.17190110872897435</v>
          </cell>
          <cell r="U6">
            <v>-0.78892707186764754</v>
          </cell>
          <cell r="V6">
            <v>-0.61056829230131338</v>
          </cell>
        </row>
        <row r="7">
          <cell r="T7">
            <v>-0.30012902285665066</v>
          </cell>
          <cell r="U7">
            <v>-1.1586385193137341</v>
          </cell>
          <cell r="V7">
            <v>-0.71695897738593861</v>
          </cell>
        </row>
        <row r="8">
          <cell r="T8">
            <v>-0.43603892459754312</v>
          </cell>
          <cell r="U8">
            <v>-1.3952018322214315</v>
          </cell>
          <cell r="V8">
            <v>-0.71159759019754798</v>
          </cell>
        </row>
        <row r="9">
          <cell r="T9">
            <v>-0.57840207497897889</v>
          </cell>
          <cell r="U9">
            <v>-1.8552798187152</v>
          </cell>
          <cell r="V9">
            <v>-0.82323279012611872</v>
          </cell>
        </row>
        <row r="11">
          <cell r="T11">
            <v>-0.71394359107106808</v>
          </cell>
          <cell r="U11">
            <v>-1.6163641854102799</v>
          </cell>
          <cell r="V11">
            <v>-1.35550865342727</v>
          </cell>
        </row>
        <row r="12">
          <cell r="T12">
            <v>-0.90148109741740767</v>
          </cell>
          <cell r="U12">
            <v>-2.1570792348081684</v>
          </cell>
          <cell r="V12">
            <v>-1.5111085001141844</v>
          </cell>
        </row>
        <row r="13">
          <cell r="T13">
            <v>-1.100253761182993</v>
          </cell>
          <cell r="U13">
            <v>-2.5030607950444579</v>
          </cell>
          <cell r="V13">
            <v>-1.5032672964986684</v>
          </cell>
        </row>
        <row r="14">
          <cell r="T14">
            <v>-1.3084645115470659</v>
          </cell>
          <cell r="U14">
            <v>-3.1759398549500526</v>
          </cell>
          <cell r="V14">
            <v>-1.6665374171857561</v>
          </cell>
        </row>
        <row r="16">
          <cell r="T16">
            <v>-0.25095411852995331</v>
          </cell>
          <cell r="U16">
            <v>-1.6010937825875371</v>
          </cell>
          <cell r="V16">
            <v>-0.70438992564916614</v>
          </cell>
        </row>
        <row r="17">
          <cell r="T17">
            <v>-0.51758055862057906</v>
          </cell>
          <cell r="U17">
            <v>-2.0377404904552496</v>
          </cell>
          <cell r="V17">
            <v>-1.0892031751068201</v>
          </cell>
        </row>
        <row r="18">
          <cell r="T18">
            <v>-0.62776542855563999</v>
          </cell>
          <cell r="U18">
            <v>-2.5439500596268374</v>
          </cell>
          <cell r="V18">
            <v>-1.1969058216827779</v>
          </cell>
        </row>
        <row r="19">
          <cell r="T19">
            <v>-0.78630329649957487</v>
          </cell>
          <cell r="U19">
            <v>-2.6161083372401244</v>
          </cell>
          <cell r="V19">
            <v>-1.2798004951968753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81F201-0720-2744-94DB-D46BD3ABF7DD}" name="Table13" displayName="Table13" ref="A1:J181" totalsRowShown="0" headerRowDxfId="11" dataDxfId="10">
  <autoFilter ref="A1:J181" xr:uid="{62B5F010-BCBB-854F-BA84-9014616334E2}"/>
  <tableColumns count="10">
    <tableColumn id="1" xr3:uid="{661E5C83-8FE2-BF43-94FC-2158131ABBBB}" name="BN" dataDxfId="9"/>
    <tableColumn id="2" xr3:uid="{77E8B638-5E37-FE4B-B311-EF4EB0CDC4A1}" name="Starter" dataDxfId="8"/>
    <tableColumn id="3" xr3:uid="{3007DAD0-812F-FC4D-8964-3AA88F20FD24}" name="Synthesizer" dataDxfId="7"/>
    <tableColumn id="4" xr3:uid="{6B93F7D1-EC79-4048-8CFE-D80FA0E098AE}" name="Augmentation" dataDxfId="6"/>
    <tableColumn id="5" xr3:uid="{B157D4B4-96ED-6241-AFC9-1822EE26B6B0}" name="Dataset" dataDxfId="5">
      <calculatedColumnFormula>_xlfn.CONCAT(A2,"-",B2,"-",C2,"-",D2)</calculatedColumnFormula>
    </tableColumn>
    <tableColumn id="6" xr3:uid="{B36DBDEB-FF41-DD4E-8480-E2E686F13189}" name="Column Shapes" dataDxfId="4"/>
    <tableColumn id="7" xr3:uid="{92A4B448-6988-8B45-B744-1CC0CBC3B9C4}" name="Column Pair Trends" dataDxfId="3"/>
    <tableColumn id="10" xr3:uid="{FA0A4149-B29A-8E44-B1C3-D31B8817133A}" name="Average" dataDxfId="2">
      <calculatedColumnFormula>AVERAGE(Table13[[#This Row],[Column Shapes]],Table13[[#This Row],[Column Pair Trends]])</calculatedColumnFormula>
    </tableColumn>
    <tableColumn id="8" xr3:uid="{ABACF7F5-96C1-DB44-8E91-1EB52D0FE856}" name="KL improvement" dataDxfId="1"/>
    <tableColumn id="9" xr3:uid="{7B115548-CC72-674D-A4A9-F28E8E6B5B54}" name="Logical" dataDxfId="0">
      <calculatedColumnFormula>IF(I2&gt;0,1,0)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3E8-7854-8A4D-9F9C-63CC05D798CE}">
  <dimension ref="A1:J181"/>
  <sheetViews>
    <sheetView tabSelected="1" zoomScale="150" zoomScaleNormal="150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2" width="10.83203125" style="34"/>
    <col min="3" max="3" width="12.83203125" style="34" customWidth="1"/>
    <col min="4" max="4" width="15.1640625" style="34" customWidth="1"/>
    <col min="5" max="5" width="24.33203125" style="34" bestFit="1" customWidth="1"/>
    <col min="6" max="6" width="16.33203125" style="34" customWidth="1"/>
    <col min="7" max="7" width="20.83203125" style="34" customWidth="1"/>
    <col min="8" max="8" width="10.6640625" style="34" bestFit="1" customWidth="1"/>
    <col min="9" max="9" width="17.6640625" style="34" customWidth="1"/>
    <col min="10" max="16384" width="10.83203125" style="34"/>
  </cols>
  <sheetData>
    <row r="1" spans="1:10" x14ac:dyDescent="0.2">
      <c r="A1" s="34" t="s">
        <v>4</v>
      </c>
      <c r="B1" s="34" t="s">
        <v>31</v>
      </c>
      <c r="C1" s="34" t="s">
        <v>35</v>
      </c>
      <c r="D1" s="34" t="s">
        <v>30</v>
      </c>
      <c r="E1" s="34" t="s">
        <v>0</v>
      </c>
      <c r="F1" s="34" t="s">
        <v>32</v>
      </c>
      <c r="G1" s="34" t="s">
        <v>33</v>
      </c>
      <c r="H1" s="34" t="s">
        <v>39</v>
      </c>
      <c r="I1" s="34" t="s">
        <v>34</v>
      </c>
      <c r="J1" s="34" t="s">
        <v>36</v>
      </c>
    </row>
    <row r="2" spans="1:10" x14ac:dyDescent="0.2">
      <c r="A2" s="34" t="s">
        <v>28</v>
      </c>
      <c r="B2" s="34">
        <v>100</v>
      </c>
      <c r="C2" s="34" t="s">
        <v>11</v>
      </c>
      <c r="D2" s="34">
        <v>2</v>
      </c>
      <c r="E2" s="34" t="str">
        <f t="shared" ref="E2:E17" si="0">_xlfn.CONCAT(A2,"-",B2,"-",C2,"-",D2)</f>
        <v>Asia-100-TVAE-2</v>
      </c>
      <c r="F2" s="34">
        <f>97.21</f>
        <v>97.21</v>
      </c>
      <c r="G2" s="34">
        <f>95.38</f>
        <v>95.38</v>
      </c>
      <c r="H2" s="39">
        <f>AVERAGE(Table13[[#This Row],[Column Shapes]],Table13[[#This Row],[Column Pair Trends]])</f>
        <v>96.294999999999987</v>
      </c>
      <c r="I2" s="39">
        <f>[1]Asia!T6</f>
        <v>-0.17680461895859301</v>
      </c>
      <c r="J2" s="34">
        <f t="shared" ref="J2:J65" si="1">IF(I2&gt;0,1,0)</f>
        <v>0</v>
      </c>
    </row>
    <row r="3" spans="1:10" x14ac:dyDescent="0.2">
      <c r="A3" s="34" t="s">
        <v>28</v>
      </c>
      <c r="B3" s="34">
        <v>100</v>
      </c>
      <c r="C3" s="34" t="s">
        <v>11</v>
      </c>
      <c r="D3" s="34">
        <v>5</v>
      </c>
      <c r="E3" s="34" t="str">
        <f t="shared" si="0"/>
        <v>Asia-100-TVAE-5</v>
      </c>
      <c r="F3" s="34">
        <f>96.33</f>
        <v>96.33</v>
      </c>
      <c r="G3" s="34">
        <f>93.79</f>
        <v>93.79</v>
      </c>
      <c r="H3" s="39">
        <f>AVERAGE(Table13[[#This Row],[Column Shapes]],Table13[[#This Row],[Column Pair Trends]])</f>
        <v>95.06</v>
      </c>
      <c r="I3" s="39">
        <f>[1]Asia!T7</f>
        <v>-0.37463233127703277</v>
      </c>
      <c r="J3" s="34">
        <f t="shared" si="1"/>
        <v>0</v>
      </c>
    </row>
    <row r="4" spans="1:10" x14ac:dyDescent="0.2">
      <c r="A4" s="34" t="s">
        <v>28</v>
      </c>
      <c r="B4" s="34">
        <v>100</v>
      </c>
      <c r="C4" s="34" t="s">
        <v>11</v>
      </c>
      <c r="D4" s="34">
        <v>10</v>
      </c>
      <c r="E4" s="34" t="str">
        <f t="shared" si="0"/>
        <v>Asia-100-TVAE-10</v>
      </c>
      <c r="F4" s="34">
        <f>96.09</f>
        <v>96.09</v>
      </c>
      <c r="G4" s="34">
        <f>93.55</f>
        <v>93.55</v>
      </c>
      <c r="H4" s="39">
        <f>AVERAGE(Table13[[#This Row],[Column Shapes]],Table13[[#This Row],[Column Pair Trends]])</f>
        <v>94.82</v>
      </c>
      <c r="I4" s="39">
        <f>[1]Asia!T8</f>
        <v>-0.4595260710012552</v>
      </c>
      <c r="J4" s="34">
        <f t="shared" si="1"/>
        <v>0</v>
      </c>
    </row>
    <row r="5" spans="1:10" x14ac:dyDescent="0.2">
      <c r="A5" s="34" t="s">
        <v>28</v>
      </c>
      <c r="B5" s="34">
        <v>100</v>
      </c>
      <c r="C5" s="34" t="s">
        <v>11</v>
      </c>
      <c r="D5" s="34">
        <v>20</v>
      </c>
      <c r="E5" s="34" t="str">
        <f t="shared" si="0"/>
        <v>Asia-100-TVAE-20</v>
      </c>
      <c r="F5" s="34">
        <f>95.92</f>
        <v>95.92</v>
      </c>
      <c r="G5" s="34">
        <f>93.11</f>
        <v>93.11</v>
      </c>
      <c r="H5" s="39">
        <f>AVERAGE(Table13[[#This Row],[Column Shapes]],Table13[[#This Row],[Column Pair Trends]])</f>
        <v>94.515000000000001</v>
      </c>
      <c r="I5" s="39">
        <f>[1]Asia!T9</f>
        <v>-0.63014728835807676</v>
      </c>
      <c r="J5" s="34">
        <f t="shared" si="1"/>
        <v>0</v>
      </c>
    </row>
    <row r="6" spans="1:10" x14ac:dyDescent="0.2">
      <c r="A6" s="34" t="s">
        <v>28</v>
      </c>
      <c r="B6" s="34">
        <v>100</v>
      </c>
      <c r="C6" s="34" t="s">
        <v>12</v>
      </c>
      <c r="D6" s="34">
        <v>2</v>
      </c>
      <c r="E6" s="34" t="str">
        <f t="shared" si="0"/>
        <v>Asia-100-CTGAN-2</v>
      </c>
      <c r="F6" s="34">
        <f>94.62</f>
        <v>94.62</v>
      </c>
      <c r="G6" s="34">
        <f>89.51</f>
        <v>89.51</v>
      </c>
      <c r="H6" s="39">
        <f>AVERAGE(Table13[[#This Row],[Column Shapes]],Table13[[#This Row],[Column Pair Trends]])</f>
        <v>92.064999999999998</v>
      </c>
      <c r="I6" s="39">
        <f>[1]Asia!U6</f>
        <v>-2.4503977789694211</v>
      </c>
      <c r="J6" s="34">
        <f t="shared" si="1"/>
        <v>0</v>
      </c>
    </row>
    <row r="7" spans="1:10" x14ac:dyDescent="0.2">
      <c r="A7" s="34" t="s">
        <v>28</v>
      </c>
      <c r="B7" s="34">
        <v>100</v>
      </c>
      <c r="C7" s="34" t="s">
        <v>12</v>
      </c>
      <c r="D7" s="34">
        <v>5</v>
      </c>
      <c r="E7" s="34" t="str">
        <f t="shared" si="0"/>
        <v>Asia-100-CTGAN-5</v>
      </c>
      <c r="F7" s="34">
        <f>92.83</f>
        <v>92.83</v>
      </c>
      <c r="G7" s="34">
        <f>86.42</f>
        <v>86.42</v>
      </c>
      <c r="H7" s="39">
        <f>AVERAGE(Table13[[#This Row],[Column Shapes]],Table13[[#This Row],[Column Pair Trends]])</f>
        <v>89.625</v>
      </c>
      <c r="I7" s="39">
        <f>[1]Asia!U7</f>
        <v>-5.6866682273610865</v>
      </c>
      <c r="J7" s="34">
        <f t="shared" si="1"/>
        <v>0</v>
      </c>
    </row>
    <row r="8" spans="1:10" x14ac:dyDescent="0.2">
      <c r="A8" s="34" t="s">
        <v>28</v>
      </c>
      <c r="B8" s="34">
        <v>100</v>
      </c>
      <c r="C8" s="34" t="s">
        <v>12</v>
      </c>
      <c r="D8" s="34">
        <v>10</v>
      </c>
      <c r="E8" s="34" t="str">
        <f t="shared" si="0"/>
        <v>Asia-100-CTGAN-10</v>
      </c>
      <c r="F8" s="34">
        <f>91.7</f>
        <v>91.7</v>
      </c>
      <c r="G8" s="34">
        <f>84.4</f>
        <v>84.4</v>
      </c>
      <c r="H8" s="39">
        <f>AVERAGE(Table13[[#This Row],[Column Shapes]],Table13[[#This Row],[Column Pair Trends]])</f>
        <v>88.050000000000011</v>
      </c>
      <c r="I8" s="39">
        <f>[1]Asia!U8</f>
        <v>-6.8324896619449902</v>
      </c>
      <c r="J8" s="34">
        <f t="shared" si="1"/>
        <v>0</v>
      </c>
    </row>
    <row r="9" spans="1:10" x14ac:dyDescent="0.2">
      <c r="A9" s="34" t="s">
        <v>28</v>
      </c>
      <c r="B9" s="34">
        <v>100</v>
      </c>
      <c r="C9" s="34" t="s">
        <v>12</v>
      </c>
      <c r="D9" s="34">
        <v>20</v>
      </c>
      <c r="E9" s="34" t="str">
        <f t="shared" si="0"/>
        <v>Asia-100-CTGAN-20</v>
      </c>
      <c r="F9" s="34">
        <f>91.52</f>
        <v>91.52</v>
      </c>
      <c r="G9" s="34">
        <f>84.02</f>
        <v>84.02</v>
      </c>
      <c r="H9" s="39">
        <f>AVERAGE(Table13[[#This Row],[Column Shapes]],Table13[[#This Row],[Column Pair Trends]])</f>
        <v>87.77</v>
      </c>
      <c r="I9" s="39">
        <f>[1]Asia!U9</f>
        <v>-7.1118685752548778</v>
      </c>
      <c r="J9" s="34">
        <f t="shared" si="1"/>
        <v>0</v>
      </c>
    </row>
    <row r="10" spans="1:10" x14ac:dyDescent="0.2">
      <c r="A10" s="34" t="s">
        <v>28</v>
      </c>
      <c r="B10" s="34">
        <v>100</v>
      </c>
      <c r="C10" s="34" t="s">
        <v>10</v>
      </c>
      <c r="D10" s="34">
        <v>2</v>
      </c>
      <c r="E10" s="34" t="str">
        <f t="shared" si="0"/>
        <v>Asia-100-Mostly-2</v>
      </c>
      <c r="F10" s="34">
        <f>97.58</f>
        <v>97.58</v>
      </c>
      <c r="G10" s="34">
        <f>95.14</f>
        <v>95.14</v>
      </c>
      <c r="H10" s="39">
        <f>AVERAGE(Table13[[#This Row],[Column Shapes]],Table13[[#This Row],[Column Pair Trends]])</f>
        <v>96.36</v>
      </c>
      <c r="I10" s="39">
        <f>[1]Asia!V6</f>
        <v>-0.17095833746760003</v>
      </c>
      <c r="J10" s="34">
        <f t="shared" si="1"/>
        <v>0</v>
      </c>
    </row>
    <row r="11" spans="1:10" x14ac:dyDescent="0.2">
      <c r="A11" s="34" t="s">
        <v>28</v>
      </c>
      <c r="B11" s="34">
        <v>100</v>
      </c>
      <c r="C11" s="34" t="s">
        <v>10</v>
      </c>
      <c r="D11" s="34">
        <v>5</v>
      </c>
      <c r="E11" s="34" t="str">
        <f t="shared" si="0"/>
        <v>Asia-100-Mostly-5</v>
      </c>
      <c r="F11" s="34">
        <f>97.73</f>
        <v>97.73</v>
      </c>
      <c r="G11" s="34">
        <f>95.14</f>
        <v>95.14</v>
      </c>
      <c r="H11" s="39">
        <f>AVERAGE(Table13[[#This Row],[Column Shapes]],Table13[[#This Row],[Column Pair Trends]])</f>
        <v>96.435000000000002</v>
      </c>
      <c r="I11" s="39">
        <f>[1]Asia!V7</f>
        <v>-0.87792087515335404</v>
      </c>
      <c r="J11" s="34">
        <f t="shared" si="1"/>
        <v>0</v>
      </c>
    </row>
    <row r="12" spans="1:10" x14ac:dyDescent="0.2">
      <c r="A12" s="34" t="s">
        <v>28</v>
      </c>
      <c r="B12" s="34">
        <v>100</v>
      </c>
      <c r="C12" s="34" t="s">
        <v>10</v>
      </c>
      <c r="D12" s="34">
        <v>10</v>
      </c>
      <c r="E12" s="34" t="str">
        <f t="shared" si="0"/>
        <v>Asia-100-Mostly-10</v>
      </c>
      <c r="F12" s="34">
        <f>98</f>
        <v>98</v>
      </c>
      <c r="G12" s="34">
        <f>95.42</f>
        <v>95.42</v>
      </c>
      <c r="H12" s="39">
        <f>AVERAGE(Table13[[#This Row],[Column Shapes]],Table13[[#This Row],[Column Pair Trends]])</f>
        <v>96.710000000000008</v>
      </c>
      <c r="I12" s="39">
        <f>[1]Asia!V8</f>
        <v>-1.4479202538542255</v>
      </c>
      <c r="J12" s="34">
        <f t="shared" si="1"/>
        <v>0</v>
      </c>
    </row>
    <row r="13" spans="1:10" x14ac:dyDescent="0.2">
      <c r="A13" s="34" t="s">
        <v>28</v>
      </c>
      <c r="B13" s="34">
        <v>100</v>
      </c>
      <c r="C13" s="34" t="s">
        <v>10</v>
      </c>
      <c r="D13" s="34">
        <v>20</v>
      </c>
      <c r="E13" s="34" t="str">
        <f t="shared" si="0"/>
        <v>Asia-100-Mostly-20</v>
      </c>
      <c r="F13" s="34">
        <f>97.9</f>
        <v>97.9</v>
      </c>
      <c r="G13" s="34">
        <f>94.92</f>
        <v>94.92</v>
      </c>
      <c r="H13" s="39">
        <f>AVERAGE(Table13[[#This Row],[Column Shapes]],Table13[[#This Row],[Column Pair Trends]])</f>
        <v>96.41</v>
      </c>
      <c r="I13" s="39">
        <f>[1]Asia!V9</f>
        <v>-2.512999778035196</v>
      </c>
      <c r="J13" s="34">
        <f t="shared" si="1"/>
        <v>0</v>
      </c>
    </row>
    <row r="14" spans="1:10" x14ac:dyDescent="0.2">
      <c r="A14" s="34" t="s">
        <v>28</v>
      </c>
      <c r="B14" s="34">
        <v>500</v>
      </c>
      <c r="C14" s="34" t="s">
        <v>11</v>
      </c>
      <c r="D14" s="34">
        <v>2</v>
      </c>
      <c r="E14" s="34" t="str">
        <f t="shared" si="0"/>
        <v>Asia-500-TVAE-2</v>
      </c>
      <c r="F14" s="34">
        <f>96.32</f>
        <v>96.32</v>
      </c>
      <c r="G14" s="34">
        <f>94.57</f>
        <v>94.57</v>
      </c>
      <c r="H14" s="39">
        <f>AVERAGE(Table13[[#This Row],[Column Shapes]],Table13[[#This Row],[Column Pair Trends]])</f>
        <v>95.444999999999993</v>
      </c>
      <c r="I14" s="39">
        <f>[1]Asia!U11</f>
        <v>-6.3091263661898029</v>
      </c>
      <c r="J14" s="34">
        <f t="shared" si="1"/>
        <v>0</v>
      </c>
    </row>
    <row r="15" spans="1:10" x14ac:dyDescent="0.2">
      <c r="A15" s="34" t="s">
        <v>28</v>
      </c>
      <c r="B15" s="34">
        <v>500</v>
      </c>
      <c r="C15" s="34" t="s">
        <v>11</v>
      </c>
      <c r="D15" s="34">
        <v>5</v>
      </c>
      <c r="E15" s="34" t="str">
        <f t="shared" si="0"/>
        <v>Asia-500-TVAE-5</v>
      </c>
      <c r="F15" s="34">
        <f>95.55</f>
        <v>95.55</v>
      </c>
      <c r="G15" s="34">
        <f>93.49</f>
        <v>93.49</v>
      </c>
      <c r="H15" s="39">
        <f>AVERAGE(Table13[[#This Row],[Column Shapes]],Table13[[#This Row],[Column Pair Trends]])</f>
        <v>94.52</v>
      </c>
      <c r="I15" s="39">
        <f>[1]Asia!U12</f>
        <v>-8.2977178547948949</v>
      </c>
      <c r="J15" s="34">
        <f t="shared" si="1"/>
        <v>0</v>
      </c>
    </row>
    <row r="16" spans="1:10" x14ac:dyDescent="0.2">
      <c r="A16" s="34" t="s">
        <v>28</v>
      </c>
      <c r="B16" s="34">
        <v>500</v>
      </c>
      <c r="C16" s="34" t="s">
        <v>11</v>
      </c>
      <c r="D16" s="34">
        <v>10</v>
      </c>
      <c r="E16" s="34" t="str">
        <f t="shared" si="0"/>
        <v>Asia-500-TVAE-10</v>
      </c>
      <c r="F16" s="34">
        <f>94.82</f>
        <v>94.82</v>
      </c>
      <c r="G16" s="34">
        <f>92.38</f>
        <v>92.38</v>
      </c>
      <c r="H16" s="39">
        <f>AVERAGE(Table13[[#This Row],[Column Shapes]],Table13[[#This Row],[Column Pair Trends]])</f>
        <v>93.6</v>
      </c>
      <c r="I16" s="39">
        <f>[1]Asia!U13</f>
        <v>-8.1278468285540537</v>
      </c>
      <c r="J16" s="34">
        <f t="shared" si="1"/>
        <v>0</v>
      </c>
    </row>
    <row r="17" spans="1:10" x14ac:dyDescent="0.2">
      <c r="A17" s="34" t="s">
        <v>28</v>
      </c>
      <c r="B17" s="34">
        <v>500</v>
      </c>
      <c r="C17" s="34" t="s">
        <v>11</v>
      </c>
      <c r="D17" s="34">
        <v>20</v>
      </c>
      <c r="E17" s="34" t="str">
        <f t="shared" si="0"/>
        <v>Asia-500-TVAE-20</v>
      </c>
      <c r="F17" s="34">
        <f>94.4</f>
        <v>94.4</v>
      </c>
      <c r="G17" s="34">
        <f>91.7</f>
        <v>91.7</v>
      </c>
      <c r="H17" s="39">
        <f>AVERAGE(Table13[[#This Row],[Column Shapes]],Table13[[#This Row],[Column Pair Trends]])</f>
        <v>93.050000000000011</v>
      </c>
      <c r="I17" s="39">
        <f>[1]Asia!U14</f>
        <v>-7.9396095542960978</v>
      </c>
      <c r="J17" s="34">
        <f t="shared" si="1"/>
        <v>0</v>
      </c>
    </row>
    <row r="18" spans="1:10" x14ac:dyDescent="0.2">
      <c r="A18" s="34" t="s">
        <v>28</v>
      </c>
      <c r="B18" s="34">
        <v>500</v>
      </c>
      <c r="C18" s="34" t="s">
        <v>12</v>
      </c>
      <c r="D18" s="34">
        <v>2</v>
      </c>
      <c r="E18" s="34" t="str">
        <f>_xlfn.CONCAT(A18,"-",B18,"-",C18,"-",D18)</f>
        <v>Asia-500-CTGAN-2</v>
      </c>
      <c r="F18" s="34">
        <f>94.92</f>
        <v>94.92</v>
      </c>
      <c r="G18" s="34">
        <f>90.19</f>
        <v>90.19</v>
      </c>
      <c r="H18" s="39">
        <f>AVERAGE(Table13[[#This Row],[Column Shapes]],Table13[[#This Row],[Column Pair Trends]])</f>
        <v>92.555000000000007</v>
      </c>
      <c r="I18" s="39">
        <f>[1]Asia!U11</f>
        <v>-6.3091263661898029</v>
      </c>
      <c r="J18" s="34">
        <f t="shared" si="1"/>
        <v>0</v>
      </c>
    </row>
    <row r="19" spans="1:10" x14ac:dyDescent="0.2">
      <c r="A19" s="34" t="s">
        <v>28</v>
      </c>
      <c r="B19" s="34">
        <v>500</v>
      </c>
      <c r="C19" s="34" t="s">
        <v>12</v>
      </c>
      <c r="D19" s="34">
        <v>5</v>
      </c>
      <c r="E19" s="34" t="str">
        <f t="shared" ref="E19:E82" si="2">_xlfn.CONCAT(A19,"-",B19,"-",C19,"-",D19)</f>
        <v>Asia-500-CTGAN-5</v>
      </c>
      <c r="F19" s="34">
        <f>93.87</f>
        <v>93.87</v>
      </c>
      <c r="G19" s="34">
        <f>88.18</f>
        <v>88.18</v>
      </c>
      <c r="H19" s="39">
        <f>AVERAGE(Table13[[#This Row],[Column Shapes]],Table13[[#This Row],[Column Pair Trends]])</f>
        <v>91.025000000000006</v>
      </c>
      <c r="I19" s="39">
        <f>[1]Asia!U12</f>
        <v>-8.2977178547948949</v>
      </c>
      <c r="J19" s="34">
        <f t="shared" si="1"/>
        <v>0</v>
      </c>
    </row>
    <row r="20" spans="1:10" x14ac:dyDescent="0.2">
      <c r="A20" s="34" t="s">
        <v>28</v>
      </c>
      <c r="B20" s="34">
        <v>500</v>
      </c>
      <c r="C20" s="34" t="s">
        <v>12</v>
      </c>
      <c r="D20" s="34">
        <v>10</v>
      </c>
      <c r="E20" s="34" t="str">
        <f t="shared" si="2"/>
        <v>Asia-500-CTGAN-10</v>
      </c>
      <c r="F20" s="34">
        <f>92.97</f>
        <v>92.97</v>
      </c>
      <c r="G20" s="34">
        <f>86.61</f>
        <v>86.61</v>
      </c>
      <c r="H20" s="39">
        <f>AVERAGE(Table13[[#This Row],[Column Shapes]],Table13[[#This Row],[Column Pair Trends]])</f>
        <v>89.789999999999992</v>
      </c>
      <c r="I20" s="39">
        <f>[1]Asia!U13</f>
        <v>-8.1278468285540537</v>
      </c>
      <c r="J20" s="34">
        <f t="shared" si="1"/>
        <v>0</v>
      </c>
    </row>
    <row r="21" spans="1:10" x14ac:dyDescent="0.2">
      <c r="A21" s="34" t="s">
        <v>28</v>
      </c>
      <c r="B21" s="34">
        <v>500</v>
      </c>
      <c r="C21" s="34" t="s">
        <v>12</v>
      </c>
      <c r="D21" s="34">
        <v>20</v>
      </c>
      <c r="E21" s="34" t="str">
        <f t="shared" si="2"/>
        <v>Asia-500-CTGAN-20</v>
      </c>
      <c r="F21" s="34">
        <f>92.72</f>
        <v>92.72</v>
      </c>
      <c r="G21" s="34">
        <f>86.16</f>
        <v>86.16</v>
      </c>
      <c r="H21" s="39">
        <f>AVERAGE(Table13[[#This Row],[Column Shapes]],Table13[[#This Row],[Column Pair Trends]])</f>
        <v>89.44</v>
      </c>
      <c r="I21" s="39">
        <f>[1]Asia!U14</f>
        <v>-7.9396095542960978</v>
      </c>
      <c r="J21" s="34">
        <f t="shared" si="1"/>
        <v>0</v>
      </c>
    </row>
    <row r="22" spans="1:10" x14ac:dyDescent="0.2">
      <c r="A22" s="34" t="s">
        <v>28</v>
      </c>
      <c r="B22" s="34">
        <v>500</v>
      </c>
      <c r="C22" s="34" t="s">
        <v>10</v>
      </c>
      <c r="D22" s="34">
        <v>2</v>
      </c>
      <c r="E22" s="34" t="str">
        <f t="shared" si="2"/>
        <v>Asia-500-Mostly-2</v>
      </c>
      <c r="F22" s="34">
        <f>99.22</f>
        <v>99.22</v>
      </c>
      <c r="G22" s="34">
        <f>98.69</f>
        <v>98.69</v>
      </c>
      <c r="H22" s="39">
        <f>AVERAGE(Table13[[#This Row],[Column Shapes]],Table13[[#This Row],[Column Pair Trends]])</f>
        <v>98.954999999999998</v>
      </c>
      <c r="I22" s="39">
        <f>[1]Asia!V11</f>
        <v>0.6813660347798246</v>
      </c>
      <c r="J22" s="34">
        <f t="shared" si="1"/>
        <v>1</v>
      </c>
    </row>
    <row r="23" spans="1:10" x14ac:dyDescent="0.2">
      <c r="A23" s="34" t="s">
        <v>28</v>
      </c>
      <c r="B23" s="34">
        <v>500</v>
      </c>
      <c r="C23" s="34" t="s">
        <v>10</v>
      </c>
      <c r="D23" s="34">
        <v>5</v>
      </c>
      <c r="E23" s="34" t="str">
        <f t="shared" si="2"/>
        <v>Asia-500-Mostly-5</v>
      </c>
      <c r="F23" s="34">
        <f>99.26</f>
        <v>99.26</v>
      </c>
      <c r="G23" s="34">
        <f>98.78</f>
        <v>98.78</v>
      </c>
      <c r="H23" s="39">
        <f>AVERAGE(Table13[[#This Row],[Column Shapes]],Table13[[#This Row],[Column Pair Trends]])</f>
        <v>99.02000000000001</v>
      </c>
      <c r="I23" s="39">
        <f>[1]Asia!V12</f>
        <v>0.81783334461740353</v>
      </c>
      <c r="J23" s="34">
        <f t="shared" si="1"/>
        <v>1</v>
      </c>
    </row>
    <row r="24" spans="1:10" x14ac:dyDescent="0.2">
      <c r="A24" s="34" t="s">
        <v>28</v>
      </c>
      <c r="B24" s="34">
        <v>500</v>
      </c>
      <c r="C24" s="34" t="s">
        <v>10</v>
      </c>
      <c r="D24" s="34">
        <v>10</v>
      </c>
      <c r="E24" s="34" t="str">
        <f t="shared" si="2"/>
        <v>Asia-500-Mostly-10</v>
      </c>
      <c r="F24" s="34">
        <f>99.4</f>
        <v>99.4</v>
      </c>
      <c r="G24" s="34">
        <f>98.89</f>
        <v>98.89</v>
      </c>
      <c r="H24" s="39">
        <f>AVERAGE(Table13[[#This Row],[Column Shapes]],Table13[[#This Row],[Column Pair Trends]])</f>
        <v>99.14500000000001</v>
      </c>
      <c r="I24" s="39">
        <f>[1]Asia!V13</f>
        <v>0.7686429819305125</v>
      </c>
      <c r="J24" s="34">
        <f t="shared" si="1"/>
        <v>1</v>
      </c>
    </row>
    <row r="25" spans="1:10" x14ac:dyDescent="0.2">
      <c r="A25" s="34" t="s">
        <v>28</v>
      </c>
      <c r="B25" s="34">
        <v>500</v>
      </c>
      <c r="C25" s="34" t="s">
        <v>10</v>
      </c>
      <c r="D25" s="34">
        <v>20</v>
      </c>
      <c r="E25" s="34" t="str">
        <f t="shared" si="2"/>
        <v>Asia-500-Mostly-20</v>
      </c>
      <c r="F25" s="34">
        <f>99.45</f>
        <v>99.45</v>
      </c>
      <c r="G25" s="34">
        <f>98.99</f>
        <v>98.99</v>
      </c>
      <c r="H25" s="39">
        <f>AVERAGE(Table13[[#This Row],[Column Shapes]],Table13[[#This Row],[Column Pair Trends]])</f>
        <v>99.22</v>
      </c>
      <c r="I25" s="39">
        <f>[1]Asia!V14</f>
        <v>0.79833978634509384</v>
      </c>
      <c r="J25" s="34">
        <f t="shared" si="1"/>
        <v>1</v>
      </c>
    </row>
    <row r="26" spans="1:10" x14ac:dyDescent="0.2">
      <c r="A26" s="34" t="s">
        <v>28</v>
      </c>
      <c r="B26" s="34">
        <v>1000</v>
      </c>
      <c r="C26" s="34" t="s">
        <v>11</v>
      </c>
      <c r="D26" s="34">
        <v>2</v>
      </c>
      <c r="E26" s="34" t="str">
        <f t="shared" si="2"/>
        <v>Asia-1000-TVAE-2</v>
      </c>
      <c r="F26" s="34">
        <f>97.93</f>
        <v>97.93</v>
      </c>
      <c r="G26" s="34">
        <f>96.75</f>
        <v>96.75</v>
      </c>
      <c r="H26" s="39">
        <f>AVERAGE(Table13[[#This Row],[Column Shapes]],Table13[[#This Row],[Column Pair Trends]])</f>
        <v>97.34</v>
      </c>
      <c r="I26" s="39">
        <f>[1]Asia!T16</f>
        <v>-9.3574207254358166E-2</v>
      </c>
      <c r="J26" s="34">
        <f t="shared" si="1"/>
        <v>0</v>
      </c>
    </row>
    <row r="27" spans="1:10" x14ac:dyDescent="0.2">
      <c r="A27" s="34" t="s">
        <v>28</v>
      </c>
      <c r="B27" s="34">
        <v>1000</v>
      </c>
      <c r="C27" s="34" t="s">
        <v>11</v>
      </c>
      <c r="D27" s="34">
        <v>5</v>
      </c>
      <c r="E27" s="34" t="str">
        <f t="shared" si="2"/>
        <v>Asia-1000-TVAE-5</v>
      </c>
      <c r="F27" s="34">
        <f>97.43</f>
        <v>97.43</v>
      </c>
      <c r="G27" s="34">
        <f>95.93</f>
        <v>95.93</v>
      </c>
      <c r="H27" s="39">
        <f>AVERAGE(Table13[[#This Row],[Column Shapes]],Table13[[#This Row],[Column Pair Trends]])</f>
        <v>96.68</v>
      </c>
      <c r="I27" s="39">
        <f>[1]Asia!T17</f>
        <v>-0.18972982935234728</v>
      </c>
      <c r="J27" s="34">
        <f t="shared" si="1"/>
        <v>0</v>
      </c>
    </row>
    <row r="28" spans="1:10" x14ac:dyDescent="0.2">
      <c r="A28" s="34" t="s">
        <v>28</v>
      </c>
      <c r="B28" s="34">
        <v>1000</v>
      </c>
      <c r="C28" s="34" t="s">
        <v>11</v>
      </c>
      <c r="D28" s="34">
        <v>10</v>
      </c>
      <c r="E28" s="34" t="str">
        <f t="shared" si="2"/>
        <v>Asia-1000-TVAE-10</v>
      </c>
      <c r="F28" s="34">
        <f>96.97</f>
        <v>96.97</v>
      </c>
      <c r="G28" s="34">
        <f>95.25</f>
        <v>95.25</v>
      </c>
      <c r="H28" s="39">
        <f>AVERAGE(Table13[[#This Row],[Column Shapes]],Table13[[#This Row],[Column Pair Trends]])</f>
        <v>96.11</v>
      </c>
      <c r="I28" s="39">
        <f>[1]Asia!T18</f>
        <v>-0.25141902510270353</v>
      </c>
      <c r="J28" s="34">
        <f t="shared" si="1"/>
        <v>0</v>
      </c>
    </row>
    <row r="29" spans="1:10" x14ac:dyDescent="0.2">
      <c r="A29" s="34" t="s">
        <v>28</v>
      </c>
      <c r="B29" s="34">
        <v>1000</v>
      </c>
      <c r="C29" s="34" t="s">
        <v>11</v>
      </c>
      <c r="D29" s="34">
        <v>20</v>
      </c>
      <c r="E29" s="34" t="str">
        <f t="shared" si="2"/>
        <v>Asia-1000-TVAE-20</v>
      </c>
      <c r="F29" s="34">
        <f>96.78</f>
        <v>96.78</v>
      </c>
      <c r="G29" s="34">
        <f>94.98</f>
        <v>94.98</v>
      </c>
      <c r="H29" s="39">
        <f>AVERAGE(Table13[[#This Row],[Column Shapes]],Table13[[#This Row],[Column Pair Trends]])</f>
        <v>95.88</v>
      </c>
      <c r="I29" s="39">
        <f>[1]Asia!T19</f>
        <v>-0.49218461099429844</v>
      </c>
      <c r="J29" s="34">
        <f t="shared" si="1"/>
        <v>0</v>
      </c>
    </row>
    <row r="30" spans="1:10" x14ac:dyDescent="0.2">
      <c r="A30" s="34" t="s">
        <v>28</v>
      </c>
      <c r="B30" s="34">
        <v>1000</v>
      </c>
      <c r="C30" s="34" t="s">
        <v>12</v>
      </c>
      <c r="D30" s="34">
        <v>2</v>
      </c>
      <c r="E30" s="34" t="str">
        <f t="shared" si="2"/>
        <v>Asia-1000-CTGAN-2</v>
      </c>
      <c r="F30" s="34">
        <f>95.72</f>
        <v>95.72</v>
      </c>
      <c r="G30" s="34">
        <f>92.19</f>
        <v>92.19</v>
      </c>
      <c r="H30" s="39">
        <f>AVERAGE(Table13[[#This Row],[Column Shapes]],Table13[[#This Row],[Column Pair Trends]])</f>
        <v>93.954999999999998</v>
      </c>
      <c r="I30" s="39">
        <f>[1]Asia!U16</f>
        <v>-2.3514570084574067</v>
      </c>
      <c r="J30" s="34">
        <f t="shared" si="1"/>
        <v>0</v>
      </c>
    </row>
    <row r="31" spans="1:10" x14ac:dyDescent="0.2">
      <c r="A31" s="34" t="s">
        <v>28</v>
      </c>
      <c r="B31" s="34">
        <v>1000</v>
      </c>
      <c r="C31" s="34" t="s">
        <v>12</v>
      </c>
      <c r="D31" s="34">
        <v>5</v>
      </c>
      <c r="E31" s="34" t="str">
        <f t="shared" si="2"/>
        <v>Asia-1000-CTGAN-5</v>
      </c>
      <c r="F31" s="34">
        <f>94.84</f>
        <v>94.84</v>
      </c>
      <c r="G31" s="34">
        <f>90.56</f>
        <v>90.56</v>
      </c>
      <c r="H31" s="39">
        <f>AVERAGE(Table13[[#This Row],[Column Shapes]],Table13[[#This Row],[Column Pair Trends]])</f>
        <v>92.7</v>
      </c>
      <c r="I31" s="39">
        <f>[1]Asia!U17</f>
        <v>-2.6378607510399177</v>
      </c>
      <c r="J31" s="34">
        <f t="shared" si="1"/>
        <v>0</v>
      </c>
    </row>
    <row r="32" spans="1:10" x14ac:dyDescent="0.2">
      <c r="A32" s="34" t="s">
        <v>28</v>
      </c>
      <c r="B32" s="34">
        <v>1000</v>
      </c>
      <c r="C32" s="34" t="s">
        <v>12</v>
      </c>
      <c r="D32" s="34">
        <v>10</v>
      </c>
      <c r="E32" s="34" t="str">
        <f t="shared" si="2"/>
        <v>Asia-1000-CTGAN-10</v>
      </c>
      <c r="F32" s="34">
        <f>94.36</f>
        <v>94.36</v>
      </c>
      <c r="G32" s="34">
        <f>89.65</f>
        <v>89.65</v>
      </c>
      <c r="H32" s="39">
        <f>AVERAGE(Table13[[#This Row],[Column Shapes]],Table13[[#This Row],[Column Pair Trends]])</f>
        <v>92.004999999999995</v>
      </c>
      <c r="I32" s="39">
        <f>[1]Asia!U18</f>
        <v>-2.9928815890385985</v>
      </c>
      <c r="J32" s="34">
        <f t="shared" si="1"/>
        <v>0</v>
      </c>
    </row>
    <row r="33" spans="1:10" x14ac:dyDescent="0.2">
      <c r="A33" s="34" t="s">
        <v>28</v>
      </c>
      <c r="B33" s="34">
        <v>1000</v>
      </c>
      <c r="C33" s="34" t="s">
        <v>12</v>
      </c>
      <c r="D33" s="34">
        <v>20</v>
      </c>
      <c r="E33" s="34" t="str">
        <f t="shared" si="2"/>
        <v>Asia-1000-CTGAN-20</v>
      </c>
      <c r="F33" s="34">
        <f>94</f>
        <v>94</v>
      </c>
      <c r="G33" s="34">
        <f>89.08</f>
        <v>89.08</v>
      </c>
      <c r="H33" s="39">
        <f>AVERAGE(Table13[[#This Row],[Column Shapes]],Table13[[#This Row],[Column Pair Trends]])</f>
        <v>91.539999999999992</v>
      </c>
      <c r="I33" s="39">
        <f>[1]Asia!U19</f>
        <v>-3.2288474000558844</v>
      </c>
      <c r="J33" s="34">
        <f t="shared" si="1"/>
        <v>0</v>
      </c>
    </row>
    <row r="34" spans="1:10" x14ac:dyDescent="0.2">
      <c r="A34" s="34" t="s">
        <v>28</v>
      </c>
      <c r="B34" s="34">
        <v>1000</v>
      </c>
      <c r="C34" s="34" t="s">
        <v>10</v>
      </c>
      <c r="D34" s="34">
        <v>2</v>
      </c>
      <c r="E34" s="34" t="str">
        <f t="shared" si="2"/>
        <v>Asia-1000-Mostly-2</v>
      </c>
      <c r="F34" s="34">
        <f>99.49</f>
        <v>99.49</v>
      </c>
      <c r="G34" s="34">
        <f>99.06</f>
        <v>99.06</v>
      </c>
      <c r="H34" s="39">
        <f>AVERAGE(Table13[[#This Row],[Column Shapes]],Table13[[#This Row],[Column Pair Trends]])</f>
        <v>99.275000000000006</v>
      </c>
      <c r="I34" s="39">
        <f>[1]Asia!V16</f>
        <v>0.67864047334526345</v>
      </c>
      <c r="J34" s="34">
        <f t="shared" si="1"/>
        <v>1</v>
      </c>
    </row>
    <row r="35" spans="1:10" x14ac:dyDescent="0.2">
      <c r="A35" s="34" t="s">
        <v>28</v>
      </c>
      <c r="B35" s="34">
        <v>1000</v>
      </c>
      <c r="C35" s="34" t="s">
        <v>10</v>
      </c>
      <c r="D35" s="34">
        <v>5</v>
      </c>
      <c r="E35" s="34" t="str">
        <f t="shared" si="2"/>
        <v>Asia-1000-Mostly-5</v>
      </c>
      <c r="F35" s="34">
        <f>99.36</f>
        <v>99.36</v>
      </c>
      <c r="G35" s="34">
        <f>98.85</f>
        <v>98.85</v>
      </c>
      <c r="H35" s="39">
        <f>AVERAGE(Table13[[#This Row],[Column Shapes]],Table13[[#This Row],[Column Pair Trends]])</f>
        <v>99.10499999999999</v>
      </c>
      <c r="I35" s="39">
        <f>[1]Asia!V17</f>
        <v>0.74847752805648748</v>
      </c>
      <c r="J35" s="34">
        <f t="shared" si="1"/>
        <v>1</v>
      </c>
    </row>
    <row r="36" spans="1:10" x14ac:dyDescent="0.2">
      <c r="A36" s="34" t="s">
        <v>28</v>
      </c>
      <c r="B36" s="34">
        <v>1000</v>
      </c>
      <c r="C36" s="34" t="s">
        <v>10</v>
      </c>
      <c r="D36" s="34">
        <v>10</v>
      </c>
      <c r="E36" s="34" t="str">
        <f t="shared" si="2"/>
        <v>Asia-1000-Mostly-10</v>
      </c>
      <c r="F36" s="34">
        <f>99.39</f>
        <v>99.39</v>
      </c>
      <c r="G36" s="34">
        <f>98.86</f>
        <v>98.86</v>
      </c>
      <c r="H36" s="39">
        <f>AVERAGE(Table13[[#This Row],[Column Shapes]],Table13[[#This Row],[Column Pair Trends]])</f>
        <v>99.125</v>
      </c>
      <c r="I36" s="39">
        <f>[1]Asia!V18</f>
        <v>0.71346255600893371</v>
      </c>
      <c r="J36" s="34">
        <f t="shared" si="1"/>
        <v>1</v>
      </c>
    </row>
    <row r="37" spans="1:10" x14ac:dyDescent="0.2">
      <c r="A37" s="34" t="s">
        <v>28</v>
      </c>
      <c r="B37" s="34">
        <v>1000</v>
      </c>
      <c r="C37" s="34" t="s">
        <v>10</v>
      </c>
      <c r="D37" s="34">
        <v>20</v>
      </c>
      <c r="E37" s="34" t="str">
        <f t="shared" si="2"/>
        <v>Asia-1000-Mostly-20</v>
      </c>
      <c r="F37" s="34">
        <f>99.29</f>
        <v>99.29</v>
      </c>
      <c r="G37" s="34">
        <f>98.68</f>
        <v>98.68</v>
      </c>
      <c r="H37" s="39">
        <f>AVERAGE(Table13[[#This Row],[Column Shapes]],Table13[[#This Row],[Column Pair Trends]])</f>
        <v>98.985000000000014</v>
      </c>
      <c r="I37" s="39">
        <f>[1]Asia!V19</f>
        <v>0.68005094393590793</v>
      </c>
      <c r="J37" s="34">
        <f t="shared" si="1"/>
        <v>1</v>
      </c>
    </row>
    <row r="38" spans="1:10" x14ac:dyDescent="0.2">
      <c r="A38" s="34" t="s">
        <v>27</v>
      </c>
      <c r="B38" s="34">
        <v>100</v>
      </c>
      <c r="C38" s="34" t="s">
        <v>11</v>
      </c>
      <c r="D38" s="34">
        <v>2</v>
      </c>
      <c r="E38" s="34" t="str">
        <f t="shared" si="2"/>
        <v>Benchmark-100-TVAE-2</v>
      </c>
      <c r="F38" s="34">
        <f>90.63</f>
        <v>90.63</v>
      </c>
      <c r="G38" s="34">
        <f>83.85</f>
        <v>83.85</v>
      </c>
      <c r="H38" s="39">
        <f>AVERAGE(Table13[[#This Row],[Column Shapes]],Table13[[#This Row],[Column Pair Trends]])</f>
        <v>87.24</v>
      </c>
      <c r="I38" s="39">
        <f>[1]Benchmark!U6</f>
        <v>-0.30609939928522611</v>
      </c>
      <c r="J38" s="34">
        <f t="shared" si="1"/>
        <v>0</v>
      </c>
    </row>
    <row r="39" spans="1:10" x14ac:dyDescent="0.2">
      <c r="A39" s="34" t="s">
        <v>27</v>
      </c>
      <c r="B39" s="34">
        <v>100</v>
      </c>
      <c r="C39" s="34" t="s">
        <v>11</v>
      </c>
      <c r="D39" s="34">
        <v>5</v>
      </c>
      <c r="E39" s="34" t="str">
        <f t="shared" si="2"/>
        <v>Benchmark-100-TVAE-5</v>
      </c>
      <c r="F39" s="34">
        <f>88.67</f>
        <v>88.67</v>
      </c>
      <c r="G39" s="34">
        <f>80.91</f>
        <v>80.91</v>
      </c>
      <c r="H39" s="39">
        <f>AVERAGE(Table13[[#This Row],[Column Shapes]],Table13[[#This Row],[Column Pair Trends]])</f>
        <v>84.789999999999992</v>
      </c>
      <c r="I39" s="39">
        <f>[1]Benchmark!U7</f>
        <v>-0.50422781382638182</v>
      </c>
      <c r="J39" s="34">
        <f t="shared" si="1"/>
        <v>0</v>
      </c>
    </row>
    <row r="40" spans="1:10" x14ac:dyDescent="0.2">
      <c r="A40" s="34" t="s">
        <v>27</v>
      </c>
      <c r="B40" s="34">
        <v>100</v>
      </c>
      <c r="C40" s="34" t="s">
        <v>11</v>
      </c>
      <c r="D40" s="34">
        <v>10</v>
      </c>
      <c r="E40" s="34" t="str">
        <f t="shared" si="2"/>
        <v>Benchmark-100-TVAE-10</v>
      </c>
      <c r="F40" s="34">
        <f>87.57</f>
        <v>87.57</v>
      </c>
      <c r="G40" s="34">
        <f>78.87</f>
        <v>78.87</v>
      </c>
      <c r="H40" s="39">
        <f>AVERAGE(Table13[[#This Row],[Column Shapes]],Table13[[#This Row],[Column Pair Trends]])</f>
        <v>83.22</v>
      </c>
      <c r="I40" s="39">
        <f>[1]Benchmark!U8</f>
        <v>-0.74786654728965996</v>
      </c>
      <c r="J40" s="34">
        <f t="shared" si="1"/>
        <v>0</v>
      </c>
    </row>
    <row r="41" spans="1:10" x14ac:dyDescent="0.2">
      <c r="A41" s="34" t="s">
        <v>27</v>
      </c>
      <c r="B41" s="34">
        <v>100</v>
      </c>
      <c r="C41" s="34" t="s">
        <v>11</v>
      </c>
      <c r="D41" s="34">
        <v>20</v>
      </c>
      <c r="E41" s="34" t="str">
        <f t="shared" si="2"/>
        <v>Benchmark-100-TVAE-20</v>
      </c>
      <c r="F41" s="34">
        <f>87.32</f>
        <v>87.32</v>
      </c>
      <c r="G41" s="34">
        <f>77.87</f>
        <v>77.87</v>
      </c>
      <c r="H41" s="39">
        <f>AVERAGE(Table13[[#This Row],[Column Shapes]],Table13[[#This Row],[Column Pair Trends]])</f>
        <v>82.594999999999999</v>
      </c>
      <c r="I41" s="39">
        <f>[1]Benchmark!U9</f>
        <v>-1.0242525510441864</v>
      </c>
      <c r="J41" s="34">
        <f t="shared" si="1"/>
        <v>0</v>
      </c>
    </row>
    <row r="42" spans="1:10" x14ac:dyDescent="0.2">
      <c r="A42" s="34" t="s">
        <v>27</v>
      </c>
      <c r="B42" s="34">
        <v>100</v>
      </c>
      <c r="C42" s="34" t="s">
        <v>12</v>
      </c>
      <c r="D42" s="34">
        <v>2</v>
      </c>
      <c r="E42" s="34" t="str">
        <f t="shared" si="2"/>
        <v>Benchmark-100-CTGAN-2</v>
      </c>
      <c r="F42" s="34">
        <f>96.44</f>
        <v>96.44</v>
      </c>
      <c r="G42" s="34">
        <f>91.73</f>
        <v>91.73</v>
      </c>
      <c r="H42" s="39">
        <f>AVERAGE(Table13[[#This Row],[Column Shapes]],Table13[[#This Row],[Column Pair Trends]])</f>
        <v>94.085000000000008</v>
      </c>
      <c r="I42" s="39">
        <f>[1]Benchmark!V6</f>
        <v>8.759998942208691E-2</v>
      </c>
      <c r="J42" s="34">
        <f t="shared" si="1"/>
        <v>1</v>
      </c>
    </row>
    <row r="43" spans="1:10" x14ac:dyDescent="0.2">
      <c r="A43" s="34" t="s">
        <v>27</v>
      </c>
      <c r="B43" s="34">
        <v>100</v>
      </c>
      <c r="C43" s="34" t="s">
        <v>12</v>
      </c>
      <c r="D43" s="34">
        <v>5</v>
      </c>
      <c r="E43" s="34" t="str">
        <f t="shared" si="2"/>
        <v>Benchmark-100-CTGAN-5</v>
      </c>
      <c r="F43" s="34">
        <f>95.24</f>
        <v>95.24</v>
      </c>
      <c r="G43" s="34">
        <f>89.28</f>
        <v>89.28</v>
      </c>
      <c r="H43" s="39">
        <f>AVERAGE(Table13[[#This Row],[Column Shapes]],Table13[[#This Row],[Column Pair Trends]])</f>
        <v>92.259999999999991</v>
      </c>
      <c r="I43" s="39">
        <f>[1]Benchmark!V7</f>
        <v>7.8941051405648444E-2</v>
      </c>
      <c r="J43" s="34">
        <f t="shared" si="1"/>
        <v>1</v>
      </c>
    </row>
    <row r="44" spans="1:10" x14ac:dyDescent="0.2">
      <c r="A44" s="34" t="s">
        <v>27</v>
      </c>
      <c r="B44" s="34">
        <v>100</v>
      </c>
      <c r="C44" s="34" t="s">
        <v>12</v>
      </c>
      <c r="D44" s="34">
        <v>10</v>
      </c>
      <c r="E44" s="34" t="str">
        <f t="shared" si="2"/>
        <v>Benchmark-100-CTGAN-10</v>
      </c>
      <c r="F44" s="34">
        <f>95.08</f>
        <v>95.08</v>
      </c>
      <c r="G44" s="34">
        <f>88.94</f>
        <v>88.94</v>
      </c>
      <c r="H44" s="39">
        <f>AVERAGE(Table13[[#This Row],[Column Shapes]],Table13[[#This Row],[Column Pair Trends]])</f>
        <v>92.009999999999991</v>
      </c>
      <c r="I44" s="39">
        <f>[1]Benchmark!V8</f>
        <v>-0.19237190846815699</v>
      </c>
      <c r="J44" s="34">
        <f t="shared" si="1"/>
        <v>0</v>
      </c>
    </row>
    <row r="45" spans="1:10" x14ac:dyDescent="0.2">
      <c r="A45" s="34" t="s">
        <v>27</v>
      </c>
      <c r="B45" s="34">
        <v>100</v>
      </c>
      <c r="C45" s="34" t="s">
        <v>12</v>
      </c>
      <c r="D45" s="34">
        <v>20</v>
      </c>
      <c r="E45" s="34" t="str">
        <f t="shared" si="2"/>
        <v>Benchmark-100-CTGAN-20</v>
      </c>
      <c r="F45" s="34">
        <f>94.93</f>
        <v>94.93</v>
      </c>
      <c r="G45" s="34">
        <f>88.48</f>
        <v>88.48</v>
      </c>
      <c r="H45" s="39">
        <f>AVERAGE(Table13[[#This Row],[Column Shapes]],Table13[[#This Row],[Column Pair Trends]])</f>
        <v>91.705000000000013</v>
      </c>
      <c r="I45" s="39">
        <f>[1]Benchmark!V9</f>
        <v>-9.2345561031202728E-2</v>
      </c>
      <c r="J45" s="34">
        <f t="shared" si="1"/>
        <v>0</v>
      </c>
    </row>
    <row r="46" spans="1:10" x14ac:dyDescent="0.2">
      <c r="A46" s="34" t="s">
        <v>27</v>
      </c>
      <c r="B46" s="34">
        <v>100</v>
      </c>
      <c r="C46" s="34" t="s">
        <v>10</v>
      </c>
      <c r="D46" s="34">
        <v>2</v>
      </c>
      <c r="E46" s="34" t="str">
        <f t="shared" si="2"/>
        <v>Benchmark-100-Mostly-2</v>
      </c>
      <c r="F46" s="34">
        <f>98.11</f>
        <v>98.11</v>
      </c>
      <c r="G46" s="34">
        <f>96.23</f>
        <v>96.23</v>
      </c>
      <c r="H46" s="39">
        <f>AVERAGE(Table13[[#This Row],[Column Shapes]],Table13[[#This Row],[Column Pair Trends]])</f>
        <v>97.17</v>
      </c>
      <c r="I46" s="39">
        <f>[1]Benchmark!W6</f>
        <v>0.3028086293263117</v>
      </c>
      <c r="J46" s="34">
        <f t="shared" si="1"/>
        <v>1</v>
      </c>
    </row>
    <row r="47" spans="1:10" x14ac:dyDescent="0.2">
      <c r="A47" s="34" t="s">
        <v>27</v>
      </c>
      <c r="B47" s="34">
        <v>100</v>
      </c>
      <c r="C47" s="34" t="s">
        <v>10</v>
      </c>
      <c r="D47" s="34">
        <v>5</v>
      </c>
      <c r="E47" s="34" t="str">
        <f t="shared" si="2"/>
        <v>Benchmark-100-Mostly-5</v>
      </c>
      <c r="F47" s="34">
        <f>97.69</f>
        <v>97.69</v>
      </c>
      <c r="G47" s="34">
        <f>94.65</f>
        <v>94.65</v>
      </c>
      <c r="H47" s="39">
        <f>AVERAGE(Table13[[#This Row],[Column Shapes]],Table13[[#This Row],[Column Pair Trends]])</f>
        <v>96.17</v>
      </c>
      <c r="I47" s="39">
        <f>[1]Benchmark!W7</f>
        <v>0.53043699674858558</v>
      </c>
      <c r="J47" s="34">
        <f t="shared" si="1"/>
        <v>1</v>
      </c>
    </row>
    <row r="48" spans="1:10" x14ac:dyDescent="0.2">
      <c r="A48" s="34" t="s">
        <v>27</v>
      </c>
      <c r="B48" s="34">
        <v>100</v>
      </c>
      <c r="C48" s="34" t="s">
        <v>10</v>
      </c>
      <c r="D48" s="34">
        <v>10</v>
      </c>
      <c r="E48" s="34" t="str">
        <f t="shared" si="2"/>
        <v>Benchmark-100-Mostly-10</v>
      </c>
      <c r="F48" s="34">
        <f>97.93</f>
        <v>97.93</v>
      </c>
      <c r="G48" s="34">
        <f>94.48</f>
        <v>94.48</v>
      </c>
      <c r="H48" s="39">
        <f>AVERAGE(Table13[[#This Row],[Column Shapes]],Table13[[#This Row],[Column Pair Trends]])</f>
        <v>96.205000000000013</v>
      </c>
      <c r="I48" s="39">
        <f>[1]Benchmark!W8</f>
        <v>0.58730257521582563</v>
      </c>
      <c r="J48" s="34">
        <f t="shared" si="1"/>
        <v>1</v>
      </c>
    </row>
    <row r="49" spans="1:10" x14ac:dyDescent="0.2">
      <c r="A49" s="34" t="s">
        <v>27</v>
      </c>
      <c r="B49" s="34">
        <v>100</v>
      </c>
      <c r="C49" s="34" t="s">
        <v>10</v>
      </c>
      <c r="D49" s="34">
        <v>20</v>
      </c>
      <c r="E49" s="34" t="str">
        <f t="shared" si="2"/>
        <v>Benchmark-100-Mostly-20</v>
      </c>
      <c r="F49" s="34">
        <f>97.88</f>
        <v>97.88</v>
      </c>
      <c r="G49" s="34">
        <f>94.46</f>
        <v>94.46</v>
      </c>
      <c r="H49" s="39">
        <f>AVERAGE(Table13[[#This Row],[Column Shapes]],Table13[[#This Row],[Column Pair Trends]])</f>
        <v>96.169999999999987</v>
      </c>
      <c r="I49" s="39">
        <f>[1]Benchmark!W9</f>
        <v>0.62981702925140781</v>
      </c>
      <c r="J49" s="34">
        <f t="shared" si="1"/>
        <v>1</v>
      </c>
    </row>
    <row r="50" spans="1:10" x14ac:dyDescent="0.2">
      <c r="A50" s="34" t="s">
        <v>27</v>
      </c>
      <c r="B50" s="34">
        <v>500</v>
      </c>
      <c r="C50" s="34" t="s">
        <v>11</v>
      </c>
      <c r="D50" s="34">
        <v>2</v>
      </c>
      <c r="E50" s="34" t="str">
        <f t="shared" si="2"/>
        <v>Benchmark-500-TVAE-2</v>
      </c>
      <c r="F50" s="34">
        <f>92.71</f>
        <v>92.71</v>
      </c>
      <c r="G50" s="34">
        <f>88.01</f>
        <v>88.01</v>
      </c>
      <c r="H50" s="39">
        <f>AVERAGE(Table13[[#This Row],[Column Shapes]],Table13[[#This Row],[Column Pair Trends]])</f>
        <v>90.36</v>
      </c>
      <c r="I50" s="39">
        <f>[1]Benchmark!U11</f>
        <v>-1.3335390698951013</v>
      </c>
      <c r="J50" s="34">
        <f t="shared" si="1"/>
        <v>0</v>
      </c>
    </row>
    <row r="51" spans="1:10" x14ac:dyDescent="0.2">
      <c r="A51" s="34" t="s">
        <v>27</v>
      </c>
      <c r="B51" s="34">
        <v>500</v>
      </c>
      <c r="C51" s="34" t="s">
        <v>11</v>
      </c>
      <c r="D51" s="34">
        <v>5</v>
      </c>
      <c r="E51" s="34" t="str">
        <f t="shared" si="2"/>
        <v>Benchmark-500-TVAE-5</v>
      </c>
      <c r="F51" s="34">
        <f>90.73</f>
        <v>90.73</v>
      </c>
      <c r="G51" s="34">
        <f>84.92</f>
        <v>84.92</v>
      </c>
      <c r="H51" s="39">
        <f>AVERAGE(Table13[[#This Row],[Column Shapes]],Table13[[#This Row],[Column Pair Trends]])</f>
        <v>87.825000000000003</v>
      </c>
      <c r="I51" s="39">
        <f>[1]Benchmark!U12</f>
        <v>-2.3301253709065071</v>
      </c>
      <c r="J51" s="34">
        <f t="shared" si="1"/>
        <v>0</v>
      </c>
    </row>
    <row r="52" spans="1:10" x14ac:dyDescent="0.2">
      <c r="A52" s="34" t="s">
        <v>27</v>
      </c>
      <c r="B52" s="34">
        <v>500</v>
      </c>
      <c r="C52" s="34" t="s">
        <v>11</v>
      </c>
      <c r="D52" s="34">
        <v>10</v>
      </c>
      <c r="E52" s="34" t="str">
        <f t="shared" si="2"/>
        <v>Benchmark-500-TVAE-10</v>
      </c>
      <c r="F52" s="34">
        <f>89.76</f>
        <v>89.76</v>
      </c>
      <c r="G52" s="34">
        <f>83.43</f>
        <v>83.43</v>
      </c>
      <c r="H52" s="39">
        <f>AVERAGE(Table13[[#This Row],[Column Shapes]],Table13[[#This Row],[Column Pair Trends]])</f>
        <v>86.594999999999999</v>
      </c>
      <c r="I52" s="39">
        <f>[1]Benchmark!U13</f>
        <v>-3.4145153056361428</v>
      </c>
      <c r="J52" s="34">
        <f t="shared" si="1"/>
        <v>0</v>
      </c>
    </row>
    <row r="53" spans="1:10" x14ac:dyDescent="0.2">
      <c r="A53" s="34" t="s">
        <v>27</v>
      </c>
      <c r="B53" s="34">
        <v>500</v>
      </c>
      <c r="C53" s="34" t="s">
        <v>11</v>
      </c>
      <c r="D53" s="34">
        <v>20</v>
      </c>
      <c r="E53" s="34" t="str">
        <f t="shared" si="2"/>
        <v>Benchmark-500-TVAE-20</v>
      </c>
      <c r="F53" s="34">
        <f>89.27</f>
        <v>89.27</v>
      </c>
      <c r="G53" s="34">
        <f>82.69</f>
        <v>82.69</v>
      </c>
      <c r="H53" s="39">
        <f>AVERAGE(Table13[[#This Row],[Column Shapes]],Table13[[#This Row],[Column Pair Trends]])</f>
        <v>85.97999999999999</v>
      </c>
      <c r="I53" s="39">
        <f>[1]Benchmark!U14</f>
        <v>-4.7784391799678456</v>
      </c>
      <c r="J53" s="34">
        <f t="shared" si="1"/>
        <v>0</v>
      </c>
    </row>
    <row r="54" spans="1:10" x14ac:dyDescent="0.2">
      <c r="A54" s="34" t="s">
        <v>27</v>
      </c>
      <c r="B54" s="34">
        <v>500</v>
      </c>
      <c r="C54" s="34" t="s">
        <v>12</v>
      </c>
      <c r="D54" s="34">
        <v>2</v>
      </c>
      <c r="E54" s="34" t="str">
        <f>_xlfn.CONCAT(A54,"-",B54,"-",C54,"-",D54)</f>
        <v>Benchmark-500-CTGAN-2</v>
      </c>
      <c r="F54" s="34">
        <f>94.54</f>
        <v>94.54</v>
      </c>
      <c r="G54" s="34">
        <f>91</f>
        <v>91</v>
      </c>
      <c r="H54" s="39">
        <f>AVERAGE(Table13[[#This Row],[Column Shapes]],Table13[[#This Row],[Column Pair Trends]])</f>
        <v>92.77000000000001</v>
      </c>
      <c r="I54" s="39">
        <f>[1]Benchmark!V11</f>
        <v>-3.3152734408684532</v>
      </c>
      <c r="J54" s="34">
        <f t="shared" si="1"/>
        <v>0</v>
      </c>
    </row>
    <row r="55" spans="1:10" x14ac:dyDescent="0.2">
      <c r="A55" s="34" t="s">
        <v>27</v>
      </c>
      <c r="B55" s="34">
        <v>500</v>
      </c>
      <c r="C55" s="34" t="s">
        <v>12</v>
      </c>
      <c r="D55" s="34">
        <v>5</v>
      </c>
      <c r="E55" s="34" t="str">
        <f t="shared" ref="E55:E57" si="3">_xlfn.CONCAT(A55,"-",B55,"-",C55,"-",D55)</f>
        <v>Benchmark-500-CTGAN-5</v>
      </c>
      <c r="F55" s="34">
        <f>93.25</f>
        <v>93.25</v>
      </c>
      <c r="G55" s="34">
        <f>88.86</f>
        <v>88.86</v>
      </c>
      <c r="H55" s="39">
        <f>AVERAGE(Table13[[#This Row],[Column Shapes]],Table13[[#This Row],[Column Pair Trends]])</f>
        <v>91.055000000000007</v>
      </c>
      <c r="I55" s="39">
        <f>[1]Benchmark!V12</f>
        <v>-5.9735031263491791</v>
      </c>
      <c r="J55" s="34">
        <f t="shared" si="1"/>
        <v>0</v>
      </c>
    </row>
    <row r="56" spans="1:10" x14ac:dyDescent="0.2">
      <c r="A56" s="34" t="s">
        <v>27</v>
      </c>
      <c r="B56" s="34">
        <v>500</v>
      </c>
      <c r="C56" s="34" t="s">
        <v>12</v>
      </c>
      <c r="D56" s="34">
        <v>10</v>
      </c>
      <c r="E56" s="34" t="str">
        <f t="shared" si="3"/>
        <v>Benchmark-500-CTGAN-10</v>
      </c>
      <c r="F56" s="34">
        <f>92.66</f>
        <v>92.66</v>
      </c>
      <c r="G56" s="34">
        <f>87.86</f>
        <v>87.86</v>
      </c>
      <c r="H56" s="39">
        <f>AVERAGE(Table13[[#This Row],[Column Shapes]],Table13[[#This Row],[Column Pair Trends]])</f>
        <v>90.259999999999991</v>
      </c>
      <c r="I56" s="39">
        <f>[1]Benchmark!V13</f>
        <v>-6.874233400666844</v>
      </c>
      <c r="J56" s="34">
        <f t="shared" si="1"/>
        <v>0</v>
      </c>
    </row>
    <row r="57" spans="1:10" x14ac:dyDescent="0.2">
      <c r="A57" s="34" t="s">
        <v>27</v>
      </c>
      <c r="B57" s="34">
        <v>500</v>
      </c>
      <c r="C57" s="34" t="s">
        <v>12</v>
      </c>
      <c r="D57" s="34">
        <v>20</v>
      </c>
      <c r="E57" s="34" t="str">
        <f t="shared" si="3"/>
        <v>Benchmark-500-CTGAN-20</v>
      </c>
      <c r="F57" s="34">
        <f>92.41</f>
        <v>92.41</v>
      </c>
      <c r="G57" s="34">
        <f>87.3</f>
        <v>87.3</v>
      </c>
      <c r="H57" s="39">
        <f>AVERAGE(Table13[[#This Row],[Column Shapes]],Table13[[#This Row],[Column Pair Trends]])</f>
        <v>89.85499999999999</v>
      </c>
      <c r="I57" s="39">
        <f>[1]Benchmark!V14</f>
        <v>-7.7972514940759616</v>
      </c>
      <c r="J57" s="34">
        <f t="shared" si="1"/>
        <v>0</v>
      </c>
    </row>
    <row r="58" spans="1:10" x14ac:dyDescent="0.2">
      <c r="A58" s="34" t="s">
        <v>27</v>
      </c>
      <c r="B58" s="34">
        <v>500</v>
      </c>
      <c r="C58" s="34" t="s">
        <v>10</v>
      </c>
      <c r="D58" s="34">
        <v>2</v>
      </c>
      <c r="E58" s="34" t="str">
        <f t="shared" si="2"/>
        <v>Benchmark-500-Mostly-2</v>
      </c>
      <c r="F58" s="34">
        <f>97.92</f>
        <v>97.92</v>
      </c>
      <c r="G58" s="34">
        <f>96.81</f>
        <v>96.81</v>
      </c>
      <c r="H58" s="39">
        <f>AVERAGE(Table13[[#This Row],[Column Shapes]],Table13[[#This Row],[Column Pair Trends]])</f>
        <v>97.365000000000009</v>
      </c>
      <c r="I58" s="39">
        <f>[1]Benchmark!W11</f>
        <v>0.22268686976877461</v>
      </c>
      <c r="J58" s="34">
        <f t="shared" si="1"/>
        <v>1</v>
      </c>
    </row>
    <row r="59" spans="1:10" x14ac:dyDescent="0.2">
      <c r="A59" s="34" t="s">
        <v>27</v>
      </c>
      <c r="B59" s="34">
        <v>500</v>
      </c>
      <c r="C59" s="34" t="s">
        <v>10</v>
      </c>
      <c r="D59" s="34">
        <v>5</v>
      </c>
      <c r="E59" s="34" t="str">
        <f t="shared" si="2"/>
        <v>Benchmark-500-Mostly-5</v>
      </c>
      <c r="F59" s="34">
        <f>98.26</f>
        <v>98.26</v>
      </c>
      <c r="G59" s="34">
        <f>97.22</f>
        <v>97.22</v>
      </c>
      <c r="H59" s="39">
        <f>AVERAGE(Table13[[#This Row],[Column Shapes]],Table13[[#This Row],[Column Pair Trends]])</f>
        <v>97.740000000000009</v>
      </c>
      <c r="I59" s="39">
        <f>[1]Benchmark!W12</f>
        <v>0.3036561604349528</v>
      </c>
      <c r="J59" s="34">
        <f t="shared" si="1"/>
        <v>1</v>
      </c>
    </row>
    <row r="60" spans="1:10" x14ac:dyDescent="0.2">
      <c r="A60" s="34" t="s">
        <v>27</v>
      </c>
      <c r="B60" s="34">
        <v>500</v>
      </c>
      <c r="C60" s="34" t="s">
        <v>10</v>
      </c>
      <c r="D60" s="34">
        <v>10</v>
      </c>
      <c r="E60" s="34" t="str">
        <f t="shared" si="2"/>
        <v>Benchmark-500-Mostly-10</v>
      </c>
      <c r="F60" s="34">
        <f>98.43</f>
        <v>98.43</v>
      </c>
      <c r="G60" s="34">
        <f>97.37</f>
        <v>97.37</v>
      </c>
      <c r="H60" s="39">
        <f>AVERAGE(Table13[[#This Row],[Column Shapes]],Table13[[#This Row],[Column Pair Trends]])</f>
        <v>97.9</v>
      </c>
      <c r="I60" s="39">
        <f>[1]Benchmark!W13</f>
        <v>0.23311999668558991</v>
      </c>
      <c r="J60" s="34">
        <f t="shared" si="1"/>
        <v>1</v>
      </c>
    </row>
    <row r="61" spans="1:10" x14ac:dyDescent="0.2">
      <c r="A61" s="34" t="s">
        <v>27</v>
      </c>
      <c r="B61" s="34">
        <v>500</v>
      </c>
      <c r="C61" s="34" t="s">
        <v>10</v>
      </c>
      <c r="D61" s="34">
        <v>20</v>
      </c>
      <c r="E61" s="34" t="str">
        <f t="shared" si="2"/>
        <v>Benchmark-500-Mostly-20</v>
      </c>
      <c r="F61" s="34">
        <f>98.5</f>
        <v>98.5</v>
      </c>
      <c r="G61" s="34">
        <f>97.46</f>
        <v>97.46</v>
      </c>
      <c r="H61" s="39">
        <f>AVERAGE(Table13[[#This Row],[Column Shapes]],Table13[[#This Row],[Column Pair Trends]])</f>
        <v>97.97999999999999</v>
      </c>
      <c r="I61" s="39">
        <f>[1]Benchmark!W14</f>
        <v>7.7015369500866737E-2</v>
      </c>
      <c r="J61" s="34">
        <f t="shared" si="1"/>
        <v>1</v>
      </c>
    </row>
    <row r="62" spans="1:10" x14ac:dyDescent="0.2">
      <c r="A62" s="34" t="s">
        <v>27</v>
      </c>
      <c r="B62" s="34">
        <v>1000</v>
      </c>
      <c r="C62" s="34" t="s">
        <v>11</v>
      </c>
      <c r="D62" s="34">
        <v>2</v>
      </c>
      <c r="E62" s="34" t="str">
        <f t="shared" si="2"/>
        <v>Benchmark-1000-TVAE-2</v>
      </c>
      <c r="F62" s="34">
        <f>96.55</f>
        <v>96.55</v>
      </c>
      <c r="G62" s="34">
        <f>94.15</f>
        <v>94.15</v>
      </c>
      <c r="H62" s="39">
        <f>AVERAGE(Table13[[#This Row],[Column Shapes]],Table13[[#This Row],[Column Pair Trends]])</f>
        <v>95.35</v>
      </c>
      <c r="I62" s="39">
        <f>[1]Benchmark!U16</f>
        <v>-0.35305486281866627</v>
      </c>
      <c r="J62" s="34">
        <f t="shared" si="1"/>
        <v>0</v>
      </c>
    </row>
    <row r="63" spans="1:10" x14ac:dyDescent="0.2">
      <c r="A63" s="34" t="s">
        <v>27</v>
      </c>
      <c r="B63" s="34">
        <v>1000</v>
      </c>
      <c r="C63" s="34" t="s">
        <v>11</v>
      </c>
      <c r="D63" s="34">
        <v>5</v>
      </c>
      <c r="E63" s="34" t="str">
        <f t="shared" si="2"/>
        <v>Benchmark-1000-TVAE-5</v>
      </c>
      <c r="F63" s="34">
        <f>95.71</f>
        <v>95.71</v>
      </c>
      <c r="G63" s="34">
        <f>92.86</f>
        <v>92.86</v>
      </c>
      <c r="H63" s="39">
        <f>AVERAGE(Table13[[#This Row],[Column Shapes]],Table13[[#This Row],[Column Pair Trends]])</f>
        <v>94.284999999999997</v>
      </c>
      <c r="I63" s="39">
        <f>[1]Benchmark!U17</f>
        <v>-1.0412807037082938</v>
      </c>
      <c r="J63" s="34">
        <f t="shared" si="1"/>
        <v>0</v>
      </c>
    </row>
    <row r="64" spans="1:10" x14ac:dyDescent="0.2">
      <c r="A64" s="34" t="s">
        <v>27</v>
      </c>
      <c r="B64" s="34">
        <v>1000</v>
      </c>
      <c r="C64" s="34" t="s">
        <v>11</v>
      </c>
      <c r="D64" s="34">
        <v>10</v>
      </c>
      <c r="E64" s="34" t="str">
        <f t="shared" si="2"/>
        <v>Benchmark-1000-TVAE-10</v>
      </c>
      <c r="F64" s="34">
        <f>95.47</f>
        <v>95.47</v>
      </c>
      <c r="G64" s="34">
        <f>92.32</f>
        <v>92.32</v>
      </c>
      <c r="H64" s="39">
        <f>AVERAGE(Table13[[#This Row],[Column Shapes]],Table13[[#This Row],[Column Pair Trends]])</f>
        <v>93.894999999999996</v>
      </c>
      <c r="I64" s="39">
        <f>[1]Benchmark!U18</f>
        <v>-1.3889880889582891</v>
      </c>
      <c r="J64" s="34">
        <f t="shared" si="1"/>
        <v>0</v>
      </c>
    </row>
    <row r="65" spans="1:10" x14ac:dyDescent="0.2">
      <c r="A65" s="34" t="s">
        <v>27</v>
      </c>
      <c r="B65" s="34">
        <v>1000</v>
      </c>
      <c r="C65" s="34" t="s">
        <v>11</v>
      </c>
      <c r="D65" s="34">
        <v>20</v>
      </c>
      <c r="E65" s="34" t="str">
        <f t="shared" si="2"/>
        <v>Benchmark-1000-TVAE-20</v>
      </c>
      <c r="F65" s="34">
        <f>95.3</f>
        <v>95.3</v>
      </c>
      <c r="G65" s="34">
        <f>91.82</f>
        <v>91.82</v>
      </c>
      <c r="H65" s="39">
        <f>AVERAGE(Table13[[#This Row],[Column Shapes]],Table13[[#This Row],[Column Pair Trends]])</f>
        <v>93.56</v>
      </c>
      <c r="I65" s="39">
        <f>[1]Benchmark!U19</f>
        <v>-1.8555843281387632</v>
      </c>
      <c r="J65" s="34">
        <f t="shared" si="1"/>
        <v>0</v>
      </c>
    </row>
    <row r="66" spans="1:10" x14ac:dyDescent="0.2">
      <c r="A66" s="34" t="s">
        <v>27</v>
      </c>
      <c r="B66" s="34">
        <v>1000</v>
      </c>
      <c r="C66" s="34" t="s">
        <v>12</v>
      </c>
      <c r="D66" s="34">
        <v>2</v>
      </c>
      <c r="E66" s="34" t="str">
        <f t="shared" si="2"/>
        <v>Benchmark-1000-CTGAN-2</v>
      </c>
      <c r="F66" s="34">
        <f>93.05</f>
        <v>93.05</v>
      </c>
      <c r="G66" s="34">
        <f>89.8</f>
        <v>89.8</v>
      </c>
      <c r="H66" s="39">
        <f>AVERAGE(Table13[[#This Row],[Column Shapes]],Table13[[#This Row],[Column Pair Trends]])</f>
        <v>91.424999999999997</v>
      </c>
      <c r="I66" s="39">
        <f>[1]Benchmark!V16</f>
        <v>-2.7189749404076924</v>
      </c>
      <c r="J66" s="34">
        <f t="shared" ref="J66:J129" si="4">IF(I66&gt;0,1,0)</f>
        <v>0</v>
      </c>
    </row>
    <row r="67" spans="1:10" x14ac:dyDescent="0.2">
      <c r="A67" s="34" t="s">
        <v>27</v>
      </c>
      <c r="B67" s="34">
        <v>1000</v>
      </c>
      <c r="C67" s="34" t="s">
        <v>12</v>
      </c>
      <c r="D67" s="34">
        <v>5</v>
      </c>
      <c r="E67" s="34" t="str">
        <f t="shared" si="2"/>
        <v>Benchmark-1000-CTGAN-5</v>
      </c>
      <c r="F67" s="34">
        <f>91.26</f>
        <v>91.26</v>
      </c>
      <c r="G67" s="34">
        <f>87.46</f>
        <v>87.46</v>
      </c>
      <c r="H67" s="39">
        <f>AVERAGE(Table13[[#This Row],[Column Shapes]],Table13[[#This Row],[Column Pair Trends]])</f>
        <v>89.36</v>
      </c>
      <c r="I67" s="39">
        <f>[1]Benchmark!V17</f>
        <v>-4.1226611903574124</v>
      </c>
      <c r="J67" s="34">
        <f t="shared" si="4"/>
        <v>0</v>
      </c>
    </row>
    <row r="68" spans="1:10" x14ac:dyDescent="0.2">
      <c r="A68" s="34" t="s">
        <v>27</v>
      </c>
      <c r="B68" s="34">
        <v>1000</v>
      </c>
      <c r="C68" s="34" t="s">
        <v>12</v>
      </c>
      <c r="D68" s="34">
        <v>10</v>
      </c>
      <c r="E68" s="34" t="str">
        <f t="shared" si="2"/>
        <v>Benchmark-1000-CTGAN-10</v>
      </c>
      <c r="F68" s="34">
        <f>90.2</f>
        <v>90.2</v>
      </c>
      <c r="G68" s="34">
        <f>85.98</f>
        <v>85.98</v>
      </c>
      <c r="H68" s="39">
        <f>AVERAGE(Table13[[#This Row],[Column Shapes]],Table13[[#This Row],[Column Pair Trends]])</f>
        <v>88.09</v>
      </c>
      <c r="I68" s="39">
        <f>[1]Benchmark!V18</f>
        <v>-4.6284801896365559</v>
      </c>
      <c r="J68" s="34">
        <f t="shared" si="4"/>
        <v>0</v>
      </c>
    </row>
    <row r="69" spans="1:10" x14ac:dyDescent="0.2">
      <c r="A69" s="34" t="s">
        <v>27</v>
      </c>
      <c r="B69" s="34">
        <v>1000</v>
      </c>
      <c r="C69" s="34" t="s">
        <v>12</v>
      </c>
      <c r="D69" s="34">
        <v>20</v>
      </c>
      <c r="E69" s="34" t="str">
        <f t="shared" si="2"/>
        <v>Benchmark-1000-CTGAN-20</v>
      </c>
      <c r="F69" s="34">
        <f>89.88</f>
        <v>89.88</v>
      </c>
      <c r="G69" s="34">
        <f>85.44</f>
        <v>85.44</v>
      </c>
      <c r="H69" s="39">
        <f>AVERAGE(Table13[[#This Row],[Column Shapes]],Table13[[#This Row],[Column Pair Trends]])</f>
        <v>87.66</v>
      </c>
      <c r="I69" s="39">
        <f>[1]Benchmark!V19</f>
        <v>-5.0734199651883092</v>
      </c>
      <c r="J69" s="34">
        <f t="shared" si="4"/>
        <v>0</v>
      </c>
    </row>
    <row r="70" spans="1:10" x14ac:dyDescent="0.2">
      <c r="A70" s="34" t="s">
        <v>27</v>
      </c>
      <c r="B70" s="34">
        <v>1000</v>
      </c>
      <c r="C70" s="34" t="s">
        <v>10</v>
      </c>
      <c r="D70" s="34">
        <v>2</v>
      </c>
      <c r="E70" s="34" t="str">
        <f t="shared" si="2"/>
        <v>Benchmark-1000-Mostly-2</v>
      </c>
      <c r="F70" s="34">
        <f>98.97</f>
        <v>98.97</v>
      </c>
      <c r="G70" s="34">
        <f>98.02</f>
        <v>98.02</v>
      </c>
      <c r="H70" s="39">
        <f>AVERAGE(Table13[[#This Row],[Column Shapes]],Table13[[#This Row],[Column Pair Trends]])</f>
        <v>98.495000000000005</v>
      </c>
      <c r="I70" s="39">
        <f>[1]Benchmark!W16</f>
        <v>0.2542715236427987</v>
      </c>
      <c r="J70" s="34">
        <f t="shared" si="4"/>
        <v>1</v>
      </c>
    </row>
    <row r="71" spans="1:10" x14ac:dyDescent="0.2">
      <c r="A71" s="34" t="s">
        <v>27</v>
      </c>
      <c r="B71" s="34">
        <v>1000</v>
      </c>
      <c r="C71" s="34" t="s">
        <v>10</v>
      </c>
      <c r="D71" s="34">
        <v>5</v>
      </c>
      <c r="E71" s="34" t="str">
        <f t="shared" si="2"/>
        <v>Benchmark-1000-Mostly-5</v>
      </c>
      <c r="F71" s="34">
        <f>99.29</f>
        <v>99.29</v>
      </c>
      <c r="G71" s="34">
        <f>98.26</f>
        <v>98.26</v>
      </c>
      <c r="H71" s="39">
        <f>AVERAGE(Table13[[#This Row],[Column Shapes]],Table13[[#This Row],[Column Pair Trends]])</f>
        <v>98.775000000000006</v>
      </c>
      <c r="I71" s="39">
        <f>[1]Benchmark!W17</f>
        <v>0.35436503818241627</v>
      </c>
      <c r="J71" s="34">
        <f t="shared" si="4"/>
        <v>1</v>
      </c>
    </row>
    <row r="72" spans="1:10" x14ac:dyDescent="0.2">
      <c r="A72" s="34" t="s">
        <v>27</v>
      </c>
      <c r="B72" s="34">
        <v>1000</v>
      </c>
      <c r="C72" s="34" t="s">
        <v>10</v>
      </c>
      <c r="D72" s="34">
        <v>10</v>
      </c>
      <c r="E72" s="34" t="str">
        <f t="shared" si="2"/>
        <v>Benchmark-1000-Mostly-10</v>
      </c>
      <c r="F72" s="34">
        <f>99.08</f>
        <v>99.08</v>
      </c>
      <c r="G72" s="34">
        <f>98.08</f>
        <v>98.08</v>
      </c>
      <c r="H72" s="39">
        <f>AVERAGE(Table13[[#This Row],[Column Shapes]],Table13[[#This Row],[Column Pair Trends]])</f>
        <v>98.58</v>
      </c>
      <c r="I72" s="39">
        <f>[1]Benchmark!W18</f>
        <v>0.22890351977865186</v>
      </c>
      <c r="J72" s="34">
        <f t="shared" si="4"/>
        <v>1</v>
      </c>
    </row>
    <row r="73" spans="1:10" x14ac:dyDescent="0.2">
      <c r="A73" s="34" t="s">
        <v>27</v>
      </c>
      <c r="B73" s="34">
        <v>1000</v>
      </c>
      <c r="C73" s="34" t="s">
        <v>10</v>
      </c>
      <c r="D73" s="34">
        <v>20</v>
      </c>
      <c r="E73" s="34" t="str">
        <f t="shared" si="2"/>
        <v>Benchmark-1000-Mostly-20</v>
      </c>
      <c r="F73" s="34">
        <f>99.14</f>
        <v>99.14</v>
      </c>
      <c r="G73" s="34">
        <f>97.98</f>
        <v>97.98</v>
      </c>
      <c r="H73" s="39">
        <f>AVERAGE(Table13[[#This Row],[Column Shapes]],Table13[[#This Row],[Column Pair Trends]])</f>
        <v>98.56</v>
      </c>
      <c r="I73" s="39">
        <f>[1]Benchmark!W19</f>
        <v>0.19115674042326891</v>
      </c>
      <c r="J73" s="34">
        <f t="shared" si="4"/>
        <v>1</v>
      </c>
    </row>
    <row r="74" spans="1:10" x14ac:dyDescent="0.2">
      <c r="A74" s="34" t="s">
        <v>29</v>
      </c>
      <c r="B74" s="34">
        <v>100</v>
      </c>
      <c r="C74" s="34" t="s">
        <v>11</v>
      </c>
      <c r="D74" s="34">
        <v>2</v>
      </c>
      <c r="E74" s="34" t="str">
        <f t="shared" si="2"/>
        <v>Sports-100-TVAE-2</v>
      </c>
      <c r="F74" s="34">
        <f>89.83</f>
        <v>89.83</v>
      </c>
      <c r="G74" s="34">
        <f>82.13</f>
        <v>82.13</v>
      </c>
      <c r="H74" s="39">
        <f>AVERAGE(Table13[[#This Row],[Column Shapes]],Table13[[#This Row],[Column Pair Trends]])</f>
        <v>85.97999999999999</v>
      </c>
      <c r="I74" s="39">
        <f>[1]Sports!T6</f>
        <v>5.0981449560030034E-2</v>
      </c>
      <c r="J74" s="34">
        <f t="shared" si="4"/>
        <v>1</v>
      </c>
    </row>
    <row r="75" spans="1:10" x14ac:dyDescent="0.2">
      <c r="A75" s="34" t="s">
        <v>29</v>
      </c>
      <c r="B75" s="34">
        <v>100</v>
      </c>
      <c r="C75" s="34" t="s">
        <v>11</v>
      </c>
      <c r="D75" s="34">
        <v>5</v>
      </c>
      <c r="E75" s="34" t="str">
        <f t="shared" si="2"/>
        <v>Sports-100-TVAE-5</v>
      </c>
      <c r="F75" s="34">
        <f>87.45</f>
        <v>87.45</v>
      </c>
      <c r="G75" s="34">
        <f>77.53</f>
        <v>77.53</v>
      </c>
      <c r="H75" s="39">
        <f>AVERAGE(Table13[[#This Row],[Column Shapes]],Table13[[#This Row],[Column Pair Trends]])</f>
        <v>82.490000000000009</v>
      </c>
      <c r="I75" s="39">
        <f>[1]Sports!T7</f>
        <v>4.6804968976624006E-2</v>
      </c>
      <c r="J75" s="34">
        <f t="shared" si="4"/>
        <v>1</v>
      </c>
    </row>
    <row r="76" spans="1:10" x14ac:dyDescent="0.2">
      <c r="A76" s="34" t="s">
        <v>29</v>
      </c>
      <c r="B76" s="34">
        <v>100</v>
      </c>
      <c r="C76" s="34" t="s">
        <v>11</v>
      </c>
      <c r="D76" s="34">
        <v>10</v>
      </c>
      <c r="E76" s="34" t="str">
        <f t="shared" si="2"/>
        <v>Sports-100-TVAE-10</v>
      </c>
      <c r="F76" s="34">
        <f>85.99</f>
        <v>85.99</v>
      </c>
      <c r="G76" s="34">
        <f>75.38</f>
        <v>75.38</v>
      </c>
      <c r="H76" s="39">
        <f>AVERAGE(Table13[[#This Row],[Column Shapes]],Table13[[#This Row],[Column Pair Trends]])</f>
        <v>80.685000000000002</v>
      </c>
      <c r="I76" s="39">
        <f>[1]Sports!T8</f>
        <v>-2.7972935497453388E-2</v>
      </c>
      <c r="J76" s="34">
        <f t="shared" si="4"/>
        <v>0</v>
      </c>
    </row>
    <row r="77" spans="1:10" x14ac:dyDescent="0.2">
      <c r="A77" s="34" t="s">
        <v>29</v>
      </c>
      <c r="B77" s="34">
        <v>100</v>
      </c>
      <c r="C77" s="34" t="s">
        <v>11</v>
      </c>
      <c r="D77" s="34">
        <v>20</v>
      </c>
      <c r="E77" s="34" t="str">
        <f t="shared" si="2"/>
        <v>Sports-100-TVAE-20</v>
      </c>
      <c r="F77" s="34">
        <f>85.32</f>
        <v>85.32</v>
      </c>
      <c r="G77" s="34">
        <f>74.37</f>
        <v>74.37</v>
      </c>
      <c r="H77" s="39">
        <f>AVERAGE(Table13[[#This Row],[Column Shapes]],Table13[[#This Row],[Column Pair Trends]])</f>
        <v>79.844999999999999</v>
      </c>
      <c r="I77" s="39">
        <f>[1]Sports!T9</f>
        <v>-3.2697107441549189E-2</v>
      </c>
      <c r="J77" s="34">
        <f t="shared" si="4"/>
        <v>0</v>
      </c>
    </row>
    <row r="78" spans="1:10" x14ac:dyDescent="0.2">
      <c r="A78" s="34" t="s">
        <v>29</v>
      </c>
      <c r="B78" s="34">
        <v>100</v>
      </c>
      <c r="C78" s="34" t="s">
        <v>12</v>
      </c>
      <c r="D78" s="34">
        <v>2</v>
      </c>
      <c r="E78" s="34" t="str">
        <f t="shared" si="2"/>
        <v>Sports-100-CTGAN-2</v>
      </c>
      <c r="F78" s="34">
        <f>96.29</f>
        <v>96.29</v>
      </c>
      <c r="G78" s="34">
        <f>84.74</f>
        <v>84.74</v>
      </c>
      <c r="H78" s="39">
        <f>AVERAGE(Table13[[#This Row],[Column Shapes]],Table13[[#This Row],[Column Pair Trends]])</f>
        <v>90.515000000000001</v>
      </c>
      <c r="I78" s="39">
        <f>[1]Sports!U6</f>
        <v>-8.9577860872501747E-2</v>
      </c>
      <c r="J78" s="34">
        <f t="shared" si="4"/>
        <v>0</v>
      </c>
    </row>
    <row r="79" spans="1:10" x14ac:dyDescent="0.2">
      <c r="A79" s="34" t="s">
        <v>29</v>
      </c>
      <c r="B79" s="34">
        <v>100</v>
      </c>
      <c r="C79" s="34" t="s">
        <v>12</v>
      </c>
      <c r="D79" s="34">
        <v>5</v>
      </c>
      <c r="E79" s="34" t="str">
        <f t="shared" si="2"/>
        <v>Sports-100-CTGAN-5</v>
      </c>
      <c r="F79" s="34">
        <f>95.86</f>
        <v>95.86</v>
      </c>
      <c r="G79" s="34">
        <f>82.18</f>
        <v>82.18</v>
      </c>
      <c r="H79" s="39">
        <f>AVERAGE(Table13[[#This Row],[Column Shapes]],Table13[[#This Row],[Column Pair Trends]])</f>
        <v>89.02000000000001</v>
      </c>
      <c r="I79" s="39">
        <f>[1]Sports!U7</f>
        <v>0.15224223507233803</v>
      </c>
      <c r="J79" s="34">
        <f t="shared" si="4"/>
        <v>1</v>
      </c>
    </row>
    <row r="80" spans="1:10" x14ac:dyDescent="0.2">
      <c r="A80" s="34" t="s">
        <v>29</v>
      </c>
      <c r="B80" s="34">
        <v>100</v>
      </c>
      <c r="C80" s="34" t="s">
        <v>12</v>
      </c>
      <c r="D80" s="34">
        <v>10</v>
      </c>
      <c r="E80" s="34" t="str">
        <f t="shared" si="2"/>
        <v>Sports-100-CTGAN-10</v>
      </c>
      <c r="F80" s="34">
        <f>94.78</f>
        <v>94.78</v>
      </c>
      <c r="G80" s="34">
        <f>81.09</f>
        <v>81.09</v>
      </c>
      <c r="H80" s="39">
        <f>AVERAGE(Table13[[#This Row],[Column Shapes]],Table13[[#This Row],[Column Pair Trends]])</f>
        <v>87.935000000000002</v>
      </c>
      <c r="I80" s="39">
        <f>[1]Sports!U8</f>
        <v>0.35046442891553897</v>
      </c>
      <c r="J80" s="34">
        <f t="shared" si="4"/>
        <v>1</v>
      </c>
    </row>
    <row r="81" spans="1:10" x14ac:dyDescent="0.2">
      <c r="A81" s="34" t="s">
        <v>29</v>
      </c>
      <c r="B81" s="34">
        <v>100</v>
      </c>
      <c r="C81" s="34" t="s">
        <v>12</v>
      </c>
      <c r="D81" s="34">
        <v>20</v>
      </c>
      <c r="E81" s="34" t="str">
        <f t="shared" si="2"/>
        <v>Sports-100-CTGAN-20</v>
      </c>
      <c r="F81" s="34">
        <f>95.12</f>
        <v>95.12</v>
      </c>
      <c r="G81" s="34">
        <f>80.47</f>
        <v>80.47</v>
      </c>
      <c r="H81" s="39">
        <f>AVERAGE(Table13[[#This Row],[Column Shapes]],Table13[[#This Row],[Column Pair Trends]])</f>
        <v>87.795000000000002</v>
      </c>
      <c r="I81" s="39">
        <f>[1]Sports!U9</f>
        <v>0.46161872452567254</v>
      </c>
      <c r="J81" s="34">
        <f t="shared" si="4"/>
        <v>1</v>
      </c>
    </row>
    <row r="82" spans="1:10" x14ac:dyDescent="0.2">
      <c r="A82" s="34" t="s">
        <v>29</v>
      </c>
      <c r="B82" s="34">
        <v>100</v>
      </c>
      <c r="C82" s="34" t="s">
        <v>10</v>
      </c>
      <c r="D82" s="34">
        <v>2</v>
      </c>
      <c r="E82" s="34" t="str">
        <f t="shared" si="2"/>
        <v>Sports-100-Mostly-2</v>
      </c>
      <c r="F82" s="34">
        <f>96.64</f>
        <v>96.64</v>
      </c>
      <c r="G82" s="34">
        <f>87.97</f>
        <v>87.97</v>
      </c>
      <c r="H82" s="39">
        <f>AVERAGE(Table13[[#This Row],[Column Shapes]],Table13[[#This Row],[Column Pair Trends]])</f>
        <v>92.305000000000007</v>
      </c>
      <c r="I82" s="39">
        <f>[1]Sports!V6</f>
        <v>-5.7613724771465646E-2</v>
      </c>
      <c r="J82" s="34">
        <f t="shared" si="4"/>
        <v>0</v>
      </c>
    </row>
    <row r="83" spans="1:10" x14ac:dyDescent="0.2">
      <c r="A83" s="34" t="s">
        <v>29</v>
      </c>
      <c r="B83" s="34">
        <v>100</v>
      </c>
      <c r="C83" s="34" t="s">
        <v>10</v>
      </c>
      <c r="D83" s="34">
        <v>5</v>
      </c>
      <c r="E83" s="34" t="str">
        <f t="shared" ref="E83:E98" si="5">_xlfn.CONCAT(A83,"-",B83,"-",C83,"-",D83)</f>
        <v>Sports-100-Mostly-5</v>
      </c>
      <c r="F83" s="34">
        <f>96.64</f>
        <v>96.64</v>
      </c>
      <c r="G83" s="34">
        <f>86.57</f>
        <v>86.57</v>
      </c>
      <c r="H83" s="39">
        <f>AVERAGE(Table13[[#This Row],[Column Shapes]],Table13[[#This Row],[Column Pair Trends]])</f>
        <v>91.60499999999999</v>
      </c>
      <c r="I83" s="39">
        <f>[1]Sports!V7</f>
        <v>0.16145246680188852</v>
      </c>
      <c r="J83" s="34">
        <f t="shared" si="4"/>
        <v>1</v>
      </c>
    </row>
    <row r="84" spans="1:10" x14ac:dyDescent="0.2">
      <c r="A84" s="34" t="s">
        <v>29</v>
      </c>
      <c r="B84" s="34">
        <v>100</v>
      </c>
      <c r="C84" s="34" t="s">
        <v>10</v>
      </c>
      <c r="D84" s="34">
        <v>10</v>
      </c>
      <c r="E84" s="34" t="str">
        <f t="shared" si="5"/>
        <v>Sports-100-Mostly-10</v>
      </c>
      <c r="F84" s="34">
        <f>96.31</f>
        <v>96.31</v>
      </c>
      <c r="G84" s="34">
        <f>86.29</f>
        <v>86.29</v>
      </c>
      <c r="H84" s="39">
        <f>AVERAGE(Table13[[#This Row],[Column Shapes]],Table13[[#This Row],[Column Pair Trends]])</f>
        <v>91.300000000000011</v>
      </c>
      <c r="I84" s="39">
        <f>[1]Sports!V8</f>
        <v>0.34999421584489809</v>
      </c>
      <c r="J84" s="34">
        <f t="shared" si="4"/>
        <v>1</v>
      </c>
    </row>
    <row r="85" spans="1:10" x14ac:dyDescent="0.2">
      <c r="A85" s="34" t="s">
        <v>29</v>
      </c>
      <c r="B85" s="34">
        <v>100</v>
      </c>
      <c r="C85" s="34" t="s">
        <v>10</v>
      </c>
      <c r="D85" s="34">
        <v>20</v>
      </c>
      <c r="E85" s="34" t="str">
        <f t="shared" si="5"/>
        <v>Sports-100-Mostly-20</v>
      </c>
      <c r="F85" s="34">
        <f>96.66</f>
        <v>96.66</v>
      </c>
      <c r="G85" s="34">
        <f>85.89</f>
        <v>85.89</v>
      </c>
      <c r="H85" s="39">
        <f>AVERAGE(Table13[[#This Row],[Column Shapes]],Table13[[#This Row],[Column Pair Trends]])</f>
        <v>91.275000000000006</v>
      </c>
      <c r="I85" s="39">
        <f>[1]Sports!V9</f>
        <v>0.49674978573245299</v>
      </c>
      <c r="J85" s="34">
        <f t="shared" si="4"/>
        <v>1</v>
      </c>
    </row>
    <row r="86" spans="1:10" x14ac:dyDescent="0.2">
      <c r="A86" s="34" t="s">
        <v>29</v>
      </c>
      <c r="B86" s="34">
        <v>500</v>
      </c>
      <c r="C86" s="34" t="s">
        <v>11</v>
      </c>
      <c r="D86" s="34">
        <v>2</v>
      </c>
      <c r="E86" s="34" t="str">
        <f t="shared" si="5"/>
        <v>Sports-500-TVAE-2</v>
      </c>
      <c r="F86" s="34">
        <f>76.26</f>
        <v>76.260000000000005</v>
      </c>
      <c r="G86" s="34">
        <f>62.15</f>
        <v>62.15</v>
      </c>
      <c r="H86" s="39">
        <f>AVERAGE(Table13[[#This Row],[Column Shapes]],Table13[[#This Row],[Column Pair Trends]])</f>
        <v>69.204999999999998</v>
      </c>
      <c r="I86" s="39">
        <f>[1]Sports!T11</f>
        <v>-9.6317570496321503E-2</v>
      </c>
      <c r="J86" s="34">
        <f t="shared" si="4"/>
        <v>0</v>
      </c>
    </row>
    <row r="87" spans="1:10" x14ac:dyDescent="0.2">
      <c r="A87" s="34" t="s">
        <v>29</v>
      </c>
      <c r="B87" s="34">
        <v>500</v>
      </c>
      <c r="C87" s="34" t="s">
        <v>11</v>
      </c>
      <c r="D87" s="34">
        <v>5</v>
      </c>
      <c r="E87" s="34" t="str">
        <f t="shared" si="5"/>
        <v>Sports-500-TVAE-5</v>
      </c>
      <c r="F87" s="34">
        <f>70.62</f>
        <v>70.62</v>
      </c>
      <c r="G87" s="34">
        <f>52.93</f>
        <v>52.93</v>
      </c>
      <c r="H87" s="39">
        <f>AVERAGE(Table13[[#This Row],[Column Shapes]],Table13[[#This Row],[Column Pair Trends]])</f>
        <v>61.775000000000006</v>
      </c>
      <c r="I87" s="39">
        <f>[1]Sports!T12</f>
        <v>-0.17195034093524764</v>
      </c>
      <c r="J87" s="34">
        <f t="shared" si="4"/>
        <v>0</v>
      </c>
    </row>
    <row r="88" spans="1:10" x14ac:dyDescent="0.2">
      <c r="A88" s="34" t="s">
        <v>29</v>
      </c>
      <c r="B88" s="34">
        <v>500</v>
      </c>
      <c r="C88" s="34" t="s">
        <v>11</v>
      </c>
      <c r="D88" s="34">
        <v>10</v>
      </c>
      <c r="E88" s="34" t="str">
        <f t="shared" si="5"/>
        <v>Sports-500-TVAE-10</v>
      </c>
      <c r="F88" s="34">
        <f>67.68</f>
        <v>67.680000000000007</v>
      </c>
      <c r="G88" s="34">
        <f>48.58</f>
        <v>48.58</v>
      </c>
      <c r="H88" s="39">
        <f>AVERAGE(Table13[[#This Row],[Column Shapes]],Table13[[#This Row],[Column Pair Trends]])</f>
        <v>58.13</v>
      </c>
      <c r="I88" s="39">
        <f>[1]Sports!T13</f>
        <v>-0.23012157682178391</v>
      </c>
      <c r="J88" s="34">
        <f t="shared" si="4"/>
        <v>0</v>
      </c>
    </row>
    <row r="89" spans="1:10" x14ac:dyDescent="0.2">
      <c r="A89" s="34" t="s">
        <v>29</v>
      </c>
      <c r="B89" s="34">
        <v>500</v>
      </c>
      <c r="C89" s="34" t="s">
        <v>11</v>
      </c>
      <c r="D89" s="34">
        <v>20</v>
      </c>
      <c r="E89" s="34" t="str">
        <f t="shared" si="5"/>
        <v>Sports-500-TVAE-20</v>
      </c>
      <c r="F89" s="34">
        <f>66.33</f>
        <v>66.33</v>
      </c>
      <c r="G89" s="34">
        <f>46.2</f>
        <v>46.2</v>
      </c>
      <c r="H89" s="39">
        <f>AVERAGE(Table13[[#This Row],[Column Shapes]],Table13[[#This Row],[Column Pair Trends]])</f>
        <v>56.265000000000001</v>
      </c>
      <c r="I89" s="39">
        <f>[1]Sports!T14</f>
        <v>-0.29633416138299218</v>
      </c>
      <c r="J89" s="34">
        <f t="shared" si="4"/>
        <v>0</v>
      </c>
    </row>
    <row r="90" spans="1:10" x14ac:dyDescent="0.2">
      <c r="A90" s="34" t="s">
        <v>29</v>
      </c>
      <c r="B90" s="34">
        <v>500</v>
      </c>
      <c r="C90" s="34" t="s">
        <v>12</v>
      </c>
      <c r="D90" s="34">
        <v>2</v>
      </c>
      <c r="E90" s="34" t="str">
        <f>_xlfn.CONCAT(A90,"-",B90,"-",C90,"-",D90)</f>
        <v>Sports-500-CTGAN-2</v>
      </c>
      <c r="F90" s="34">
        <f>96.83</f>
        <v>96.83</v>
      </c>
      <c r="G90" s="34">
        <f>87.88</f>
        <v>87.88</v>
      </c>
      <c r="H90" s="39">
        <f>AVERAGE(Table13[[#This Row],[Column Shapes]],Table13[[#This Row],[Column Pair Trends]])</f>
        <v>92.35499999999999</v>
      </c>
      <c r="I90" s="39">
        <f>[1]Sports!U11</f>
        <v>0.14569862579628778</v>
      </c>
      <c r="J90" s="34">
        <f t="shared" si="4"/>
        <v>1</v>
      </c>
    </row>
    <row r="91" spans="1:10" x14ac:dyDescent="0.2">
      <c r="A91" s="34" t="s">
        <v>29</v>
      </c>
      <c r="B91" s="34">
        <v>500</v>
      </c>
      <c r="C91" s="34" t="s">
        <v>12</v>
      </c>
      <c r="D91" s="34">
        <v>5</v>
      </c>
      <c r="E91" s="34" t="str">
        <f t="shared" ref="E91:E109" si="6">_xlfn.CONCAT(A91,"-",B91,"-",C91,"-",D91)</f>
        <v>Sports-500-CTGAN-5</v>
      </c>
      <c r="F91" s="34">
        <f>96.27</f>
        <v>96.27</v>
      </c>
      <c r="G91" s="34">
        <f>85.35</f>
        <v>85.35</v>
      </c>
      <c r="H91" s="39">
        <f>AVERAGE(Table13[[#This Row],[Column Shapes]],Table13[[#This Row],[Column Pair Trends]])</f>
        <v>90.81</v>
      </c>
      <c r="I91" s="39">
        <f>[1]Sports!U12</f>
        <v>0.22618684626675167</v>
      </c>
      <c r="J91" s="34">
        <f t="shared" si="4"/>
        <v>1</v>
      </c>
    </row>
    <row r="92" spans="1:10" x14ac:dyDescent="0.2">
      <c r="A92" s="34" t="s">
        <v>29</v>
      </c>
      <c r="B92" s="34">
        <v>500</v>
      </c>
      <c r="C92" s="34" t="s">
        <v>12</v>
      </c>
      <c r="D92" s="34">
        <v>10</v>
      </c>
      <c r="E92" s="34" t="str">
        <f t="shared" si="6"/>
        <v>Sports-500-CTGAN-10</v>
      </c>
      <c r="F92" s="34">
        <f>95.91</f>
        <v>95.91</v>
      </c>
      <c r="G92" s="34">
        <f>84.35</f>
        <v>84.35</v>
      </c>
      <c r="H92" s="39">
        <f>AVERAGE(Table13[[#This Row],[Column Shapes]],Table13[[#This Row],[Column Pair Trends]])</f>
        <v>90.13</v>
      </c>
      <c r="I92" s="39">
        <f>[1]Sports!U13</f>
        <v>0.20460524152444848</v>
      </c>
      <c r="J92" s="34">
        <f t="shared" si="4"/>
        <v>1</v>
      </c>
    </row>
    <row r="93" spans="1:10" x14ac:dyDescent="0.2">
      <c r="A93" s="34" t="s">
        <v>29</v>
      </c>
      <c r="B93" s="34">
        <v>500</v>
      </c>
      <c r="C93" s="34" t="s">
        <v>12</v>
      </c>
      <c r="D93" s="34">
        <v>20</v>
      </c>
      <c r="E93" s="34" t="str">
        <f t="shared" si="6"/>
        <v>Sports-500-CTGAN-20</v>
      </c>
      <c r="F93" s="34">
        <f>95.94</f>
        <v>95.94</v>
      </c>
      <c r="G93" s="34">
        <f>83.7</f>
        <v>83.7</v>
      </c>
      <c r="H93" s="39">
        <f>AVERAGE(Table13[[#This Row],[Column Shapes]],Table13[[#This Row],[Column Pair Trends]])</f>
        <v>89.82</v>
      </c>
      <c r="I93" s="39">
        <f>[1]Sports!U14</f>
        <v>0.20288038718047607</v>
      </c>
      <c r="J93" s="34">
        <f t="shared" si="4"/>
        <v>1</v>
      </c>
    </row>
    <row r="94" spans="1:10" x14ac:dyDescent="0.2">
      <c r="A94" s="34" t="s">
        <v>29</v>
      </c>
      <c r="B94" s="34">
        <v>500</v>
      </c>
      <c r="C94" s="34" t="s">
        <v>10</v>
      </c>
      <c r="D94" s="34">
        <v>2</v>
      </c>
      <c r="E94" s="34" t="str">
        <f t="shared" si="6"/>
        <v>Sports-500-Mostly-2</v>
      </c>
      <c r="F94" s="34">
        <f>97.98</f>
        <v>97.98</v>
      </c>
      <c r="G94" s="34">
        <f>95.04</f>
        <v>95.04</v>
      </c>
      <c r="H94" s="39">
        <f>AVERAGE(Table13[[#This Row],[Column Shapes]],Table13[[#This Row],[Column Pair Trends]])</f>
        <v>96.51</v>
      </c>
      <c r="I94" s="39">
        <f>[1]Sports!V11</f>
        <v>0.15800779323271197</v>
      </c>
      <c r="J94" s="34">
        <f t="shared" si="4"/>
        <v>1</v>
      </c>
    </row>
    <row r="95" spans="1:10" x14ac:dyDescent="0.2">
      <c r="A95" s="34" t="s">
        <v>29</v>
      </c>
      <c r="B95" s="34">
        <v>500</v>
      </c>
      <c r="C95" s="34" t="s">
        <v>10</v>
      </c>
      <c r="D95" s="34">
        <v>5</v>
      </c>
      <c r="E95" s="34" t="str">
        <f t="shared" si="6"/>
        <v>Sports-500-Mostly-5</v>
      </c>
      <c r="F95" s="34">
        <f>97.43</f>
        <v>97.43</v>
      </c>
      <c r="G95" s="34">
        <f>94.36</f>
        <v>94.36</v>
      </c>
      <c r="H95" s="39">
        <f>AVERAGE(Table13[[#This Row],[Column Shapes]],Table13[[#This Row],[Column Pair Trends]])</f>
        <v>95.89500000000001</v>
      </c>
      <c r="I95" s="39">
        <f>[1]Sports!V12</f>
        <v>0.37521665306512897</v>
      </c>
      <c r="J95" s="34">
        <f t="shared" si="4"/>
        <v>1</v>
      </c>
    </row>
    <row r="96" spans="1:10" x14ac:dyDescent="0.2">
      <c r="A96" s="34" t="s">
        <v>29</v>
      </c>
      <c r="B96" s="34">
        <v>500</v>
      </c>
      <c r="C96" s="34" t="s">
        <v>10</v>
      </c>
      <c r="D96" s="34">
        <v>10</v>
      </c>
      <c r="E96" s="34" t="str">
        <f t="shared" si="6"/>
        <v>Sports-500-Mostly-10</v>
      </c>
      <c r="F96" s="34">
        <f>97.76</f>
        <v>97.76</v>
      </c>
      <c r="G96" s="34">
        <f>94.49</f>
        <v>94.49</v>
      </c>
      <c r="H96" s="39">
        <f>AVERAGE(Table13[[#This Row],[Column Shapes]],Table13[[#This Row],[Column Pair Trends]])</f>
        <v>96.125</v>
      </c>
      <c r="I96" s="39">
        <f>[1]Sports!V13</f>
        <v>0.49076859150845542</v>
      </c>
      <c r="J96" s="34">
        <f t="shared" si="4"/>
        <v>1</v>
      </c>
    </row>
    <row r="97" spans="1:10" x14ac:dyDescent="0.2">
      <c r="A97" s="34" t="s">
        <v>29</v>
      </c>
      <c r="B97" s="34">
        <v>500</v>
      </c>
      <c r="C97" s="34" t="s">
        <v>10</v>
      </c>
      <c r="D97" s="34">
        <v>20</v>
      </c>
      <c r="E97" s="34" t="str">
        <f t="shared" si="6"/>
        <v>Sports-500-Mostly-20</v>
      </c>
      <c r="F97" s="34">
        <f>97.42</f>
        <v>97.42</v>
      </c>
      <c r="G97" s="34">
        <f>94.18</f>
        <v>94.18</v>
      </c>
      <c r="H97" s="39">
        <f>AVERAGE(Table13[[#This Row],[Column Shapes]],Table13[[#This Row],[Column Pair Trends]])</f>
        <v>95.800000000000011</v>
      </c>
      <c r="I97" s="39">
        <f>[1]Sports!V14</f>
        <v>0.52239298878097351</v>
      </c>
      <c r="J97" s="34">
        <f t="shared" si="4"/>
        <v>1</v>
      </c>
    </row>
    <row r="98" spans="1:10" x14ac:dyDescent="0.2">
      <c r="A98" s="34" t="s">
        <v>29</v>
      </c>
      <c r="B98" s="34">
        <v>1000</v>
      </c>
      <c r="C98" s="34" t="s">
        <v>11</v>
      </c>
      <c r="D98" s="34">
        <v>2</v>
      </c>
      <c r="E98" s="34" t="str">
        <f t="shared" si="6"/>
        <v>Sports-1000-TVAE-2</v>
      </c>
      <c r="F98" s="34">
        <f>82.15</f>
        <v>82.15</v>
      </c>
      <c r="G98" s="34">
        <f>69.83</f>
        <v>69.83</v>
      </c>
      <c r="H98" s="39">
        <f>AVERAGE(Table13[[#This Row],[Column Shapes]],Table13[[#This Row],[Column Pair Trends]])</f>
        <v>75.990000000000009</v>
      </c>
      <c r="I98" s="39">
        <f>[1]Sports!T16</f>
        <v>-0.20730958277174705</v>
      </c>
      <c r="J98" s="34">
        <f t="shared" si="4"/>
        <v>0</v>
      </c>
    </row>
    <row r="99" spans="1:10" x14ac:dyDescent="0.2">
      <c r="A99" s="34" t="s">
        <v>29</v>
      </c>
      <c r="B99" s="34">
        <v>1000</v>
      </c>
      <c r="C99" s="34" t="s">
        <v>11</v>
      </c>
      <c r="D99" s="34">
        <v>5</v>
      </c>
      <c r="E99" s="34" t="str">
        <f t="shared" si="6"/>
        <v>Sports-1000-TVAE-5</v>
      </c>
      <c r="F99" s="34">
        <f>77.59</f>
        <v>77.59</v>
      </c>
      <c r="G99" s="34">
        <f>62.05</f>
        <v>62.05</v>
      </c>
      <c r="H99" s="39">
        <f>AVERAGE(Table13[[#This Row],[Column Shapes]],Table13[[#This Row],[Column Pair Trends]])</f>
        <v>69.819999999999993</v>
      </c>
      <c r="I99" s="39">
        <f>[1]Sports!T17</f>
        <v>-0.36315596488579249</v>
      </c>
      <c r="J99" s="34">
        <f t="shared" si="4"/>
        <v>0</v>
      </c>
    </row>
    <row r="100" spans="1:10" x14ac:dyDescent="0.2">
      <c r="A100" s="34" t="s">
        <v>29</v>
      </c>
      <c r="B100" s="34">
        <v>1000</v>
      </c>
      <c r="C100" s="34" t="s">
        <v>11</v>
      </c>
      <c r="D100" s="34">
        <v>10</v>
      </c>
      <c r="E100" s="34" t="str">
        <f t="shared" si="6"/>
        <v>Sports-1000-TVAE-10</v>
      </c>
      <c r="F100" s="34">
        <f>75.82</f>
        <v>75.819999999999993</v>
      </c>
      <c r="G100" s="34">
        <f>58.78</f>
        <v>58.78</v>
      </c>
      <c r="H100" s="39">
        <f>AVERAGE(Table13[[#This Row],[Column Shapes]],Table13[[#This Row],[Column Pair Trends]])</f>
        <v>67.3</v>
      </c>
      <c r="I100" s="39">
        <f>[1]Sports!T18</f>
        <v>-0.50926159542819072</v>
      </c>
      <c r="J100" s="34">
        <f t="shared" si="4"/>
        <v>0</v>
      </c>
    </row>
    <row r="101" spans="1:10" x14ac:dyDescent="0.2">
      <c r="A101" s="34" t="s">
        <v>29</v>
      </c>
      <c r="B101" s="34">
        <v>1000</v>
      </c>
      <c r="C101" s="34" t="s">
        <v>11</v>
      </c>
      <c r="D101" s="34">
        <v>20</v>
      </c>
      <c r="E101" s="34" t="str">
        <f t="shared" si="6"/>
        <v>Sports-1000-TVAE-20</v>
      </c>
      <c r="F101" s="34">
        <f>74.65</f>
        <v>74.650000000000006</v>
      </c>
      <c r="G101" s="34">
        <f>56.72</f>
        <v>56.72</v>
      </c>
      <c r="H101" s="39">
        <f>AVERAGE(Table13[[#This Row],[Column Shapes]],Table13[[#This Row],[Column Pair Trends]])</f>
        <v>65.685000000000002</v>
      </c>
      <c r="I101" s="39">
        <f>[1]Sports!T19</f>
        <v>-0.70234735095999268</v>
      </c>
      <c r="J101" s="34">
        <f t="shared" si="4"/>
        <v>0</v>
      </c>
    </row>
    <row r="102" spans="1:10" x14ac:dyDescent="0.2">
      <c r="A102" s="34" t="s">
        <v>29</v>
      </c>
      <c r="B102" s="34">
        <v>1000</v>
      </c>
      <c r="C102" s="34" t="s">
        <v>12</v>
      </c>
      <c r="D102" s="34">
        <v>2</v>
      </c>
      <c r="E102" s="34" t="str">
        <f t="shared" si="6"/>
        <v>Sports-1000-CTGAN-2</v>
      </c>
      <c r="F102" s="34">
        <f>93.41</f>
        <v>93.41</v>
      </c>
      <c r="G102" s="34">
        <f>86.58</f>
        <v>86.58</v>
      </c>
      <c r="H102" s="39">
        <f>AVERAGE(Table13[[#This Row],[Column Shapes]],Table13[[#This Row],[Column Pair Trends]])</f>
        <v>89.995000000000005</v>
      </c>
      <c r="I102" s="39">
        <f>[1]Sports!U16</f>
        <v>-0.13939719373257242</v>
      </c>
      <c r="J102" s="34">
        <f t="shared" si="4"/>
        <v>0</v>
      </c>
    </row>
    <row r="103" spans="1:10" x14ac:dyDescent="0.2">
      <c r="A103" s="34" t="s">
        <v>29</v>
      </c>
      <c r="B103" s="34">
        <v>1000</v>
      </c>
      <c r="C103" s="34" t="s">
        <v>12</v>
      </c>
      <c r="D103" s="34">
        <v>5</v>
      </c>
      <c r="E103" s="34" t="str">
        <f t="shared" si="6"/>
        <v>Sports-1000-CTGAN-5</v>
      </c>
      <c r="F103" s="34">
        <f>91.43</f>
        <v>91.43</v>
      </c>
      <c r="G103" s="34">
        <f>83.01</f>
        <v>83.01</v>
      </c>
      <c r="H103" s="39">
        <f>AVERAGE(Table13[[#This Row],[Column Shapes]],Table13[[#This Row],[Column Pair Trends]])</f>
        <v>87.22</v>
      </c>
      <c r="I103" s="39">
        <f>[1]Sports!U17</f>
        <v>-0.16698873751071552</v>
      </c>
      <c r="J103" s="34">
        <f t="shared" si="4"/>
        <v>0</v>
      </c>
    </row>
    <row r="104" spans="1:10" x14ac:dyDescent="0.2">
      <c r="A104" s="34" t="s">
        <v>29</v>
      </c>
      <c r="B104" s="34">
        <v>1000</v>
      </c>
      <c r="C104" s="34" t="s">
        <v>12</v>
      </c>
      <c r="D104" s="34">
        <v>10</v>
      </c>
      <c r="E104" s="34" t="str">
        <f t="shared" si="6"/>
        <v>Sports-1000-CTGAN-10</v>
      </c>
      <c r="F104" s="34">
        <f>90.77</f>
        <v>90.77</v>
      </c>
      <c r="G104" s="34">
        <f>81.77</f>
        <v>81.77</v>
      </c>
      <c r="H104" s="39">
        <f>AVERAGE(Table13[[#This Row],[Column Shapes]],Table13[[#This Row],[Column Pair Trends]])</f>
        <v>86.27</v>
      </c>
      <c r="I104" s="39">
        <f>[1]Sports!U18</f>
        <v>-0.24072398348923985</v>
      </c>
      <c r="J104" s="34">
        <f t="shared" si="4"/>
        <v>0</v>
      </c>
    </row>
    <row r="105" spans="1:10" x14ac:dyDescent="0.2">
      <c r="A105" s="34" t="s">
        <v>29</v>
      </c>
      <c r="B105" s="34">
        <v>1000</v>
      </c>
      <c r="C105" s="34" t="s">
        <v>12</v>
      </c>
      <c r="D105" s="34">
        <v>20</v>
      </c>
      <c r="E105" s="34" t="str">
        <f t="shared" si="6"/>
        <v>Sports-1000-CTGAN-20</v>
      </c>
      <c r="F105" s="34">
        <f>90.37</f>
        <v>90.37</v>
      </c>
      <c r="G105" s="34">
        <f>80.91</f>
        <v>80.91</v>
      </c>
      <c r="H105" s="39">
        <f>AVERAGE(Table13[[#This Row],[Column Shapes]],Table13[[#This Row],[Column Pair Trends]])</f>
        <v>85.64</v>
      </c>
      <c r="I105" s="39">
        <f>[1]Sports!U19</f>
        <v>-0.34006367346856892</v>
      </c>
      <c r="J105" s="34">
        <f t="shared" si="4"/>
        <v>0</v>
      </c>
    </row>
    <row r="106" spans="1:10" x14ac:dyDescent="0.2">
      <c r="A106" s="34" t="s">
        <v>29</v>
      </c>
      <c r="B106" s="34">
        <v>1000</v>
      </c>
      <c r="C106" s="34" t="s">
        <v>10</v>
      </c>
      <c r="D106" s="34">
        <v>2</v>
      </c>
      <c r="E106" s="34" t="str">
        <f t="shared" si="6"/>
        <v>Sports-1000-Mostly-2</v>
      </c>
      <c r="F106" s="34">
        <f>98.66</f>
        <v>98.66</v>
      </c>
      <c r="G106" s="34">
        <f>96.62</f>
        <v>96.62</v>
      </c>
      <c r="H106" s="39">
        <f>AVERAGE(Table13[[#This Row],[Column Shapes]],Table13[[#This Row],[Column Pair Trends]])</f>
        <v>97.64</v>
      </c>
      <c r="I106" s="39">
        <f>[1]Sports!V16</f>
        <v>9.0075335735342321E-2</v>
      </c>
      <c r="J106" s="34">
        <f t="shared" si="4"/>
        <v>1</v>
      </c>
    </row>
    <row r="107" spans="1:10" x14ac:dyDescent="0.2">
      <c r="A107" s="34" t="s">
        <v>29</v>
      </c>
      <c r="B107" s="34">
        <v>1000</v>
      </c>
      <c r="C107" s="34" t="s">
        <v>10</v>
      </c>
      <c r="D107" s="34">
        <v>5</v>
      </c>
      <c r="E107" s="34" t="str">
        <f t="shared" si="6"/>
        <v>Sports-1000-Mostly-5</v>
      </c>
      <c r="F107" s="34">
        <f>98.23</f>
        <v>98.23</v>
      </c>
      <c r="G107" s="34">
        <f>96.13</f>
        <v>96.13</v>
      </c>
      <c r="H107" s="39">
        <f>AVERAGE(Table13[[#This Row],[Column Shapes]],Table13[[#This Row],[Column Pair Trends]])</f>
        <v>97.18</v>
      </c>
      <c r="I107" s="39">
        <f>[1]Sports!V17</f>
        <v>0.24909686402900466</v>
      </c>
      <c r="J107" s="34">
        <f t="shared" si="4"/>
        <v>1</v>
      </c>
    </row>
    <row r="108" spans="1:10" x14ac:dyDescent="0.2">
      <c r="A108" s="34" t="s">
        <v>29</v>
      </c>
      <c r="B108" s="34">
        <v>1000</v>
      </c>
      <c r="C108" s="34" t="s">
        <v>10</v>
      </c>
      <c r="D108" s="34">
        <v>10</v>
      </c>
      <c r="E108" s="34" t="str">
        <f t="shared" si="6"/>
        <v>Sports-1000-Mostly-10</v>
      </c>
      <c r="F108" s="34">
        <f>98.17</f>
        <v>98.17</v>
      </c>
      <c r="G108" s="34">
        <f>96.05</f>
        <v>96.05</v>
      </c>
      <c r="H108" s="39">
        <f>AVERAGE(Table13[[#This Row],[Column Shapes]],Table13[[#This Row],[Column Pair Trends]])</f>
        <v>97.11</v>
      </c>
      <c r="I108" s="39">
        <f>[1]Sports!V18</f>
        <v>0.34554794846933379</v>
      </c>
      <c r="J108" s="34">
        <f t="shared" si="4"/>
        <v>1</v>
      </c>
    </row>
    <row r="109" spans="1:10" x14ac:dyDescent="0.2">
      <c r="A109" s="34" t="s">
        <v>29</v>
      </c>
      <c r="B109" s="34">
        <v>1000</v>
      </c>
      <c r="C109" s="34" t="s">
        <v>10</v>
      </c>
      <c r="D109" s="34">
        <v>20</v>
      </c>
      <c r="E109" s="34" t="str">
        <f t="shared" si="6"/>
        <v>Sports-1000-Mostly-20</v>
      </c>
      <c r="F109" s="34">
        <f>98.28</f>
        <v>98.28</v>
      </c>
      <c r="G109" s="34">
        <f>96.12</f>
        <v>96.12</v>
      </c>
      <c r="H109" s="39">
        <f>AVERAGE(Table13[[#This Row],[Column Shapes]],Table13[[#This Row],[Column Pair Trends]])</f>
        <v>97.2</v>
      </c>
      <c r="I109" s="39">
        <f>[1]Sports!V19</f>
        <v>0.30632323088429081</v>
      </c>
      <c r="J109" s="34">
        <f t="shared" si="4"/>
        <v>1</v>
      </c>
    </row>
    <row r="110" spans="1:10" x14ac:dyDescent="0.2">
      <c r="A110" s="34" t="s">
        <v>41</v>
      </c>
      <c r="B110" s="34">
        <v>100</v>
      </c>
      <c r="C110" s="34" t="s">
        <v>11</v>
      </c>
      <c r="D110" s="34">
        <v>2</v>
      </c>
      <c r="E110" s="34" t="str">
        <f>_xlfn.CONCAT(A110,"-",B110,"-",C110,"-",D110)</f>
        <v>Insurance-100-TVAE-2</v>
      </c>
      <c r="F110" s="34">
        <f>93.43</f>
        <v>93.43</v>
      </c>
      <c r="G110" s="34">
        <f>88.57</f>
        <v>88.57</v>
      </c>
      <c r="H110" s="39">
        <f>AVERAGE(Table13[[#This Row],[Column Shapes]],Table13[[#This Row],[Column Pair Trends]])</f>
        <v>91</v>
      </c>
      <c r="I110" s="39">
        <f>[1]Insurance!T6</f>
        <v>1.3359786356625158E-2</v>
      </c>
      <c r="J110" s="34">
        <f>IF(I110&gt;0,1,0)</f>
        <v>1</v>
      </c>
    </row>
    <row r="111" spans="1:10" x14ac:dyDescent="0.2">
      <c r="A111" s="34" t="s">
        <v>41</v>
      </c>
      <c r="B111" s="34">
        <v>100</v>
      </c>
      <c r="C111" s="34" t="s">
        <v>11</v>
      </c>
      <c r="D111" s="34">
        <v>5</v>
      </c>
      <c r="E111" s="34" t="str">
        <f t="shared" ref="E111:E145" si="7">_xlfn.CONCAT(A111,"-",B111,"-",C111,"-",D111)</f>
        <v>Insurance-100-TVAE-5</v>
      </c>
      <c r="F111" s="34">
        <f>91.81</f>
        <v>91.81</v>
      </c>
      <c r="G111" s="34">
        <f>85.75</f>
        <v>85.75</v>
      </c>
      <c r="H111" s="39">
        <f>AVERAGE(Table13[[#This Row],[Column Shapes]],Table13[[#This Row],[Column Pair Trends]])</f>
        <v>88.78</v>
      </c>
      <c r="I111" s="39">
        <f>[1]Insurance!T7</f>
        <v>-3.8657941455617628E-3</v>
      </c>
      <c r="J111" s="34">
        <f t="shared" ref="J111:J174" si="8">IF(I111&gt;0,1,0)</f>
        <v>0</v>
      </c>
    </row>
    <row r="112" spans="1:10" x14ac:dyDescent="0.2">
      <c r="A112" s="34" t="s">
        <v>41</v>
      </c>
      <c r="B112" s="34">
        <v>100</v>
      </c>
      <c r="C112" s="34" t="s">
        <v>11</v>
      </c>
      <c r="D112" s="34">
        <v>10</v>
      </c>
      <c r="E112" s="34" t="str">
        <f t="shared" si="7"/>
        <v>Insurance-100-TVAE-10</v>
      </c>
      <c r="F112" s="34">
        <f>91.33</f>
        <v>91.33</v>
      </c>
      <c r="G112" s="34">
        <f>84.88</f>
        <v>84.88</v>
      </c>
      <c r="H112" s="39">
        <f>AVERAGE(Table13[[#This Row],[Column Shapes]],Table13[[#This Row],[Column Pair Trends]])</f>
        <v>88.10499999999999</v>
      </c>
      <c r="I112" s="39">
        <f>[1]Insurance!T8</f>
        <v>-6.1639201980327352E-2</v>
      </c>
      <c r="J112" s="34">
        <f t="shared" si="8"/>
        <v>0</v>
      </c>
    </row>
    <row r="113" spans="1:10" x14ac:dyDescent="0.2">
      <c r="A113" s="34" t="s">
        <v>41</v>
      </c>
      <c r="B113" s="34">
        <v>100</v>
      </c>
      <c r="C113" s="34" t="s">
        <v>11</v>
      </c>
      <c r="D113" s="34">
        <v>20</v>
      </c>
      <c r="E113" s="34" t="str">
        <f t="shared" si="7"/>
        <v>Insurance-100-TVAE-20</v>
      </c>
      <c r="F113" s="34">
        <f>90.81</f>
        <v>90.81</v>
      </c>
      <c r="G113" s="34">
        <f>84.07</f>
        <v>84.07</v>
      </c>
      <c r="H113" s="39">
        <f>AVERAGE(Table13[[#This Row],[Column Shapes]],Table13[[#This Row],[Column Pair Trends]])</f>
        <v>87.44</v>
      </c>
      <c r="I113" s="39">
        <f>[1]Insurance!T9</f>
        <v>-0.11269839457142861</v>
      </c>
      <c r="J113" s="34">
        <f t="shared" si="8"/>
        <v>0</v>
      </c>
    </row>
    <row r="114" spans="1:10" x14ac:dyDescent="0.2">
      <c r="A114" s="34" t="s">
        <v>41</v>
      </c>
      <c r="B114" s="34">
        <v>100</v>
      </c>
      <c r="C114" s="34" t="s">
        <v>12</v>
      </c>
      <c r="D114" s="34">
        <v>2</v>
      </c>
      <c r="E114" s="34" t="str">
        <f t="shared" si="7"/>
        <v>Insurance-100-CTGAN-2</v>
      </c>
      <c r="F114" s="34">
        <f>94.37</f>
        <v>94.37</v>
      </c>
      <c r="G114" s="34">
        <f>88.08</f>
        <v>88.08</v>
      </c>
      <c r="H114" s="39">
        <f>AVERAGE(Table13[[#This Row],[Column Shapes]],Table13[[#This Row],[Column Pair Trends]])</f>
        <v>91.224999999999994</v>
      </c>
      <c r="I114" s="39">
        <f>[1]Insurance!U6</f>
        <v>-0.46380195138009461</v>
      </c>
      <c r="J114" s="34">
        <f t="shared" si="8"/>
        <v>0</v>
      </c>
    </row>
    <row r="115" spans="1:10" x14ac:dyDescent="0.2">
      <c r="A115" s="34" t="s">
        <v>41</v>
      </c>
      <c r="B115" s="34">
        <v>100</v>
      </c>
      <c r="C115" s="34" t="s">
        <v>12</v>
      </c>
      <c r="D115" s="34">
        <v>5</v>
      </c>
      <c r="E115" s="34" t="str">
        <f t="shared" si="7"/>
        <v>Insurance-100-CTGAN-5</v>
      </c>
      <c r="F115" s="34">
        <f>92.78</f>
        <v>92.78</v>
      </c>
      <c r="G115" s="34">
        <f>85.06</f>
        <v>85.06</v>
      </c>
      <c r="H115" s="39">
        <f>AVERAGE(Table13[[#This Row],[Column Shapes]],Table13[[#This Row],[Column Pair Trends]])</f>
        <v>88.92</v>
      </c>
      <c r="I115" s="39">
        <f>[1]Insurance!U7</f>
        <v>-0.53247587338794933</v>
      </c>
      <c r="J115" s="34">
        <f t="shared" si="8"/>
        <v>0</v>
      </c>
    </row>
    <row r="116" spans="1:10" x14ac:dyDescent="0.2">
      <c r="A116" s="34" t="s">
        <v>41</v>
      </c>
      <c r="B116" s="34">
        <v>100</v>
      </c>
      <c r="C116" s="34" t="s">
        <v>12</v>
      </c>
      <c r="D116" s="34">
        <v>10</v>
      </c>
      <c r="E116" s="34" t="str">
        <f t="shared" si="7"/>
        <v>Insurance-100-CTGAN-10</v>
      </c>
      <c r="F116" s="34">
        <f>92.42</f>
        <v>92.42</v>
      </c>
      <c r="G116" s="34">
        <f>84.25</f>
        <v>84.25</v>
      </c>
      <c r="H116" s="39">
        <f>AVERAGE(Table13[[#This Row],[Column Shapes]],Table13[[#This Row],[Column Pair Trends]])</f>
        <v>88.335000000000008</v>
      </c>
      <c r="I116" s="39">
        <f>[1]Insurance!U8</f>
        <v>-0.53132518425301178</v>
      </c>
      <c r="J116" s="34">
        <f t="shared" si="8"/>
        <v>0</v>
      </c>
    </row>
    <row r="117" spans="1:10" x14ac:dyDescent="0.2">
      <c r="A117" s="34" t="s">
        <v>41</v>
      </c>
      <c r="B117" s="34">
        <v>100</v>
      </c>
      <c r="C117" s="34" t="s">
        <v>12</v>
      </c>
      <c r="D117" s="34">
        <v>20</v>
      </c>
      <c r="E117" s="34" t="str">
        <f t="shared" si="7"/>
        <v>Insurance-100-CTGAN-20</v>
      </c>
      <c r="F117" s="34">
        <f>92.3</f>
        <v>92.3</v>
      </c>
      <c r="G117" s="34">
        <f>83.71</f>
        <v>83.71</v>
      </c>
      <c r="H117" s="39">
        <f>AVERAGE(Table13[[#This Row],[Column Shapes]],Table13[[#This Row],[Column Pair Trends]])</f>
        <v>88.004999999999995</v>
      </c>
      <c r="I117" s="39">
        <f>[1]Insurance!U9</f>
        <v>-0.61789995633091288</v>
      </c>
      <c r="J117" s="34">
        <f t="shared" si="8"/>
        <v>0</v>
      </c>
    </row>
    <row r="118" spans="1:10" x14ac:dyDescent="0.2">
      <c r="A118" s="34" t="s">
        <v>41</v>
      </c>
      <c r="B118" s="34">
        <v>100</v>
      </c>
      <c r="C118" s="34" t="s">
        <v>10</v>
      </c>
      <c r="D118" s="34">
        <v>2</v>
      </c>
      <c r="E118" s="34" t="str">
        <f t="shared" si="7"/>
        <v>Insurance-100-Mostly-2</v>
      </c>
      <c r="F118" s="34">
        <f>97.81</f>
        <v>97.81</v>
      </c>
      <c r="G118" s="34">
        <f>94.9</f>
        <v>94.9</v>
      </c>
      <c r="H118" s="39">
        <f>AVERAGE(Table13[[#This Row],[Column Shapes]],Table13[[#This Row],[Column Pair Trends]])</f>
        <v>96.355000000000004</v>
      </c>
      <c r="I118" s="39">
        <f>[1]Insurance!V6</f>
        <v>-2.8582646416193125E-2</v>
      </c>
      <c r="J118" s="34">
        <f t="shared" si="8"/>
        <v>0</v>
      </c>
    </row>
    <row r="119" spans="1:10" x14ac:dyDescent="0.2">
      <c r="A119" s="34" t="s">
        <v>41</v>
      </c>
      <c r="B119" s="34">
        <v>100</v>
      </c>
      <c r="C119" s="34" t="s">
        <v>10</v>
      </c>
      <c r="D119" s="34">
        <v>5</v>
      </c>
      <c r="E119" s="34" t="str">
        <f t="shared" si="7"/>
        <v>Insurance-100-Mostly-5</v>
      </c>
      <c r="F119" s="34">
        <f>98.16</f>
        <v>98.16</v>
      </c>
      <c r="G119" s="34">
        <f>95.14</f>
        <v>95.14</v>
      </c>
      <c r="H119" s="39">
        <f>AVERAGE(Table13[[#This Row],[Column Shapes]],Table13[[#This Row],[Column Pair Trends]])</f>
        <v>96.65</v>
      </c>
      <c r="I119" s="39">
        <f>[1]Insurance!V7</f>
        <v>-1.6651228978200594E-2</v>
      </c>
      <c r="J119" s="34">
        <f t="shared" si="8"/>
        <v>0</v>
      </c>
    </row>
    <row r="120" spans="1:10" x14ac:dyDescent="0.2">
      <c r="A120" s="34" t="s">
        <v>41</v>
      </c>
      <c r="B120" s="34">
        <v>100</v>
      </c>
      <c r="C120" s="34" t="s">
        <v>10</v>
      </c>
      <c r="D120" s="34">
        <v>10</v>
      </c>
      <c r="E120" s="34" t="str">
        <f t="shared" si="7"/>
        <v>Insurance-100-Mostly-10</v>
      </c>
      <c r="F120" s="34">
        <f>97.79</f>
        <v>97.79</v>
      </c>
      <c r="G120" s="34">
        <f>94.58</f>
        <v>94.58</v>
      </c>
      <c r="H120" s="39">
        <f>AVERAGE(Table13[[#This Row],[Column Shapes]],Table13[[#This Row],[Column Pair Trends]])</f>
        <v>96.185000000000002</v>
      </c>
      <c r="I120" s="39">
        <f>[1]Insurance!V8</f>
        <v>9.0623906876353688E-3</v>
      </c>
      <c r="J120" s="34">
        <f t="shared" si="8"/>
        <v>1</v>
      </c>
    </row>
    <row r="121" spans="1:10" x14ac:dyDescent="0.2">
      <c r="A121" s="34" t="s">
        <v>41</v>
      </c>
      <c r="B121" s="34">
        <v>100</v>
      </c>
      <c r="C121" s="34" t="s">
        <v>10</v>
      </c>
      <c r="D121" s="34">
        <v>20</v>
      </c>
      <c r="E121" s="34" t="str">
        <f t="shared" si="7"/>
        <v>Insurance-100-Mostly-20</v>
      </c>
      <c r="F121" s="34">
        <f>97.9</f>
        <v>97.9</v>
      </c>
      <c r="G121" s="34">
        <f>94.6</f>
        <v>94.6</v>
      </c>
      <c r="H121" s="39">
        <f>AVERAGE(Table13[[#This Row],[Column Shapes]],Table13[[#This Row],[Column Pair Trends]])</f>
        <v>96.25</v>
      </c>
      <c r="I121" s="39">
        <f>[1]Insurance!V9</f>
        <v>2.0012308773961207E-3</v>
      </c>
      <c r="J121" s="34">
        <f t="shared" si="8"/>
        <v>1</v>
      </c>
    </row>
    <row r="122" spans="1:10" x14ac:dyDescent="0.2">
      <c r="A122" s="34" t="s">
        <v>41</v>
      </c>
      <c r="B122" s="34">
        <v>500</v>
      </c>
      <c r="C122" s="34" t="s">
        <v>11</v>
      </c>
      <c r="D122" s="34">
        <v>2</v>
      </c>
      <c r="E122" s="34" t="str">
        <f t="shared" si="7"/>
        <v>Insurance-500-TVAE-2</v>
      </c>
      <c r="F122" s="34">
        <f>94.1</f>
        <v>94.1</v>
      </c>
      <c r="G122" s="34">
        <f>90.23</f>
        <v>90.23</v>
      </c>
      <c r="H122" s="39">
        <f>AVERAGE(Table13[[#This Row],[Column Shapes]],Table13[[#This Row],[Column Pair Trends]])</f>
        <v>92.164999999999992</v>
      </c>
      <c r="I122" s="39">
        <f>[1]Insurance!T11</f>
        <v>-6.9873869508348729E-2</v>
      </c>
      <c r="J122" s="34">
        <f t="shared" si="8"/>
        <v>0</v>
      </c>
    </row>
    <row r="123" spans="1:10" x14ac:dyDescent="0.2">
      <c r="A123" s="34" t="s">
        <v>41</v>
      </c>
      <c r="B123" s="34">
        <v>500</v>
      </c>
      <c r="C123" s="34" t="s">
        <v>11</v>
      </c>
      <c r="D123" s="34">
        <v>5</v>
      </c>
      <c r="E123" s="34" t="str">
        <f t="shared" si="7"/>
        <v>Insurance-500-TVAE-5</v>
      </c>
      <c r="F123" s="34">
        <f>92.71</f>
        <v>92.71</v>
      </c>
      <c r="G123" s="34">
        <f>87.89</f>
        <v>87.89</v>
      </c>
      <c r="H123" s="39">
        <f>AVERAGE(Table13[[#This Row],[Column Shapes]],Table13[[#This Row],[Column Pair Trends]])</f>
        <v>90.3</v>
      </c>
      <c r="I123" s="39">
        <f>[1]Insurance!T12</f>
        <v>-0.1722748235683822</v>
      </c>
      <c r="J123" s="34">
        <f t="shared" si="8"/>
        <v>0</v>
      </c>
    </row>
    <row r="124" spans="1:10" x14ac:dyDescent="0.2">
      <c r="A124" s="34" t="s">
        <v>41</v>
      </c>
      <c r="B124" s="34">
        <v>500</v>
      </c>
      <c r="C124" s="34" t="s">
        <v>11</v>
      </c>
      <c r="D124" s="34">
        <v>10</v>
      </c>
      <c r="E124" s="34" t="str">
        <f t="shared" si="7"/>
        <v>Insurance-500-TVAE-10</v>
      </c>
      <c r="F124" s="34">
        <f>92.28</f>
        <v>92.28</v>
      </c>
      <c r="G124" s="34">
        <f>87.12</f>
        <v>87.12</v>
      </c>
      <c r="H124" s="39">
        <f>AVERAGE(Table13[[#This Row],[Column Shapes]],Table13[[#This Row],[Column Pair Trends]])</f>
        <v>89.7</v>
      </c>
      <c r="I124" s="39">
        <f>[1]Insurance!T13</f>
        <v>-0.232389378825828</v>
      </c>
      <c r="J124" s="34">
        <f t="shared" si="8"/>
        <v>0</v>
      </c>
    </row>
    <row r="125" spans="1:10" x14ac:dyDescent="0.2">
      <c r="A125" s="34" t="s">
        <v>41</v>
      </c>
      <c r="B125" s="34">
        <v>500</v>
      </c>
      <c r="C125" s="34" t="s">
        <v>11</v>
      </c>
      <c r="D125" s="34">
        <v>20</v>
      </c>
      <c r="E125" s="34" t="str">
        <f t="shared" si="7"/>
        <v>Insurance-500-TVAE-20</v>
      </c>
      <c r="F125" s="34">
        <f>92.02</f>
        <v>92.02</v>
      </c>
      <c r="G125" s="34">
        <f>86.61</f>
        <v>86.61</v>
      </c>
      <c r="H125" s="39">
        <f>AVERAGE(Table13[[#This Row],[Column Shapes]],Table13[[#This Row],[Column Pair Trends]])</f>
        <v>89.314999999999998</v>
      </c>
      <c r="I125" s="39">
        <f>[1]Insurance!T14</f>
        <v>-0.28076471568523154</v>
      </c>
      <c r="J125" s="34">
        <f t="shared" si="8"/>
        <v>0</v>
      </c>
    </row>
    <row r="126" spans="1:10" x14ac:dyDescent="0.2">
      <c r="A126" s="34" t="s">
        <v>41</v>
      </c>
      <c r="B126" s="34">
        <v>500</v>
      </c>
      <c r="C126" s="34" t="s">
        <v>12</v>
      </c>
      <c r="D126" s="34">
        <v>2</v>
      </c>
      <c r="E126" s="34" t="str">
        <f t="shared" si="7"/>
        <v>Insurance-500-CTGAN-2</v>
      </c>
      <c r="F126" s="34">
        <f>94.27</f>
        <v>94.27</v>
      </c>
      <c r="G126" s="34">
        <f>88.88</f>
        <v>88.88</v>
      </c>
      <c r="H126" s="39">
        <f>AVERAGE(Table13[[#This Row],[Column Shapes]],Table13[[#This Row],[Column Pair Trends]])</f>
        <v>91.574999999999989</v>
      </c>
      <c r="I126" s="39">
        <f>[1]Insurance!U11</f>
        <v>-0.70064521630437437</v>
      </c>
      <c r="J126" s="34">
        <f t="shared" si="8"/>
        <v>0</v>
      </c>
    </row>
    <row r="127" spans="1:10" x14ac:dyDescent="0.2">
      <c r="A127" s="34" t="s">
        <v>41</v>
      </c>
      <c r="B127" s="34">
        <v>500</v>
      </c>
      <c r="C127" s="34" t="s">
        <v>12</v>
      </c>
      <c r="D127" s="34">
        <v>5</v>
      </c>
      <c r="E127" s="34" t="str">
        <f t="shared" si="7"/>
        <v>Insurance-500-CTGAN-5</v>
      </c>
      <c r="F127" s="34">
        <f>92.94</f>
        <v>92.94</v>
      </c>
      <c r="G127" s="34">
        <f>86.32</f>
        <v>86.32</v>
      </c>
      <c r="H127" s="39">
        <f>AVERAGE(Table13[[#This Row],[Column Shapes]],Table13[[#This Row],[Column Pair Trends]])</f>
        <v>89.63</v>
      </c>
      <c r="I127" s="39">
        <f>[1]Insurance!U12</f>
        <v>-0.96595831644808605</v>
      </c>
      <c r="J127" s="34">
        <f t="shared" si="8"/>
        <v>0</v>
      </c>
    </row>
    <row r="128" spans="1:10" x14ac:dyDescent="0.2">
      <c r="A128" s="34" t="s">
        <v>41</v>
      </c>
      <c r="B128" s="34">
        <v>500</v>
      </c>
      <c r="C128" s="34" t="s">
        <v>12</v>
      </c>
      <c r="D128" s="34">
        <v>10</v>
      </c>
      <c r="E128" s="34" t="str">
        <f t="shared" si="7"/>
        <v>Insurance-500-CTGAN-10</v>
      </c>
      <c r="F128" s="34">
        <f>92.38</f>
        <v>92.38</v>
      </c>
      <c r="G128" s="34">
        <f>85.13</f>
        <v>85.13</v>
      </c>
      <c r="H128" s="39">
        <f>AVERAGE(Table13[[#This Row],[Column Shapes]],Table13[[#This Row],[Column Pair Trends]])</f>
        <v>88.754999999999995</v>
      </c>
      <c r="I128" s="39">
        <f>[1]Insurance!U13</f>
        <v>-1.2321743545530928</v>
      </c>
      <c r="J128" s="34">
        <f t="shared" si="8"/>
        <v>0</v>
      </c>
    </row>
    <row r="129" spans="1:10" x14ac:dyDescent="0.2">
      <c r="A129" s="34" t="s">
        <v>41</v>
      </c>
      <c r="B129" s="34">
        <v>500</v>
      </c>
      <c r="C129" s="34" t="s">
        <v>12</v>
      </c>
      <c r="D129" s="34">
        <v>20</v>
      </c>
      <c r="E129" s="34" t="str">
        <f t="shared" si="7"/>
        <v>Insurance-500-CTGAN-20</v>
      </c>
      <c r="F129" s="34">
        <f>91.99</f>
        <v>91.99</v>
      </c>
      <c r="G129" s="34">
        <f>84.4</f>
        <v>84.4</v>
      </c>
      <c r="H129" s="39">
        <f>AVERAGE(Table13[[#This Row],[Column Shapes]],Table13[[#This Row],[Column Pair Trends]])</f>
        <v>88.194999999999993</v>
      </c>
      <c r="I129" s="39">
        <f>[1]Insurance!U14</f>
        <v>-1.3399263178025955</v>
      </c>
      <c r="J129" s="34">
        <f t="shared" si="8"/>
        <v>0</v>
      </c>
    </row>
    <row r="130" spans="1:10" x14ac:dyDescent="0.2">
      <c r="A130" s="34" t="s">
        <v>41</v>
      </c>
      <c r="B130" s="34">
        <v>500</v>
      </c>
      <c r="C130" s="34" t="s">
        <v>10</v>
      </c>
      <c r="D130" s="34">
        <v>2</v>
      </c>
      <c r="E130" s="34" t="str">
        <f t="shared" si="7"/>
        <v>Insurance-500-Mostly-2</v>
      </c>
      <c r="F130" s="34">
        <f>98.44</f>
        <v>98.44</v>
      </c>
      <c r="G130" s="34">
        <f>97.09</f>
        <v>97.09</v>
      </c>
      <c r="H130" s="39">
        <f>AVERAGE(Table13[[#This Row],[Column Shapes]],Table13[[#This Row],[Column Pair Trends]])</f>
        <v>97.765000000000001</v>
      </c>
      <c r="I130" s="39">
        <f>[1]Insurance!V11</f>
        <v>1.8310679942006969E-2</v>
      </c>
      <c r="J130" s="34">
        <f t="shared" si="8"/>
        <v>1</v>
      </c>
    </row>
    <row r="131" spans="1:10" x14ac:dyDescent="0.2">
      <c r="A131" s="34" t="s">
        <v>41</v>
      </c>
      <c r="B131" s="34">
        <v>500</v>
      </c>
      <c r="C131" s="34" t="s">
        <v>10</v>
      </c>
      <c r="D131" s="34">
        <v>5</v>
      </c>
      <c r="E131" s="34" t="str">
        <f t="shared" si="7"/>
        <v>Insurance-500-Mostly-5</v>
      </c>
      <c r="F131" s="34">
        <f>98.8</f>
        <v>98.8</v>
      </c>
      <c r="G131" s="34">
        <f>97.41</f>
        <v>97.41</v>
      </c>
      <c r="H131" s="39">
        <f>AVERAGE(Table13[[#This Row],[Column Shapes]],Table13[[#This Row],[Column Pair Trends]])</f>
        <v>98.10499999999999</v>
      </c>
      <c r="I131" s="39">
        <f>[1]Insurance!V12</f>
        <v>-3.5895319870641096E-2</v>
      </c>
      <c r="J131" s="34">
        <f t="shared" si="8"/>
        <v>0</v>
      </c>
    </row>
    <row r="132" spans="1:10" x14ac:dyDescent="0.2">
      <c r="A132" s="34" t="s">
        <v>41</v>
      </c>
      <c r="B132" s="34">
        <v>500</v>
      </c>
      <c r="C132" s="34" t="s">
        <v>10</v>
      </c>
      <c r="D132" s="34">
        <v>10</v>
      </c>
      <c r="E132" s="34" t="str">
        <f t="shared" si="7"/>
        <v>Insurance-500-Mostly-10</v>
      </c>
      <c r="F132" s="34">
        <f>98.72</f>
        <v>98.72</v>
      </c>
      <c r="G132" s="34">
        <f>97.34</f>
        <v>97.34</v>
      </c>
      <c r="H132" s="39">
        <f>AVERAGE(Table13[[#This Row],[Column Shapes]],Table13[[#This Row],[Column Pair Trends]])</f>
        <v>98.03</v>
      </c>
      <c r="I132" s="39">
        <f>[1]Insurance!V13</f>
        <v>-9.9091753050464693E-2</v>
      </c>
      <c r="J132" s="34">
        <f t="shared" si="8"/>
        <v>0</v>
      </c>
    </row>
    <row r="133" spans="1:10" x14ac:dyDescent="0.2">
      <c r="A133" s="34" t="s">
        <v>41</v>
      </c>
      <c r="B133" s="34">
        <v>500</v>
      </c>
      <c r="C133" s="34" t="s">
        <v>10</v>
      </c>
      <c r="D133" s="34">
        <v>20</v>
      </c>
      <c r="E133" s="34" t="str">
        <f t="shared" si="7"/>
        <v>Insurance-500-Mostly-20</v>
      </c>
      <c r="F133" s="34">
        <f>98.68</f>
        <v>98.68</v>
      </c>
      <c r="G133" s="34">
        <f>97.3</f>
        <v>97.3</v>
      </c>
      <c r="H133" s="39">
        <f>AVERAGE(Table13[[#This Row],[Column Shapes]],Table13[[#This Row],[Column Pair Trends]])</f>
        <v>97.990000000000009</v>
      </c>
      <c r="I133" s="39">
        <f>[1]Insurance!V14</f>
        <v>-7.1462466375553868E-2</v>
      </c>
      <c r="J133" s="34">
        <f t="shared" si="8"/>
        <v>0</v>
      </c>
    </row>
    <row r="134" spans="1:10" x14ac:dyDescent="0.2">
      <c r="A134" s="34" t="s">
        <v>41</v>
      </c>
      <c r="B134" s="34">
        <v>1000</v>
      </c>
      <c r="C134" s="34" t="s">
        <v>11</v>
      </c>
      <c r="D134" s="34">
        <v>2</v>
      </c>
      <c r="E134" s="34" t="str">
        <f t="shared" si="7"/>
        <v>Insurance-1000-TVAE-2</v>
      </c>
      <c r="F134" s="34">
        <f>94.89</f>
        <v>94.89</v>
      </c>
      <c r="G134" s="34">
        <f>90.82</f>
        <v>90.82</v>
      </c>
      <c r="H134" s="39">
        <f>AVERAGE(Table13[[#This Row],[Column Shapes]],Table13[[#This Row],[Column Pair Trends]])</f>
        <v>92.85499999999999</v>
      </c>
      <c r="I134" s="39">
        <f>[1]Insurance!T16</f>
        <v>-0.22596475518528902</v>
      </c>
      <c r="J134" s="34">
        <f t="shared" si="8"/>
        <v>0</v>
      </c>
    </row>
    <row r="135" spans="1:10" x14ac:dyDescent="0.2">
      <c r="A135" s="34" t="s">
        <v>41</v>
      </c>
      <c r="B135" s="34">
        <v>1000</v>
      </c>
      <c r="C135" s="34" t="s">
        <v>11</v>
      </c>
      <c r="D135" s="34">
        <v>5</v>
      </c>
      <c r="E135" s="34" t="str">
        <f t="shared" si="7"/>
        <v>Insurance-1000-TVAE-5</v>
      </c>
      <c r="F135" s="34">
        <f>93.37</f>
        <v>93.37</v>
      </c>
      <c r="G135" s="34">
        <f>88.37</f>
        <v>88.37</v>
      </c>
      <c r="H135" s="39">
        <f>AVERAGE(Table13[[#This Row],[Column Shapes]],Table13[[#This Row],[Column Pair Trends]])</f>
        <v>90.87</v>
      </c>
      <c r="I135" s="39">
        <f>[1]Insurance!T17</f>
        <v>-0.34237704725302831</v>
      </c>
      <c r="J135" s="34">
        <f t="shared" si="8"/>
        <v>0</v>
      </c>
    </row>
    <row r="136" spans="1:10" x14ac:dyDescent="0.2">
      <c r="A136" s="34" t="s">
        <v>41</v>
      </c>
      <c r="B136" s="34">
        <v>1000</v>
      </c>
      <c r="C136" s="34" t="s">
        <v>11</v>
      </c>
      <c r="D136" s="34">
        <v>10</v>
      </c>
      <c r="E136" s="34" t="str">
        <f t="shared" si="7"/>
        <v>Insurance-1000-TVAE-10</v>
      </c>
      <c r="F136" s="34">
        <f>92.88</f>
        <v>92.88</v>
      </c>
      <c r="G136" s="34">
        <f>87.44</f>
        <v>87.44</v>
      </c>
      <c r="H136" s="39">
        <f>AVERAGE(Table13[[#This Row],[Column Shapes]],Table13[[#This Row],[Column Pair Trends]])</f>
        <v>90.16</v>
      </c>
      <c r="I136" s="39">
        <f>[1]Insurance!T18</f>
        <v>-0.41034980605904936</v>
      </c>
      <c r="J136" s="34">
        <f t="shared" si="8"/>
        <v>0</v>
      </c>
    </row>
    <row r="137" spans="1:10" x14ac:dyDescent="0.2">
      <c r="A137" s="34" t="s">
        <v>41</v>
      </c>
      <c r="B137" s="34">
        <v>1000</v>
      </c>
      <c r="C137" s="34" t="s">
        <v>11</v>
      </c>
      <c r="D137" s="34">
        <v>20</v>
      </c>
      <c r="E137" s="34" t="str">
        <f t="shared" si="7"/>
        <v>Insurance-1000-TVAE-20</v>
      </c>
      <c r="F137" s="34">
        <f>92.47</f>
        <v>92.47</v>
      </c>
      <c r="G137" s="34">
        <f>86.74</f>
        <v>86.74</v>
      </c>
      <c r="H137" s="39">
        <f>AVERAGE(Table13[[#This Row],[Column Shapes]],Table13[[#This Row],[Column Pair Trends]])</f>
        <v>89.60499999999999</v>
      </c>
      <c r="I137" s="39">
        <f>[1]Insurance!T19</f>
        <v>-0.55771125887078621</v>
      </c>
      <c r="J137" s="34">
        <f t="shared" si="8"/>
        <v>0</v>
      </c>
    </row>
    <row r="138" spans="1:10" x14ac:dyDescent="0.2">
      <c r="A138" s="34" t="s">
        <v>41</v>
      </c>
      <c r="B138" s="34">
        <v>1000</v>
      </c>
      <c r="C138" s="34" t="s">
        <v>12</v>
      </c>
      <c r="D138" s="34">
        <v>2</v>
      </c>
      <c r="E138" s="34" t="str">
        <f t="shared" si="7"/>
        <v>Insurance-1000-CTGAN-2</v>
      </c>
      <c r="F138" s="34">
        <f>91.69</f>
        <v>91.69</v>
      </c>
      <c r="G138" s="34">
        <f>86.07</f>
        <v>86.07</v>
      </c>
      <c r="H138" s="39">
        <f>AVERAGE(Table13[[#This Row],[Column Shapes]],Table13[[#This Row],[Column Pair Trends]])</f>
        <v>88.88</v>
      </c>
      <c r="I138" s="39">
        <f>[1]Insurance!U16</f>
        <v>-0.96876325652727191</v>
      </c>
      <c r="J138" s="34">
        <f t="shared" si="8"/>
        <v>0</v>
      </c>
    </row>
    <row r="139" spans="1:10" x14ac:dyDescent="0.2">
      <c r="A139" s="34" t="s">
        <v>41</v>
      </c>
      <c r="B139" s="34">
        <v>1000</v>
      </c>
      <c r="C139" s="34" t="s">
        <v>12</v>
      </c>
      <c r="D139" s="34">
        <v>5</v>
      </c>
      <c r="E139" s="34" t="str">
        <f t="shared" si="7"/>
        <v>Insurance-1000-CTGAN-5</v>
      </c>
      <c r="F139" s="34">
        <f>89.69</f>
        <v>89.69</v>
      </c>
      <c r="G139" s="34">
        <f>82.8</f>
        <v>82.8</v>
      </c>
      <c r="H139" s="39">
        <f>AVERAGE(Table13[[#This Row],[Column Shapes]],Table13[[#This Row],[Column Pair Trends]])</f>
        <v>86.245000000000005</v>
      </c>
      <c r="I139" s="39">
        <f>[1]Insurance!U17</f>
        <v>-1.6951496466711564</v>
      </c>
      <c r="J139" s="34">
        <f t="shared" si="8"/>
        <v>0</v>
      </c>
    </row>
    <row r="140" spans="1:10" x14ac:dyDescent="0.2">
      <c r="A140" s="34" t="s">
        <v>41</v>
      </c>
      <c r="B140" s="34">
        <v>1000</v>
      </c>
      <c r="C140" s="34" t="s">
        <v>12</v>
      </c>
      <c r="D140" s="34">
        <v>10</v>
      </c>
      <c r="E140" s="34" t="str">
        <f t="shared" si="7"/>
        <v>Insurance-1000-CTGAN-10</v>
      </c>
      <c r="F140" s="34">
        <f>88.67</f>
        <v>88.67</v>
      </c>
      <c r="G140" s="34">
        <f>81.08</f>
        <v>81.08</v>
      </c>
      <c r="H140" s="39">
        <f>AVERAGE(Table13[[#This Row],[Column Shapes]],Table13[[#This Row],[Column Pair Trends]])</f>
        <v>84.875</v>
      </c>
      <c r="I140" s="39">
        <f>[1]Insurance!U18</f>
        <v>-2.2100493398466807</v>
      </c>
      <c r="J140" s="34">
        <f t="shared" si="8"/>
        <v>0</v>
      </c>
    </row>
    <row r="141" spans="1:10" x14ac:dyDescent="0.2">
      <c r="A141" s="34" t="s">
        <v>41</v>
      </c>
      <c r="B141" s="34">
        <v>1000</v>
      </c>
      <c r="C141" s="34" t="s">
        <v>12</v>
      </c>
      <c r="D141" s="34">
        <v>20</v>
      </c>
      <c r="E141" s="34" t="str">
        <f t="shared" si="7"/>
        <v>Insurance-1000-CTGAN-20</v>
      </c>
      <c r="F141" s="34">
        <f>88.03</f>
        <v>88.03</v>
      </c>
      <c r="G141" s="34">
        <f>80.06</f>
        <v>80.06</v>
      </c>
      <c r="H141" s="39">
        <f>AVERAGE(Table13[[#This Row],[Column Shapes]],Table13[[#This Row],[Column Pair Trends]])</f>
        <v>84.045000000000002</v>
      </c>
      <c r="I141" s="39">
        <f>[1]Insurance!U19</f>
        <v>-2.577908971648962</v>
      </c>
      <c r="J141" s="34">
        <f t="shared" si="8"/>
        <v>0</v>
      </c>
    </row>
    <row r="142" spans="1:10" x14ac:dyDescent="0.2">
      <c r="A142" s="34" t="s">
        <v>41</v>
      </c>
      <c r="B142" s="34">
        <v>1000</v>
      </c>
      <c r="C142" s="34" t="s">
        <v>10</v>
      </c>
      <c r="D142" s="34">
        <v>2</v>
      </c>
      <c r="E142" s="34" t="str">
        <f t="shared" si="7"/>
        <v>Insurance-1000-Mostly-2</v>
      </c>
      <c r="F142" s="34">
        <f>98.56</f>
        <v>98.56</v>
      </c>
      <c r="G142" s="34">
        <f>97.48</f>
        <v>97.48</v>
      </c>
      <c r="H142" s="39">
        <f>AVERAGE(Table13[[#This Row],[Column Shapes]],Table13[[#This Row],[Column Pair Trends]])</f>
        <v>98.02000000000001</v>
      </c>
      <c r="I142" s="39">
        <f>[1]Insurance!V16</f>
        <v>-0.2315271922896105</v>
      </c>
      <c r="J142" s="34">
        <f t="shared" si="8"/>
        <v>0</v>
      </c>
    </row>
    <row r="143" spans="1:10" x14ac:dyDescent="0.2">
      <c r="A143" s="34" t="s">
        <v>41</v>
      </c>
      <c r="B143" s="34">
        <v>1000</v>
      </c>
      <c r="C143" s="34" t="s">
        <v>10</v>
      </c>
      <c r="D143" s="34">
        <v>5</v>
      </c>
      <c r="E143" s="34" t="str">
        <f t="shared" si="7"/>
        <v>Insurance-1000-Mostly-5</v>
      </c>
      <c r="F143" s="34">
        <f>98.35</f>
        <v>98.35</v>
      </c>
      <c r="G143" s="34">
        <f>97.12</f>
        <v>97.12</v>
      </c>
      <c r="H143" s="39">
        <f>AVERAGE(Table13[[#This Row],[Column Shapes]],Table13[[#This Row],[Column Pair Trends]])</f>
        <v>97.734999999999999</v>
      </c>
      <c r="I143" s="39">
        <f>[1]Insurance!V17</f>
        <v>-0.39651953941685103</v>
      </c>
      <c r="J143" s="34">
        <f t="shared" si="8"/>
        <v>0</v>
      </c>
    </row>
    <row r="144" spans="1:10" x14ac:dyDescent="0.2">
      <c r="A144" s="34" t="s">
        <v>41</v>
      </c>
      <c r="B144" s="34">
        <v>1000</v>
      </c>
      <c r="C144" s="34" t="s">
        <v>10</v>
      </c>
      <c r="D144" s="34">
        <v>10</v>
      </c>
      <c r="E144" s="34" t="str">
        <f t="shared" si="7"/>
        <v>Insurance-1000-Mostly-10</v>
      </c>
      <c r="F144" s="34">
        <f>98.26</f>
        <v>98.26</v>
      </c>
      <c r="G144" s="34">
        <f>96.95</f>
        <v>96.95</v>
      </c>
      <c r="H144" s="39">
        <f>AVERAGE(Table13[[#This Row],[Column Shapes]],Table13[[#This Row],[Column Pair Trends]])</f>
        <v>97.605000000000004</v>
      </c>
      <c r="I144" s="39">
        <f>[1]Insurance!V18</f>
        <v>-0.43398738114255897</v>
      </c>
      <c r="J144" s="34">
        <f t="shared" si="8"/>
        <v>0</v>
      </c>
    </row>
    <row r="145" spans="1:10" x14ac:dyDescent="0.2">
      <c r="A145" s="34" t="s">
        <v>41</v>
      </c>
      <c r="B145" s="34">
        <v>1000</v>
      </c>
      <c r="C145" s="34" t="s">
        <v>10</v>
      </c>
      <c r="D145" s="34">
        <v>20</v>
      </c>
      <c r="E145" s="34" t="str">
        <f t="shared" si="7"/>
        <v>Insurance-1000-Mostly-20</v>
      </c>
      <c r="F145" s="34">
        <f>98.19</f>
        <v>98.19</v>
      </c>
      <c r="G145" s="34">
        <f>96.87</f>
        <v>96.87</v>
      </c>
      <c r="H145" s="39">
        <f>AVERAGE(Table13[[#This Row],[Column Shapes]],Table13[[#This Row],[Column Pair Trends]])</f>
        <v>97.53</v>
      </c>
      <c r="I145" s="39">
        <f>[1]Insurance!V19</f>
        <v>-0.46777383002733774</v>
      </c>
      <c r="J145" s="34">
        <f t="shared" si="8"/>
        <v>0</v>
      </c>
    </row>
    <row r="146" spans="1:10" x14ac:dyDescent="0.2">
      <c r="A146" s="34" t="s">
        <v>42</v>
      </c>
      <c r="B146" s="34">
        <v>100</v>
      </c>
      <c r="C146" s="34" t="s">
        <v>11</v>
      </c>
      <c r="D146" s="34">
        <v>2</v>
      </c>
      <c r="E146" s="34" t="str">
        <f>_xlfn.CONCAT(A146,"-",B146,"-",C146,"-",D146)</f>
        <v>Alarm-100-TVAE-2</v>
      </c>
      <c r="F146" s="34">
        <f>93.5</f>
        <v>93.5</v>
      </c>
      <c r="G146" s="34">
        <f>89.04</f>
        <v>89.04</v>
      </c>
      <c r="H146" s="39">
        <f>AVERAGE(Table13[[#This Row],[Column Shapes]],Table13[[#This Row],[Column Pair Trends]])</f>
        <v>91.27000000000001</v>
      </c>
      <c r="I146" s="39">
        <f>[1]Alarm!T6</f>
        <v>-0.17190110872897435</v>
      </c>
      <c r="J146" s="34">
        <f t="shared" si="8"/>
        <v>0</v>
      </c>
    </row>
    <row r="147" spans="1:10" x14ac:dyDescent="0.2">
      <c r="A147" s="34" t="s">
        <v>42</v>
      </c>
      <c r="B147" s="34">
        <v>100</v>
      </c>
      <c r="C147" s="34" t="s">
        <v>11</v>
      </c>
      <c r="D147" s="34">
        <v>5</v>
      </c>
      <c r="E147" s="34" t="str">
        <f t="shared" ref="E147:E181" si="9">_xlfn.CONCAT(A147,"-",B147,"-",C147,"-",D147)</f>
        <v>Alarm-100-TVAE-5</v>
      </c>
      <c r="F147" s="34">
        <f>92.27</f>
        <v>92.27</v>
      </c>
      <c r="G147" s="34">
        <f>86.96</f>
        <v>86.96</v>
      </c>
      <c r="H147" s="39">
        <f>AVERAGE(Table13[[#This Row],[Column Shapes]],Table13[[#This Row],[Column Pair Trends]])</f>
        <v>89.614999999999995</v>
      </c>
      <c r="I147" s="39">
        <f>[1]Alarm!T7</f>
        <v>-0.30012902285665066</v>
      </c>
      <c r="J147" s="34">
        <f t="shared" si="8"/>
        <v>0</v>
      </c>
    </row>
    <row r="148" spans="1:10" x14ac:dyDescent="0.2">
      <c r="A148" s="34" t="s">
        <v>42</v>
      </c>
      <c r="B148" s="34">
        <v>100</v>
      </c>
      <c r="C148" s="34" t="s">
        <v>11</v>
      </c>
      <c r="D148" s="34">
        <v>10</v>
      </c>
      <c r="E148" s="34" t="str">
        <f t="shared" si="9"/>
        <v>Alarm-100-TVAE-10</v>
      </c>
      <c r="F148" s="34">
        <f>91.82</f>
        <v>91.82</v>
      </c>
      <c r="G148" s="34">
        <f>86.16</f>
        <v>86.16</v>
      </c>
      <c r="H148" s="39">
        <f>AVERAGE(Table13[[#This Row],[Column Shapes]],Table13[[#This Row],[Column Pair Trends]])</f>
        <v>88.99</v>
      </c>
      <c r="I148" s="39">
        <f>[1]Alarm!T8</f>
        <v>-0.43603892459754312</v>
      </c>
      <c r="J148" s="34">
        <f t="shared" si="8"/>
        <v>0</v>
      </c>
    </row>
    <row r="149" spans="1:10" x14ac:dyDescent="0.2">
      <c r="A149" s="34" t="s">
        <v>42</v>
      </c>
      <c r="B149" s="34">
        <v>100</v>
      </c>
      <c r="C149" s="34" t="s">
        <v>11</v>
      </c>
      <c r="D149" s="34">
        <v>20</v>
      </c>
      <c r="E149" s="34" t="str">
        <f t="shared" si="9"/>
        <v>Alarm-100-TVAE-20</v>
      </c>
      <c r="F149" s="34">
        <f>91.3</f>
        <v>91.3</v>
      </c>
      <c r="G149" s="34">
        <f>85.28</f>
        <v>85.28</v>
      </c>
      <c r="H149" s="39">
        <f>AVERAGE(Table13[[#This Row],[Column Shapes]],Table13[[#This Row],[Column Pair Trends]])</f>
        <v>88.289999999999992</v>
      </c>
      <c r="I149" s="39">
        <f>[1]Alarm!T9</f>
        <v>-0.57840207497897889</v>
      </c>
      <c r="J149" s="34">
        <f t="shared" si="8"/>
        <v>0</v>
      </c>
    </row>
    <row r="150" spans="1:10" x14ac:dyDescent="0.2">
      <c r="A150" s="34" t="s">
        <v>42</v>
      </c>
      <c r="B150" s="34">
        <v>100</v>
      </c>
      <c r="C150" s="34" t="s">
        <v>12</v>
      </c>
      <c r="D150" s="34">
        <v>2</v>
      </c>
      <c r="E150" s="34" t="str">
        <f t="shared" si="9"/>
        <v>Alarm-100-CTGAN-2</v>
      </c>
      <c r="F150" s="34">
        <f>96.51</f>
        <v>96.51</v>
      </c>
      <c r="G150" s="34">
        <f>92.62</f>
        <v>92.62</v>
      </c>
      <c r="H150" s="39">
        <f>AVERAGE(Table13[[#This Row],[Column Shapes]],Table13[[#This Row],[Column Pair Trends]])</f>
        <v>94.564999999999998</v>
      </c>
      <c r="I150" s="39">
        <f>[1]Alarm!U6</f>
        <v>-0.78892707186764754</v>
      </c>
      <c r="J150" s="34">
        <f t="shared" si="8"/>
        <v>0</v>
      </c>
    </row>
    <row r="151" spans="1:10" x14ac:dyDescent="0.2">
      <c r="A151" s="34" t="s">
        <v>42</v>
      </c>
      <c r="B151" s="34">
        <v>100</v>
      </c>
      <c r="C151" s="34" t="s">
        <v>12</v>
      </c>
      <c r="D151" s="34">
        <v>5</v>
      </c>
      <c r="E151" s="34" t="str">
        <f t="shared" si="9"/>
        <v>Alarm-100-CTGAN-5</v>
      </c>
      <c r="F151" s="34">
        <f>96.41</f>
        <v>96.41</v>
      </c>
      <c r="G151" s="34">
        <f>92.04</f>
        <v>92.04</v>
      </c>
      <c r="H151" s="39">
        <f>AVERAGE(Table13[[#This Row],[Column Shapes]],Table13[[#This Row],[Column Pair Trends]])</f>
        <v>94.224999999999994</v>
      </c>
      <c r="I151" s="39">
        <f>[1]Alarm!U7</f>
        <v>-1.1586385193137341</v>
      </c>
      <c r="J151" s="34">
        <f t="shared" si="8"/>
        <v>0</v>
      </c>
    </row>
    <row r="152" spans="1:10" x14ac:dyDescent="0.2">
      <c r="A152" s="34" t="s">
        <v>42</v>
      </c>
      <c r="B152" s="34">
        <v>100</v>
      </c>
      <c r="C152" s="34" t="s">
        <v>12</v>
      </c>
      <c r="D152" s="34">
        <v>10</v>
      </c>
      <c r="E152" s="34" t="str">
        <f t="shared" si="9"/>
        <v>Alarm-100-CTGAN-10</v>
      </c>
      <c r="F152" s="34">
        <f>96.26</f>
        <v>96.26</v>
      </c>
      <c r="G152" s="34">
        <f>91.55</f>
        <v>91.55</v>
      </c>
      <c r="H152" s="39">
        <f>AVERAGE(Table13[[#This Row],[Column Shapes]],Table13[[#This Row],[Column Pair Trends]])</f>
        <v>93.905000000000001</v>
      </c>
      <c r="I152" s="39">
        <f>[1]Alarm!U8</f>
        <v>-1.3952018322214315</v>
      </c>
      <c r="J152" s="34">
        <f t="shared" si="8"/>
        <v>0</v>
      </c>
    </row>
    <row r="153" spans="1:10" x14ac:dyDescent="0.2">
      <c r="A153" s="34" t="s">
        <v>42</v>
      </c>
      <c r="B153" s="34">
        <v>100</v>
      </c>
      <c r="C153" s="34" t="s">
        <v>12</v>
      </c>
      <c r="D153" s="34">
        <v>20</v>
      </c>
      <c r="E153" s="34" t="str">
        <f t="shared" si="9"/>
        <v>Alarm-100-CTGAN-20</v>
      </c>
      <c r="F153" s="34">
        <f>96.27</f>
        <v>96.27</v>
      </c>
      <c r="G153" s="34">
        <f>91.42</f>
        <v>91.42</v>
      </c>
      <c r="H153" s="39">
        <f>AVERAGE(Table13[[#This Row],[Column Shapes]],Table13[[#This Row],[Column Pair Trends]])</f>
        <v>93.844999999999999</v>
      </c>
      <c r="I153" s="39">
        <f>[1]Alarm!U9</f>
        <v>-1.8552798187152</v>
      </c>
      <c r="J153" s="34">
        <f t="shared" si="8"/>
        <v>0</v>
      </c>
    </row>
    <row r="154" spans="1:10" x14ac:dyDescent="0.2">
      <c r="A154" s="34" t="s">
        <v>42</v>
      </c>
      <c r="B154" s="34">
        <v>100</v>
      </c>
      <c r="C154" s="34" t="s">
        <v>10</v>
      </c>
      <c r="D154" s="34">
        <v>2</v>
      </c>
      <c r="E154" s="34" t="str">
        <f t="shared" si="9"/>
        <v>Alarm-100-Mostly-2</v>
      </c>
      <c r="F154" s="34">
        <f>97.84</f>
        <v>97.84</v>
      </c>
      <c r="G154" s="34">
        <f>95.73</f>
        <v>95.73</v>
      </c>
      <c r="H154" s="39">
        <f>AVERAGE(Table13[[#This Row],[Column Shapes]],Table13[[#This Row],[Column Pair Trends]])</f>
        <v>96.784999999999997</v>
      </c>
      <c r="I154" s="39">
        <f>[1]Alarm!V6</f>
        <v>-0.61056829230131338</v>
      </c>
      <c r="J154" s="34">
        <f t="shared" si="8"/>
        <v>0</v>
      </c>
    </row>
    <row r="155" spans="1:10" x14ac:dyDescent="0.2">
      <c r="A155" s="34" t="s">
        <v>42</v>
      </c>
      <c r="B155" s="34">
        <v>100</v>
      </c>
      <c r="C155" s="34" t="s">
        <v>10</v>
      </c>
      <c r="D155" s="34">
        <v>5</v>
      </c>
      <c r="E155" s="34" t="str">
        <f t="shared" si="9"/>
        <v>Alarm-100-Mostly-5</v>
      </c>
      <c r="F155" s="34">
        <f>97.89</f>
        <v>97.89</v>
      </c>
      <c r="G155" s="34">
        <f>95.69</f>
        <v>95.69</v>
      </c>
      <c r="H155" s="39">
        <f>AVERAGE(Table13[[#This Row],[Column Shapes]],Table13[[#This Row],[Column Pair Trends]])</f>
        <v>96.789999999999992</v>
      </c>
      <c r="I155" s="39">
        <f>[1]Alarm!V7</f>
        <v>-0.71695897738593861</v>
      </c>
      <c r="J155" s="34">
        <f t="shared" si="8"/>
        <v>0</v>
      </c>
    </row>
    <row r="156" spans="1:10" x14ac:dyDescent="0.2">
      <c r="A156" s="34" t="s">
        <v>42</v>
      </c>
      <c r="B156" s="34">
        <v>100</v>
      </c>
      <c r="C156" s="34" t="s">
        <v>10</v>
      </c>
      <c r="D156" s="34">
        <v>10</v>
      </c>
      <c r="E156" s="34" t="str">
        <f t="shared" si="9"/>
        <v>Alarm-100-Mostly-10</v>
      </c>
      <c r="F156" s="34">
        <f>97.63</f>
        <v>97.63</v>
      </c>
      <c r="G156" s="34">
        <f>95.24</f>
        <v>95.24</v>
      </c>
      <c r="H156" s="39">
        <f>AVERAGE(Table13[[#This Row],[Column Shapes]],Table13[[#This Row],[Column Pair Trends]])</f>
        <v>96.435000000000002</v>
      </c>
      <c r="I156" s="39">
        <f>[1]Alarm!V8</f>
        <v>-0.71159759019754798</v>
      </c>
      <c r="J156" s="34">
        <f t="shared" si="8"/>
        <v>0</v>
      </c>
    </row>
    <row r="157" spans="1:10" x14ac:dyDescent="0.2">
      <c r="A157" s="34" t="s">
        <v>42</v>
      </c>
      <c r="B157" s="34">
        <v>100</v>
      </c>
      <c r="C157" s="34" t="s">
        <v>10</v>
      </c>
      <c r="D157" s="34">
        <v>20</v>
      </c>
      <c r="E157" s="34" t="str">
        <f t="shared" si="9"/>
        <v>Alarm-100-Mostly-20</v>
      </c>
      <c r="F157" s="34">
        <f>97.58</f>
        <v>97.58</v>
      </c>
      <c r="G157" s="34">
        <f>95.1</f>
        <v>95.1</v>
      </c>
      <c r="H157" s="39">
        <f>AVERAGE(Table13[[#This Row],[Column Shapes]],Table13[[#This Row],[Column Pair Trends]])</f>
        <v>96.34</v>
      </c>
      <c r="I157" s="39">
        <f>[1]Alarm!V9</f>
        <v>-0.82323279012611872</v>
      </c>
      <c r="J157" s="34">
        <f t="shared" si="8"/>
        <v>0</v>
      </c>
    </row>
    <row r="158" spans="1:10" x14ac:dyDescent="0.2">
      <c r="A158" s="34" t="s">
        <v>42</v>
      </c>
      <c r="B158" s="34">
        <v>500</v>
      </c>
      <c r="C158" s="34" t="s">
        <v>11</v>
      </c>
      <c r="D158" s="34">
        <v>2</v>
      </c>
      <c r="E158" s="34" t="str">
        <f t="shared" si="9"/>
        <v>Alarm-500-TVAE-2</v>
      </c>
      <c r="F158" s="34">
        <f>88.07</f>
        <v>88.07</v>
      </c>
      <c r="G158" s="34">
        <f>79.63</f>
        <v>79.63</v>
      </c>
      <c r="H158" s="39">
        <f>AVERAGE(Table13[[#This Row],[Column Shapes]],Table13[[#This Row],[Column Pair Trends]])</f>
        <v>83.85</v>
      </c>
      <c r="I158" s="39">
        <f>[1]Alarm!T11</f>
        <v>-0.71394359107106808</v>
      </c>
      <c r="J158" s="34">
        <f t="shared" si="8"/>
        <v>0</v>
      </c>
    </row>
    <row r="159" spans="1:10" x14ac:dyDescent="0.2">
      <c r="A159" s="34" t="s">
        <v>42</v>
      </c>
      <c r="B159" s="34">
        <v>500</v>
      </c>
      <c r="C159" s="34" t="s">
        <v>11</v>
      </c>
      <c r="D159" s="34">
        <v>5</v>
      </c>
      <c r="E159" s="34" t="str">
        <f t="shared" si="9"/>
        <v>Alarm-500-TVAE-5</v>
      </c>
      <c r="F159" s="34">
        <f>85.1</f>
        <v>85.1</v>
      </c>
      <c r="G159" s="34">
        <f>74.55</f>
        <v>74.55</v>
      </c>
      <c r="H159" s="39">
        <f>AVERAGE(Table13[[#This Row],[Column Shapes]],Table13[[#This Row],[Column Pair Trends]])</f>
        <v>79.824999999999989</v>
      </c>
      <c r="I159" s="39">
        <f>[1]Alarm!T12</f>
        <v>-0.90148109741740767</v>
      </c>
      <c r="J159" s="34">
        <f t="shared" si="8"/>
        <v>0</v>
      </c>
    </row>
    <row r="160" spans="1:10" x14ac:dyDescent="0.2">
      <c r="A160" s="34" t="s">
        <v>42</v>
      </c>
      <c r="B160" s="34">
        <v>500</v>
      </c>
      <c r="C160" s="34" t="s">
        <v>11</v>
      </c>
      <c r="D160" s="34">
        <v>10</v>
      </c>
      <c r="E160" s="34" t="str">
        <f t="shared" si="9"/>
        <v>Alarm-500-TVAE-10</v>
      </c>
      <c r="F160" s="34">
        <f>83.73</f>
        <v>83.73</v>
      </c>
      <c r="G160" s="34">
        <f>72.22</f>
        <v>72.22</v>
      </c>
      <c r="H160" s="39">
        <f>AVERAGE(Table13[[#This Row],[Column Shapes]],Table13[[#This Row],[Column Pair Trends]])</f>
        <v>77.974999999999994</v>
      </c>
      <c r="I160" s="39">
        <f>[1]Alarm!T13</f>
        <v>-1.100253761182993</v>
      </c>
      <c r="J160" s="34">
        <f t="shared" si="8"/>
        <v>0</v>
      </c>
    </row>
    <row r="161" spans="1:10" x14ac:dyDescent="0.2">
      <c r="A161" s="34" t="s">
        <v>42</v>
      </c>
      <c r="B161" s="34">
        <v>500</v>
      </c>
      <c r="C161" s="34" t="s">
        <v>11</v>
      </c>
      <c r="D161" s="34">
        <v>20</v>
      </c>
      <c r="E161" s="34" t="str">
        <f t="shared" si="9"/>
        <v>Alarm-500-TVAE-20</v>
      </c>
      <c r="F161" s="34">
        <f>82.94</f>
        <v>82.94</v>
      </c>
      <c r="G161" s="34">
        <f>70.87</f>
        <v>70.87</v>
      </c>
      <c r="H161" s="39">
        <f>AVERAGE(Table13[[#This Row],[Column Shapes]],Table13[[#This Row],[Column Pair Trends]])</f>
        <v>76.905000000000001</v>
      </c>
      <c r="I161" s="39">
        <f>[1]Alarm!T14</f>
        <v>-1.3084645115470659</v>
      </c>
      <c r="J161" s="34">
        <f t="shared" si="8"/>
        <v>0</v>
      </c>
    </row>
    <row r="162" spans="1:10" x14ac:dyDescent="0.2">
      <c r="A162" s="34" t="s">
        <v>42</v>
      </c>
      <c r="B162" s="34">
        <v>500</v>
      </c>
      <c r="C162" s="34" t="s">
        <v>12</v>
      </c>
      <c r="D162" s="34">
        <v>2</v>
      </c>
      <c r="E162" s="34" t="str">
        <f t="shared" si="9"/>
        <v>Alarm-500-CTGAN-2</v>
      </c>
      <c r="F162" s="34">
        <f>96.7</f>
        <v>96.7</v>
      </c>
      <c r="G162" s="34">
        <f>93.27</f>
        <v>93.27</v>
      </c>
      <c r="H162" s="39">
        <f>AVERAGE(Table13[[#This Row],[Column Shapes]],Table13[[#This Row],[Column Pair Trends]])</f>
        <v>94.984999999999999</v>
      </c>
      <c r="I162" s="39">
        <f>[1]Alarm!U11</f>
        <v>-1.6163641854102799</v>
      </c>
      <c r="J162" s="34">
        <f t="shared" si="8"/>
        <v>0</v>
      </c>
    </row>
    <row r="163" spans="1:10" x14ac:dyDescent="0.2">
      <c r="A163" s="34" t="s">
        <v>42</v>
      </c>
      <c r="B163" s="34">
        <v>500</v>
      </c>
      <c r="C163" s="34" t="s">
        <v>12</v>
      </c>
      <c r="D163" s="34">
        <v>5</v>
      </c>
      <c r="E163" s="34" t="str">
        <f t="shared" si="9"/>
        <v>Alarm-500-CTGAN-5</v>
      </c>
      <c r="F163" s="34">
        <f>96.06</f>
        <v>96.06</v>
      </c>
      <c r="G163" s="34">
        <f>91.9</f>
        <v>91.9</v>
      </c>
      <c r="H163" s="39">
        <f>AVERAGE(Table13[[#This Row],[Column Shapes]],Table13[[#This Row],[Column Pair Trends]])</f>
        <v>93.98</v>
      </c>
      <c r="I163" s="39">
        <f>[1]Alarm!U12</f>
        <v>-2.1570792348081684</v>
      </c>
      <c r="J163" s="34">
        <f t="shared" si="8"/>
        <v>0</v>
      </c>
    </row>
    <row r="164" spans="1:10" x14ac:dyDescent="0.2">
      <c r="A164" s="34" t="s">
        <v>42</v>
      </c>
      <c r="B164" s="34">
        <v>500</v>
      </c>
      <c r="C164" s="34" t="s">
        <v>12</v>
      </c>
      <c r="D164" s="34">
        <v>10</v>
      </c>
      <c r="E164" s="34" t="str">
        <f t="shared" si="9"/>
        <v>Alarm-500-CTGAN-10</v>
      </c>
      <c r="F164" s="34">
        <f>95.61</f>
        <v>95.61</v>
      </c>
      <c r="G164" s="34">
        <f>91.05</f>
        <v>91.05</v>
      </c>
      <c r="H164" s="39">
        <f>AVERAGE(Table13[[#This Row],[Column Shapes]],Table13[[#This Row],[Column Pair Trends]])</f>
        <v>93.33</v>
      </c>
      <c r="I164" s="39">
        <f>[1]Alarm!U13</f>
        <v>-2.5030607950444579</v>
      </c>
      <c r="J164" s="34">
        <f t="shared" si="8"/>
        <v>0</v>
      </c>
    </row>
    <row r="165" spans="1:10" x14ac:dyDescent="0.2">
      <c r="A165" s="34" t="s">
        <v>42</v>
      </c>
      <c r="B165" s="34">
        <v>500</v>
      </c>
      <c r="C165" s="34" t="s">
        <v>12</v>
      </c>
      <c r="D165" s="34">
        <v>20</v>
      </c>
      <c r="E165" s="34" t="str">
        <f t="shared" si="9"/>
        <v>Alarm-500-CTGAN-20</v>
      </c>
      <c r="F165" s="34">
        <f>95.52</f>
        <v>95.52</v>
      </c>
      <c r="G165" s="34">
        <f>90.81</f>
        <v>90.81</v>
      </c>
      <c r="H165" s="39">
        <f>AVERAGE(Table13[[#This Row],[Column Shapes]],Table13[[#This Row],[Column Pair Trends]])</f>
        <v>93.164999999999992</v>
      </c>
      <c r="I165" s="39">
        <f>[1]Alarm!U14</f>
        <v>-3.1759398549500526</v>
      </c>
      <c r="J165" s="34">
        <f t="shared" si="8"/>
        <v>0</v>
      </c>
    </row>
    <row r="166" spans="1:10" x14ac:dyDescent="0.2">
      <c r="A166" s="34" t="s">
        <v>42</v>
      </c>
      <c r="B166" s="34">
        <v>500</v>
      </c>
      <c r="C166" s="34" t="s">
        <v>10</v>
      </c>
      <c r="D166" s="34">
        <v>2</v>
      </c>
      <c r="E166" s="34" t="str">
        <f t="shared" si="9"/>
        <v>Alarm-500-Mostly-2</v>
      </c>
      <c r="F166" s="34">
        <f>98.64</f>
        <v>98.64</v>
      </c>
      <c r="G166" s="34">
        <f>97.51</f>
        <v>97.51</v>
      </c>
      <c r="H166" s="39">
        <f>AVERAGE(Table13[[#This Row],[Column Shapes]],Table13[[#This Row],[Column Pair Trends]])</f>
        <v>98.075000000000003</v>
      </c>
      <c r="I166" s="39">
        <f>[1]Alarm!V11</f>
        <v>-1.35550865342727</v>
      </c>
      <c r="J166" s="34">
        <f t="shared" si="8"/>
        <v>0</v>
      </c>
    </row>
    <row r="167" spans="1:10" x14ac:dyDescent="0.2">
      <c r="A167" s="34" t="s">
        <v>42</v>
      </c>
      <c r="B167" s="34">
        <v>500</v>
      </c>
      <c r="C167" s="34" t="s">
        <v>10</v>
      </c>
      <c r="D167" s="34">
        <v>5</v>
      </c>
      <c r="E167" s="34" t="str">
        <f t="shared" si="9"/>
        <v>Alarm-500-Mostly-5</v>
      </c>
      <c r="F167" s="34">
        <f>98.77</f>
        <v>98.77</v>
      </c>
      <c r="G167" s="34">
        <f>97.68</f>
        <v>97.68</v>
      </c>
      <c r="H167" s="39">
        <f>AVERAGE(Table13[[#This Row],[Column Shapes]],Table13[[#This Row],[Column Pair Trends]])</f>
        <v>98.224999999999994</v>
      </c>
      <c r="I167" s="39">
        <f>[1]Alarm!V12</f>
        <v>-1.5111085001141844</v>
      </c>
      <c r="J167" s="34">
        <f t="shared" si="8"/>
        <v>0</v>
      </c>
    </row>
    <row r="168" spans="1:10" x14ac:dyDescent="0.2">
      <c r="A168" s="34" t="s">
        <v>42</v>
      </c>
      <c r="B168" s="34">
        <v>500</v>
      </c>
      <c r="C168" s="34" t="s">
        <v>10</v>
      </c>
      <c r="D168" s="34">
        <v>10</v>
      </c>
      <c r="E168" s="34" t="str">
        <f t="shared" si="9"/>
        <v>Alarm-500-Mostly-10</v>
      </c>
      <c r="F168" s="34">
        <f>98.47</f>
        <v>98.47</v>
      </c>
      <c r="G168" s="34">
        <f>97.2</f>
        <v>97.2</v>
      </c>
      <c r="H168" s="39">
        <f>AVERAGE(Table13[[#This Row],[Column Shapes]],Table13[[#This Row],[Column Pair Trends]])</f>
        <v>97.835000000000008</v>
      </c>
      <c r="I168" s="39">
        <f>[1]Alarm!V13</f>
        <v>-1.5032672964986684</v>
      </c>
      <c r="J168" s="34">
        <f t="shared" si="8"/>
        <v>0</v>
      </c>
    </row>
    <row r="169" spans="1:10" x14ac:dyDescent="0.2">
      <c r="A169" s="34" t="s">
        <v>42</v>
      </c>
      <c r="B169" s="34">
        <v>500</v>
      </c>
      <c r="C169" s="34" t="s">
        <v>10</v>
      </c>
      <c r="D169" s="34">
        <v>20</v>
      </c>
      <c r="E169" s="34" t="str">
        <f t="shared" si="9"/>
        <v>Alarm-500-Mostly-20</v>
      </c>
      <c r="F169" s="34">
        <f>98.45</f>
        <v>98.45</v>
      </c>
      <c r="G169" s="34">
        <f>97.19</f>
        <v>97.19</v>
      </c>
      <c r="H169" s="39">
        <f>AVERAGE(Table13[[#This Row],[Column Shapes]],Table13[[#This Row],[Column Pair Trends]])</f>
        <v>97.82</v>
      </c>
      <c r="I169" s="39">
        <f>[1]Alarm!V14</f>
        <v>-1.6665374171857561</v>
      </c>
      <c r="J169" s="34">
        <f t="shared" si="8"/>
        <v>0</v>
      </c>
    </row>
    <row r="170" spans="1:10" x14ac:dyDescent="0.2">
      <c r="A170" s="34" t="s">
        <v>42</v>
      </c>
      <c r="B170" s="34">
        <v>1000</v>
      </c>
      <c r="C170" s="34" t="s">
        <v>11</v>
      </c>
      <c r="D170" s="34">
        <v>2</v>
      </c>
      <c r="E170" s="34" t="str">
        <f t="shared" si="9"/>
        <v>Alarm-1000-TVAE-2</v>
      </c>
      <c r="F170" s="34">
        <f>94.64</f>
        <v>94.64</v>
      </c>
      <c r="G170" s="34">
        <f>91.15</f>
        <v>91.15</v>
      </c>
      <c r="H170" s="39">
        <f>AVERAGE(Table13[[#This Row],[Column Shapes]],Table13[[#This Row],[Column Pair Trends]])</f>
        <v>92.89500000000001</v>
      </c>
      <c r="I170" s="39">
        <f>[1]Alarm!T16</f>
        <v>-0.25095411852995331</v>
      </c>
      <c r="J170" s="34">
        <f t="shared" si="8"/>
        <v>0</v>
      </c>
    </row>
    <row r="171" spans="1:10" x14ac:dyDescent="0.2">
      <c r="A171" s="34" t="s">
        <v>42</v>
      </c>
      <c r="B171" s="34">
        <v>1000</v>
      </c>
      <c r="C171" s="34" t="s">
        <v>11</v>
      </c>
      <c r="D171" s="34">
        <v>5</v>
      </c>
      <c r="E171" s="34" t="str">
        <f t="shared" si="9"/>
        <v>Alarm-1000-TVAE-5</v>
      </c>
      <c r="F171" s="34">
        <f>93.2</f>
        <v>93.2</v>
      </c>
      <c r="G171" s="34">
        <f>88.79</f>
        <v>88.79</v>
      </c>
      <c r="H171" s="39">
        <f>AVERAGE(Table13[[#This Row],[Column Shapes]],Table13[[#This Row],[Column Pair Trends]])</f>
        <v>90.995000000000005</v>
      </c>
      <c r="I171" s="39">
        <f>[1]Alarm!T17</f>
        <v>-0.51758055862057906</v>
      </c>
      <c r="J171" s="34">
        <f t="shared" si="8"/>
        <v>0</v>
      </c>
    </row>
    <row r="172" spans="1:10" x14ac:dyDescent="0.2">
      <c r="A172" s="34" t="s">
        <v>42</v>
      </c>
      <c r="B172" s="34">
        <v>1000</v>
      </c>
      <c r="C172" s="34" t="s">
        <v>11</v>
      </c>
      <c r="D172" s="34">
        <v>10</v>
      </c>
      <c r="E172" s="34" t="str">
        <f t="shared" si="9"/>
        <v>Alarm-1000-TVAE-10</v>
      </c>
      <c r="F172" s="34">
        <f>92.44</f>
        <v>92.44</v>
      </c>
      <c r="G172" s="34">
        <f>87.55</f>
        <v>87.55</v>
      </c>
      <c r="H172" s="39">
        <f>AVERAGE(Table13[[#This Row],[Column Shapes]],Table13[[#This Row],[Column Pair Trends]])</f>
        <v>89.995000000000005</v>
      </c>
      <c r="I172" s="39">
        <f>[1]Alarm!T18</f>
        <v>-0.62776542855563999</v>
      </c>
      <c r="J172" s="34">
        <f t="shared" si="8"/>
        <v>0</v>
      </c>
    </row>
    <row r="173" spans="1:10" x14ac:dyDescent="0.2">
      <c r="A173" s="34" t="s">
        <v>42</v>
      </c>
      <c r="B173" s="34">
        <v>1000</v>
      </c>
      <c r="C173" s="34" t="s">
        <v>11</v>
      </c>
      <c r="D173" s="34">
        <v>20</v>
      </c>
      <c r="E173" s="34" t="str">
        <f t="shared" si="9"/>
        <v>Alarm-1000-TVAE-20</v>
      </c>
      <c r="F173" s="34">
        <f>92.17</f>
        <v>92.17</v>
      </c>
      <c r="G173" s="34">
        <f>87.12</f>
        <v>87.12</v>
      </c>
      <c r="H173" s="39">
        <f>AVERAGE(Table13[[#This Row],[Column Shapes]],Table13[[#This Row],[Column Pair Trends]])</f>
        <v>89.64500000000001</v>
      </c>
      <c r="I173" s="39">
        <f>[1]Alarm!T19</f>
        <v>-0.78630329649957487</v>
      </c>
      <c r="J173" s="34">
        <f t="shared" si="8"/>
        <v>0</v>
      </c>
    </row>
    <row r="174" spans="1:10" x14ac:dyDescent="0.2">
      <c r="A174" s="34" t="s">
        <v>42</v>
      </c>
      <c r="B174" s="34">
        <v>1000</v>
      </c>
      <c r="C174" s="34" t="s">
        <v>12</v>
      </c>
      <c r="D174" s="34">
        <v>2</v>
      </c>
      <c r="E174" s="34" t="str">
        <f t="shared" si="9"/>
        <v>Alarm-1000-CTGAN-2</v>
      </c>
      <c r="F174" s="34">
        <f>96.34</f>
        <v>96.34</v>
      </c>
      <c r="G174" s="34">
        <f>92.67</f>
        <v>92.67</v>
      </c>
      <c r="H174" s="39">
        <f>AVERAGE(Table13[[#This Row],[Column Shapes]],Table13[[#This Row],[Column Pair Trends]])</f>
        <v>94.504999999999995</v>
      </c>
      <c r="I174" s="39">
        <f>[1]Alarm!U16</f>
        <v>-1.6010937825875371</v>
      </c>
      <c r="J174" s="34">
        <f t="shared" si="8"/>
        <v>0</v>
      </c>
    </row>
    <row r="175" spans="1:10" x14ac:dyDescent="0.2">
      <c r="A175" s="34" t="s">
        <v>42</v>
      </c>
      <c r="B175" s="34">
        <v>1000</v>
      </c>
      <c r="C175" s="34" t="s">
        <v>12</v>
      </c>
      <c r="D175" s="34">
        <v>5</v>
      </c>
      <c r="E175" s="34" t="str">
        <f t="shared" si="9"/>
        <v>Alarm-1000-CTGAN-5</v>
      </c>
      <c r="F175" s="34">
        <f>95.54</f>
        <v>95.54</v>
      </c>
      <c r="G175" s="34">
        <f>91.03</f>
        <v>91.03</v>
      </c>
      <c r="H175" s="39">
        <f>AVERAGE(Table13[[#This Row],[Column Shapes]],Table13[[#This Row],[Column Pair Trends]])</f>
        <v>93.284999999999997</v>
      </c>
      <c r="I175" s="39">
        <f>[1]Alarm!U17</f>
        <v>-2.0377404904552496</v>
      </c>
      <c r="J175" s="34">
        <f t="shared" ref="J175:J210" si="10">IF(I175&gt;0,1,0)</f>
        <v>0</v>
      </c>
    </row>
    <row r="176" spans="1:10" x14ac:dyDescent="0.2">
      <c r="A176" s="34" t="s">
        <v>42</v>
      </c>
      <c r="B176" s="34">
        <v>1000</v>
      </c>
      <c r="C176" s="34" t="s">
        <v>12</v>
      </c>
      <c r="D176" s="34">
        <v>10</v>
      </c>
      <c r="E176" s="34" t="str">
        <f t="shared" si="9"/>
        <v>Alarm-1000-CTGAN-10</v>
      </c>
      <c r="F176" s="34">
        <f>95.09</f>
        <v>95.09</v>
      </c>
      <c r="G176" s="34">
        <f>90.15</f>
        <v>90.15</v>
      </c>
      <c r="H176" s="39">
        <f>AVERAGE(Table13[[#This Row],[Column Shapes]],Table13[[#This Row],[Column Pair Trends]])</f>
        <v>92.62</v>
      </c>
      <c r="I176" s="39">
        <f>[1]Alarm!U18</f>
        <v>-2.5439500596268374</v>
      </c>
      <c r="J176" s="34">
        <f t="shared" si="10"/>
        <v>0</v>
      </c>
    </row>
    <row r="177" spans="1:10" x14ac:dyDescent="0.2">
      <c r="A177" s="34" t="s">
        <v>42</v>
      </c>
      <c r="B177" s="34">
        <v>1000</v>
      </c>
      <c r="C177" s="34" t="s">
        <v>12</v>
      </c>
      <c r="D177" s="34">
        <v>20</v>
      </c>
      <c r="E177" s="34" t="str">
        <f t="shared" si="9"/>
        <v>Alarm-1000-CTGAN-20</v>
      </c>
      <c r="F177" s="34">
        <f>94.94</f>
        <v>94.94</v>
      </c>
      <c r="G177" s="34">
        <f>89.8</f>
        <v>89.8</v>
      </c>
      <c r="H177" s="39">
        <f>AVERAGE(Table13[[#This Row],[Column Shapes]],Table13[[#This Row],[Column Pair Trends]])</f>
        <v>92.37</v>
      </c>
      <c r="I177" s="39">
        <f>[1]Alarm!U19</f>
        <v>-2.6161083372401244</v>
      </c>
      <c r="J177" s="34">
        <f t="shared" si="10"/>
        <v>0</v>
      </c>
    </row>
    <row r="178" spans="1:10" x14ac:dyDescent="0.2">
      <c r="A178" s="34" t="s">
        <v>42</v>
      </c>
      <c r="B178" s="34">
        <v>1000</v>
      </c>
      <c r="C178" s="34" t="s">
        <v>10</v>
      </c>
      <c r="D178" s="34">
        <v>2</v>
      </c>
      <c r="E178" s="34" t="str">
        <f t="shared" si="9"/>
        <v>Alarm-1000-Mostly-2</v>
      </c>
      <c r="F178" s="34">
        <f>98.79</f>
        <v>98.79</v>
      </c>
      <c r="G178" s="34">
        <f>97.77</f>
        <v>97.77</v>
      </c>
      <c r="H178" s="39">
        <f>AVERAGE(Table13[[#This Row],[Column Shapes]],Table13[[#This Row],[Column Pair Trends]])</f>
        <v>98.28</v>
      </c>
      <c r="I178" s="39">
        <f>[1]Alarm!V16</f>
        <v>-0.70438992564916614</v>
      </c>
      <c r="J178" s="34">
        <f t="shared" si="10"/>
        <v>0</v>
      </c>
    </row>
    <row r="179" spans="1:10" x14ac:dyDescent="0.2">
      <c r="A179" s="34" t="s">
        <v>42</v>
      </c>
      <c r="B179" s="34">
        <v>1000</v>
      </c>
      <c r="C179" s="34" t="s">
        <v>10</v>
      </c>
      <c r="D179" s="34">
        <v>5</v>
      </c>
      <c r="E179" s="34" t="str">
        <f t="shared" si="9"/>
        <v>Alarm-1000-Mostly-5</v>
      </c>
      <c r="F179" s="34">
        <f>98.57</f>
        <v>98.57</v>
      </c>
      <c r="G179" s="34">
        <f>97.36</f>
        <v>97.36</v>
      </c>
      <c r="H179" s="39">
        <f>AVERAGE(Table13[[#This Row],[Column Shapes]],Table13[[#This Row],[Column Pair Trends]])</f>
        <v>97.965000000000003</v>
      </c>
      <c r="I179" s="39">
        <f>[1]Alarm!V17</f>
        <v>-1.0892031751068201</v>
      </c>
      <c r="J179" s="34">
        <f t="shared" si="10"/>
        <v>0</v>
      </c>
    </row>
    <row r="180" spans="1:10" x14ac:dyDescent="0.2">
      <c r="A180" s="34" t="s">
        <v>42</v>
      </c>
      <c r="B180" s="34">
        <v>1000</v>
      </c>
      <c r="C180" s="34" t="s">
        <v>10</v>
      </c>
      <c r="D180" s="34">
        <v>10</v>
      </c>
      <c r="E180" s="34" t="str">
        <f t="shared" si="9"/>
        <v>Alarm-1000-Mostly-10</v>
      </c>
      <c r="F180" s="34">
        <f>98.4</f>
        <v>98.4</v>
      </c>
      <c r="G180" s="34">
        <f>97.12</f>
        <v>97.12</v>
      </c>
      <c r="H180" s="39">
        <f>AVERAGE(Table13[[#This Row],[Column Shapes]],Table13[[#This Row],[Column Pair Trends]])</f>
        <v>97.76</v>
      </c>
      <c r="I180" s="39">
        <f>[1]Alarm!V18</f>
        <v>-1.1969058216827779</v>
      </c>
      <c r="J180" s="34">
        <f t="shared" si="10"/>
        <v>0</v>
      </c>
    </row>
    <row r="181" spans="1:10" x14ac:dyDescent="0.2">
      <c r="A181" s="34" t="s">
        <v>42</v>
      </c>
      <c r="B181" s="34">
        <v>1000</v>
      </c>
      <c r="C181" s="34" t="s">
        <v>10</v>
      </c>
      <c r="D181" s="34">
        <v>20</v>
      </c>
      <c r="E181" s="34" t="str">
        <f t="shared" si="9"/>
        <v>Alarm-1000-Mostly-20</v>
      </c>
      <c r="F181" s="34">
        <f>98.33</f>
        <v>98.33</v>
      </c>
      <c r="G181" s="34">
        <f>96.97</f>
        <v>96.97</v>
      </c>
      <c r="H181" s="39">
        <f>AVERAGE(Table13[[#This Row],[Column Shapes]],Table13[[#This Row],[Column Pair Trends]])</f>
        <v>97.65</v>
      </c>
      <c r="I181" s="39">
        <f>[1]Alarm!V19</f>
        <v>-1.2798004951968753</v>
      </c>
      <c r="J181" s="34">
        <f t="shared" si="10"/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05CD-A889-A047-9F56-C46ACF775A53}">
  <dimension ref="A1:W19"/>
  <sheetViews>
    <sheetView zoomScale="150" zoomScaleNormal="110" workbookViewId="0">
      <selection activeCell="K4" sqref="K4"/>
    </sheetView>
  </sheetViews>
  <sheetFormatPr baseColWidth="10" defaultRowHeight="16" x14ac:dyDescent="0.2"/>
  <cols>
    <col min="1" max="1" width="13" bestFit="1" customWidth="1"/>
    <col min="2" max="2" width="20.1640625" bestFit="1" customWidth="1"/>
    <col min="3" max="12" width="10.83203125" customWidth="1"/>
  </cols>
  <sheetData>
    <row r="1" spans="1:23" ht="51" thickBot="1" x14ac:dyDescent="0.25">
      <c r="B1" s="4" t="s">
        <v>0</v>
      </c>
      <c r="C1" s="44" t="s">
        <v>1</v>
      </c>
      <c r="D1" s="45"/>
      <c r="E1" s="45"/>
      <c r="F1" s="46"/>
      <c r="G1" s="47" t="s">
        <v>2</v>
      </c>
      <c r="H1" s="48"/>
      <c r="I1" s="48"/>
      <c r="J1" s="49"/>
      <c r="K1" s="44" t="s">
        <v>3</v>
      </c>
      <c r="L1" s="45"/>
      <c r="M1" s="45"/>
      <c r="N1" s="46"/>
      <c r="S1" s="4" t="s">
        <v>0</v>
      </c>
      <c r="T1" s="44" t="s">
        <v>3</v>
      </c>
      <c r="U1" s="45"/>
      <c r="V1" s="45"/>
      <c r="W1" s="46"/>
    </row>
    <row r="2" spans="1:23" ht="25" thickBot="1" x14ac:dyDescent="0.25">
      <c r="B2" s="5"/>
      <c r="C2" s="1" t="s">
        <v>25</v>
      </c>
      <c r="D2" s="1" t="s">
        <v>11</v>
      </c>
      <c r="E2" s="1" t="s">
        <v>12</v>
      </c>
      <c r="F2" s="3" t="s">
        <v>10</v>
      </c>
      <c r="G2" s="1" t="s">
        <v>25</v>
      </c>
      <c r="H2" s="1" t="s">
        <v>11</v>
      </c>
      <c r="I2" s="1" t="s">
        <v>12</v>
      </c>
      <c r="J2" s="1" t="s">
        <v>10</v>
      </c>
      <c r="K2" s="2" t="s">
        <v>25</v>
      </c>
      <c r="L2" s="1" t="s">
        <v>11</v>
      </c>
      <c r="M2" s="1" t="s">
        <v>12</v>
      </c>
      <c r="N2" s="3" t="s">
        <v>10</v>
      </c>
      <c r="S2" s="5"/>
      <c r="T2" s="2" t="s">
        <v>25</v>
      </c>
      <c r="U2" s="1" t="s">
        <v>11</v>
      </c>
      <c r="V2" s="1" t="s">
        <v>12</v>
      </c>
      <c r="W2" s="3" t="s">
        <v>10</v>
      </c>
    </row>
    <row r="3" spans="1:23" x14ac:dyDescent="0.2">
      <c r="A3" s="41" t="s">
        <v>24</v>
      </c>
      <c r="B3" s="21" t="s">
        <v>4</v>
      </c>
      <c r="C3" s="10">
        <v>495292</v>
      </c>
      <c r="D3" s="11"/>
      <c r="E3" s="11"/>
      <c r="F3" s="12"/>
      <c r="G3" s="11"/>
      <c r="H3" s="11"/>
      <c r="I3" s="11"/>
      <c r="J3" s="11"/>
      <c r="K3" s="13"/>
      <c r="L3" s="14"/>
      <c r="M3" s="14"/>
      <c r="N3" s="15"/>
      <c r="R3" s="41" t="s">
        <v>24</v>
      </c>
      <c r="S3" s="21" t="s">
        <v>4</v>
      </c>
      <c r="T3" s="13"/>
      <c r="U3" s="14"/>
      <c r="V3" s="14"/>
      <c r="W3" s="15"/>
    </row>
    <row r="4" spans="1:23" ht="17" thickBot="1" x14ac:dyDescent="0.25">
      <c r="A4" s="43"/>
      <c r="B4" s="22" t="s">
        <v>5</v>
      </c>
      <c r="C4" s="16">
        <v>495313.3</v>
      </c>
      <c r="D4" s="17"/>
      <c r="E4" s="17"/>
      <c r="F4" s="18"/>
      <c r="G4" s="17">
        <v>10</v>
      </c>
      <c r="H4" s="17"/>
      <c r="I4" s="17"/>
      <c r="J4" s="17"/>
      <c r="K4" s="40">
        <f>0.004431672</f>
        <v>4.4316720000000002E-3</v>
      </c>
      <c r="L4" s="19"/>
      <c r="M4" s="19"/>
      <c r="N4" s="20"/>
      <c r="R4" s="43"/>
      <c r="S4" s="22" t="s">
        <v>5</v>
      </c>
      <c r="T4" s="23">
        <f>0.004431672</f>
        <v>4.4316720000000002E-3</v>
      </c>
      <c r="U4" s="19"/>
      <c r="V4" s="19"/>
      <c r="W4" s="20"/>
    </row>
    <row r="5" spans="1:23" x14ac:dyDescent="0.2">
      <c r="A5" s="41" t="s">
        <v>6</v>
      </c>
      <c r="B5" s="21" t="s">
        <v>7</v>
      </c>
      <c r="C5" s="10">
        <v>507131.3</v>
      </c>
      <c r="D5" s="11"/>
      <c r="E5" s="11"/>
      <c r="F5" s="12"/>
      <c r="G5" s="11">
        <v>10</v>
      </c>
      <c r="H5" s="11"/>
      <c r="I5" s="11"/>
      <c r="J5" s="11"/>
      <c r="K5" s="13">
        <f>4.637058254</f>
        <v>4.6370582540000003</v>
      </c>
      <c r="L5" s="14"/>
      <c r="M5" s="14"/>
      <c r="N5" s="38">
        <f>((1-N6/K6)+(1-N7/K7)+(1-N8/K8)+(1-N9/K9))/4</f>
        <v>0.51259130763553262</v>
      </c>
      <c r="R5" s="41" t="s">
        <v>6</v>
      </c>
      <c r="S5" s="21" t="s">
        <v>7</v>
      </c>
      <c r="T5" s="13">
        <f>4.637058254</f>
        <v>4.6370582540000003</v>
      </c>
      <c r="U5" s="14">
        <f>AVERAGE(U6:U9)</f>
        <v>-0.64561157786136358</v>
      </c>
      <c r="V5" s="14">
        <f t="shared" ref="V5:W5" si="0">AVERAGE(V6:V9)</f>
        <v>-2.9544107167906092E-2</v>
      </c>
      <c r="W5" s="14">
        <f t="shared" si="0"/>
        <v>0.51259130763553262</v>
      </c>
    </row>
    <row r="6" spans="1:23" x14ac:dyDescent="0.2">
      <c r="A6" s="42"/>
      <c r="B6" s="7" t="s">
        <v>26</v>
      </c>
      <c r="C6" s="29">
        <f>C5</f>
        <v>507131.3</v>
      </c>
      <c r="D6" s="9">
        <f>503599.2</f>
        <v>503599.2</v>
      </c>
      <c r="E6" s="9">
        <f>529392.4</f>
        <v>529392.4</v>
      </c>
      <c r="F6" s="30">
        <v>507352.1</v>
      </c>
      <c r="G6" s="29">
        <f>G5</f>
        <v>10</v>
      </c>
      <c r="H6" s="9">
        <v>8</v>
      </c>
      <c r="I6" s="9">
        <v>14</v>
      </c>
      <c r="J6" s="30">
        <v>13</v>
      </c>
      <c r="K6" s="35">
        <f>K5</f>
        <v>4.6370582540000003</v>
      </c>
      <c r="L6" s="36">
        <v>6.0564590000000003</v>
      </c>
      <c r="M6" s="36">
        <f>4.230852</f>
        <v>4.2308519999999996</v>
      </c>
      <c r="N6" s="37">
        <v>3.232917</v>
      </c>
      <c r="R6" s="42"/>
      <c r="S6" s="7" t="s">
        <v>26</v>
      </c>
      <c r="T6" s="35"/>
      <c r="U6" s="36">
        <f>1-L6/$K$5</f>
        <v>-0.30609939928522611</v>
      </c>
      <c r="V6" s="36">
        <f t="shared" ref="V6:W6" si="1">1-M6/$K$5</f>
        <v>8.759998942208691E-2</v>
      </c>
      <c r="W6" s="36">
        <f t="shared" si="1"/>
        <v>0.3028086293263117</v>
      </c>
    </row>
    <row r="7" spans="1:23" x14ac:dyDescent="0.2">
      <c r="A7" s="42"/>
      <c r="B7" s="7" t="s">
        <v>13</v>
      </c>
      <c r="C7" s="29">
        <f>C5</f>
        <v>507131.3</v>
      </c>
      <c r="D7" s="9">
        <v>505360.6</v>
      </c>
      <c r="E7" s="9">
        <v>570949.80000000005</v>
      </c>
      <c r="F7" s="30">
        <v>507410.9</v>
      </c>
      <c r="G7" s="29">
        <f>G5</f>
        <v>10</v>
      </c>
      <c r="H7" s="9">
        <v>12</v>
      </c>
      <c r="I7" s="9">
        <v>12</v>
      </c>
      <c r="J7" s="30">
        <v>13</v>
      </c>
      <c r="K7" s="35">
        <f>K5</f>
        <v>4.6370582540000003</v>
      </c>
      <c r="L7" s="36">
        <f>6.975192</f>
        <v>6.9751919999999998</v>
      </c>
      <c r="M7" s="36">
        <f>4.271004</f>
        <v>4.2710039999999996</v>
      </c>
      <c r="N7" s="37">
        <f>2.177391</f>
        <v>2.1773910000000001</v>
      </c>
      <c r="R7" s="42"/>
      <c r="S7" s="7" t="s">
        <v>13</v>
      </c>
      <c r="T7" s="35"/>
      <c r="U7" s="36">
        <f t="shared" ref="U7:U9" si="2">1-L7/$K$5</f>
        <v>-0.50422781382638182</v>
      </c>
      <c r="V7" s="36">
        <f t="shared" ref="V7:V9" si="3">1-M7/$K$5</f>
        <v>7.8941051405648444E-2</v>
      </c>
      <c r="W7" s="36">
        <f t="shared" ref="W7:W9" si="4">1-N7/$K$5</f>
        <v>0.53043699674858558</v>
      </c>
    </row>
    <row r="8" spans="1:23" x14ac:dyDescent="0.2">
      <c r="A8" s="42"/>
      <c r="B8" s="7" t="s">
        <v>14</v>
      </c>
      <c r="C8" s="29">
        <f>C5</f>
        <v>507131.3</v>
      </c>
      <c r="D8" s="9">
        <v>501434.7</v>
      </c>
      <c r="E8" s="9">
        <v>561437.69999999995</v>
      </c>
      <c r="F8" s="30">
        <v>507418.2</v>
      </c>
      <c r="G8" s="29">
        <f>G5</f>
        <v>10</v>
      </c>
      <c r="H8" s="9">
        <v>12</v>
      </c>
      <c r="I8" s="9">
        <v>12</v>
      </c>
      <c r="J8" s="30">
        <v>13</v>
      </c>
      <c r="K8" s="35">
        <f>K5</f>
        <v>4.6370582540000003</v>
      </c>
      <c r="L8" s="36">
        <f>8.104959</f>
        <v>8.1049589999999991</v>
      </c>
      <c r="M8" s="36">
        <f>5.529098</f>
        <v>5.5290980000000003</v>
      </c>
      <c r="N8" s="37">
        <f>1.913702</f>
        <v>1.913702</v>
      </c>
      <c r="R8" s="42"/>
      <c r="S8" s="7" t="s">
        <v>14</v>
      </c>
      <c r="T8" s="35"/>
      <c r="U8" s="36">
        <f t="shared" si="2"/>
        <v>-0.74786654728965996</v>
      </c>
      <c r="V8" s="36">
        <f t="shared" si="3"/>
        <v>-0.19237190846815699</v>
      </c>
      <c r="W8" s="36">
        <f t="shared" si="4"/>
        <v>0.58730257521582563</v>
      </c>
    </row>
    <row r="9" spans="1:23" ht="17" thickBot="1" x14ac:dyDescent="0.25">
      <c r="A9" s="43"/>
      <c r="B9" s="8" t="s">
        <v>15</v>
      </c>
      <c r="C9" s="29">
        <f>C5</f>
        <v>507131.3</v>
      </c>
      <c r="D9" s="9">
        <v>501451.2</v>
      </c>
      <c r="E9" s="9">
        <v>559348</v>
      </c>
      <c r="F9" s="30">
        <v>513304.9</v>
      </c>
      <c r="G9" s="29">
        <f>G5</f>
        <v>10</v>
      </c>
      <c r="H9" s="9">
        <v>13</v>
      </c>
      <c r="I9" s="9">
        <v>12</v>
      </c>
      <c r="J9" s="30">
        <v>15</v>
      </c>
      <c r="K9" s="35">
        <f>K5</f>
        <v>4.6370582540000003</v>
      </c>
      <c r="L9" s="36">
        <f>9.386577</f>
        <v>9.3865770000000008</v>
      </c>
      <c r="M9" s="36">
        <f>5.06527</f>
        <v>5.0652699999999999</v>
      </c>
      <c r="N9" s="37">
        <f>1.71656</f>
        <v>1.7165600000000001</v>
      </c>
      <c r="R9" s="43"/>
      <c r="S9" s="8" t="s">
        <v>15</v>
      </c>
      <c r="T9" s="35"/>
      <c r="U9" s="36">
        <f t="shared" si="2"/>
        <v>-1.0242525510441864</v>
      </c>
      <c r="V9" s="36">
        <f t="shared" si="3"/>
        <v>-9.2345561031202728E-2</v>
      </c>
      <c r="W9" s="36">
        <f t="shared" si="4"/>
        <v>0.62981702925140781</v>
      </c>
    </row>
    <row r="10" spans="1:23" x14ac:dyDescent="0.2">
      <c r="A10" s="41" t="s">
        <v>22</v>
      </c>
      <c r="B10" s="21" t="s">
        <v>8</v>
      </c>
      <c r="C10" s="10">
        <v>502547.7</v>
      </c>
      <c r="D10" s="11"/>
      <c r="E10" s="11"/>
      <c r="F10" s="12"/>
      <c r="G10" s="11">
        <v>13</v>
      </c>
      <c r="H10" s="11"/>
      <c r="I10" s="11"/>
      <c r="J10" s="11"/>
      <c r="K10" s="13">
        <f>0.657444317</f>
        <v>0.65744431699999994</v>
      </c>
      <c r="L10" s="14"/>
      <c r="M10" s="14"/>
      <c r="N10" s="38">
        <f>((1-N11/K11)+(1-N12/K12)+(1-N13/K13)+(1-N14/K14))/4</f>
        <v>0.20911959909754602</v>
      </c>
      <c r="R10" s="41" t="s">
        <v>22</v>
      </c>
      <c r="S10" s="21" t="s">
        <v>8</v>
      </c>
      <c r="T10" s="13">
        <f>0.657444317</f>
        <v>0.65744431699999994</v>
      </c>
      <c r="U10" s="14">
        <f>AVERAGE(U11:U14)</f>
        <v>-2.9641547316013992</v>
      </c>
      <c r="V10" s="14">
        <f t="shared" ref="V10" si="5">AVERAGE(V11:V14)</f>
        <v>-5.9900653654901097</v>
      </c>
      <c r="W10" s="14">
        <f t="shared" ref="W10" si="6">AVERAGE(W11:W14)</f>
        <v>0.20911959909754602</v>
      </c>
    </row>
    <row r="11" spans="1:23" x14ac:dyDescent="0.2">
      <c r="A11" s="42"/>
      <c r="B11" s="7" t="s">
        <v>26</v>
      </c>
      <c r="C11" s="29">
        <f>C10</f>
        <v>502547.7</v>
      </c>
      <c r="D11" s="9">
        <f>496862.9</f>
        <v>496862.9</v>
      </c>
      <c r="E11" s="9">
        <f>503006.3</f>
        <v>503006.3</v>
      </c>
      <c r="F11" s="30">
        <f>498324.2</f>
        <v>498324.2</v>
      </c>
      <c r="G11" s="29">
        <f>G10</f>
        <v>13</v>
      </c>
      <c r="H11" s="9">
        <v>17</v>
      </c>
      <c r="I11" s="9">
        <v>7</v>
      </c>
      <c r="J11" s="30">
        <v>7</v>
      </c>
      <c r="K11" s="35">
        <f>K10</f>
        <v>0.65744431699999994</v>
      </c>
      <c r="L11" s="36">
        <v>1.5341720000000001</v>
      </c>
      <c r="M11" s="36">
        <v>2.8370519999999999</v>
      </c>
      <c r="N11" s="37">
        <f>0.5110401</f>
        <v>0.5110401</v>
      </c>
      <c r="R11" s="42"/>
      <c r="S11" s="7" t="s">
        <v>26</v>
      </c>
      <c r="T11" s="35"/>
      <c r="U11" s="36">
        <f>1-L11/$K$10</f>
        <v>-1.3335390698951013</v>
      </c>
      <c r="V11" s="36">
        <f t="shared" ref="V11:W11" si="7">1-M11/$K$10</f>
        <v>-3.3152734408684532</v>
      </c>
      <c r="W11" s="36">
        <f t="shared" si="7"/>
        <v>0.22268686976877461</v>
      </c>
    </row>
    <row r="12" spans="1:23" x14ac:dyDescent="0.2">
      <c r="A12" s="42"/>
      <c r="B12" s="7" t="s">
        <v>16</v>
      </c>
      <c r="C12" s="29">
        <f>C10</f>
        <v>502547.7</v>
      </c>
      <c r="D12" s="9">
        <v>498543.8</v>
      </c>
      <c r="E12" s="9">
        <v>513260.79999999999</v>
      </c>
      <c r="F12" s="30">
        <v>498350.4</v>
      </c>
      <c r="G12" s="29">
        <f>G10</f>
        <v>13</v>
      </c>
      <c r="H12" s="9">
        <v>21</v>
      </c>
      <c r="I12" s="9">
        <v>11</v>
      </c>
      <c r="J12" s="30">
        <v>13</v>
      </c>
      <c r="K12" s="35">
        <f>K10</f>
        <v>0.65744431699999994</v>
      </c>
      <c r="L12" s="36">
        <f>2.189372</f>
        <v>2.1893720000000001</v>
      </c>
      <c r="M12" s="36">
        <f>4.58469</f>
        <v>4.5846900000000002</v>
      </c>
      <c r="N12" s="37">
        <f>0.4578073</f>
        <v>0.45780729999999997</v>
      </c>
      <c r="R12" s="42"/>
      <c r="S12" s="7" t="s">
        <v>16</v>
      </c>
      <c r="T12" s="35"/>
      <c r="U12" s="36">
        <f t="shared" ref="U12:U14" si="8">1-L12/$K$10</f>
        <v>-2.3301253709065071</v>
      </c>
      <c r="V12" s="36">
        <f t="shared" ref="V12:V14" si="9">1-M12/$K$10</f>
        <v>-5.9735031263491791</v>
      </c>
      <c r="W12" s="36">
        <f t="shared" ref="W12:W14" si="10">1-N12/$K$10</f>
        <v>0.3036561604349528</v>
      </c>
    </row>
    <row r="13" spans="1:23" x14ac:dyDescent="0.2">
      <c r="A13" s="42"/>
      <c r="B13" s="7" t="s">
        <v>17</v>
      </c>
      <c r="C13" s="29">
        <f>C10</f>
        <v>502547.7</v>
      </c>
      <c r="D13" s="9">
        <v>497355.6</v>
      </c>
      <c r="E13" s="9">
        <v>527655.19999999995</v>
      </c>
      <c r="F13" s="30">
        <v>498980.9</v>
      </c>
      <c r="G13" s="29">
        <f>G10</f>
        <v>13</v>
      </c>
      <c r="H13" s="9">
        <v>23</v>
      </c>
      <c r="I13" s="9">
        <v>14</v>
      </c>
      <c r="J13" s="30">
        <v>15</v>
      </c>
      <c r="K13" s="35">
        <f>K10</f>
        <v>0.65744431699999994</v>
      </c>
      <c r="L13" s="36">
        <f>2.902298</f>
        <v>2.902298</v>
      </c>
      <c r="M13" s="36">
        <f>5.17687</f>
        <v>5.1768700000000001</v>
      </c>
      <c r="N13" s="37">
        <f>0.5041809</f>
        <v>0.50418090000000004</v>
      </c>
      <c r="R13" s="42"/>
      <c r="S13" s="7" t="s">
        <v>17</v>
      </c>
      <c r="T13" s="35"/>
      <c r="U13" s="36">
        <f t="shared" si="8"/>
        <v>-3.4145153056361428</v>
      </c>
      <c r="V13" s="36">
        <f t="shared" si="9"/>
        <v>-6.874233400666844</v>
      </c>
      <c r="W13" s="36">
        <f t="shared" si="10"/>
        <v>0.23311999668558991</v>
      </c>
    </row>
    <row r="14" spans="1:23" ht="17" thickBot="1" x14ac:dyDescent="0.25">
      <c r="A14" s="43"/>
      <c r="B14" s="6" t="s">
        <v>18</v>
      </c>
      <c r="C14" s="29">
        <f>C10</f>
        <v>502547.7</v>
      </c>
      <c r="D14" s="9">
        <v>496282.4</v>
      </c>
      <c r="E14" s="9">
        <v>556612.19999999995</v>
      </c>
      <c r="F14" s="30">
        <v>497715.20000000001</v>
      </c>
      <c r="G14" s="29">
        <f>G10</f>
        <v>13</v>
      </c>
      <c r="H14" s="9">
        <v>19</v>
      </c>
      <c r="I14" s="9">
        <v>15</v>
      </c>
      <c r="J14" s="30">
        <v>18</v>
      </c>
      <c r="K14" s="35">
        <f>K10</f>
        <v>0.65744431699999994</v>
      </c>
      <c r="L14" s="36">
        <f>3.799002</f>
        <v>3.7990020000000002</v>
      </c>
      <c r="M14" s="36">
        <f>5.783703</f>
        <v>5.783703</v>
      </c>
      <c r="N14" s="37">
        <f>0.606811</f>
        <v>0.60681099999999999</v>
      </c>
      <c r="R14" s="43"/>
      <c r="S14" s="6" t="s">
        <v>18</v>
      </c>
      <c r="T14" s="35"/>
      <c r="U14" s="36">
        <f t="shared" si="8"/>
        <v>-4.7784391799678456</v>
      </c>
      <c r="V14" s="36">
        <f t="shared" si="9"/>
        <v>-7.7972514940759616</v>
      </c>
      <c r="W14" s="36">
        <f t="shared" si="10"/>
        <v>7.7015369500866737E-2</v>
      </c>
    </row>
    <row r="15" spans="1:23" x14ac:dyDescent="0.2">
      <c r="A15" s="41" t="s">
        <v>23</v>
      </c>
      <c r="B15" s="21" t="s">
        <v>9</v>
      </c>
      <c r="C15" s="10">
        <v>497971.6</v>
      </c>
      <c r="D15" s="11"/>
      <c r="E15" s="11"/>
      <c r="F15" s="12"/>
      <c r="G15" s="11">
        <v>5</v>
      </c>
      <c r="H15" s="11"/>
      <c r="I15" s="11"/>
      <c r="J15" s="11"/>
      <c r="K15" s="13">
        <f>0.602175878</f>
        <v>0.60217587800000005</v>
      </c>
      <c r="L15" s="14"/>
      <c r="M15" s="14"/>
      <c r="N15" s="38">
        <f>((1-N16/K16)+(1-N17/K17)+(1-N18/K18)+(1-N19/K19))/4</f>
        <v>0.25717420550678394</v>
      </c>
      <c r="R15" s="41" t="s">
        <v>23</v>
      </c>
      <c r="S15" s="21" t="s">
        <v>9</v>
      </c>
      <c r="T15" s="13">
        <f>0.602175878</f>
        <v>0.60217587800000005</v>
      </c>
      <c r="U15" s="14">
        <f>AVERAGE(U16:U19)</f>
        <v>-1.159726995906003</v>
      </c>
      <c r="V15" s="14">
        <f t="shared" ref="V15" si="11">AVERAGE(V16:V19)</f>
        <v>-4.1358840713974931</v>
      </c>
      <c r="W15" s="14">
        <f t="shared" ref="W15" si="12">AVERAGE(W16:W19)</f>
        <v>0.25717420550678394</v>
      </c>
    </row>
    <row r="16" spans="1:23" x14ac:dyDescent="0.2">
      <c r="A16" s="42"/>
      <c r="B16" s="7" t="s">
        <v>26</v>
      </c>
      <c r="C16" s="29">
        <f>C15</f>
        <v>497971.6</v>
      </c>
      <c r="D16" s="9">
        <f>497131.5</f>
        <v>497131.5</v>
      </c>
      <c r="E16" s="9">
        <f>498324.3</f>
        <v>498324.3</v>
      </c>
      <c r="F16" s="30">
        <f>498342.6</f>
        <v>498342.6</v>
      </c>
      <c r="G16" s="29">
        <f>G15</f>
        <v>5</v>
      </c>
      <c r="H16" s="9">
        <v>10</v>
      </c>
      <c r="I16" s="9">
        <v>15</v>
      </c>
      <c r="J16" s="30">
        <v>6</v>
      </c>
      <c r="K16" s="35">
        <f>K15</f>
        <v>0.60217587800000005</v>
      </c>
      <c r="L16" s="36">
        <v>0.81477699999999997</v>
      </c>
      <c r="M16" s="36">
        <f>2.239477</f>
        <v>2.2394769999999999</v>
      </c>
      <c r="N16" s="37">
        <f>0.4490597</f>
        <v>0.44905970000000001</v>
      </c>
      <c r="R16" s="42"/>
      <c r="S16" s="7" t="s">
        <v>26</v>
      </c>
      <c r="T16" s="35"/>
      <c r="U16" s="36">
        <f>1-L16/$K$15</f>
        <v>-0.35305486281866627</v>
      </c>
      <c r="V16" s="36">
        <f t="shared" ref="V16:W16" si="13">1-M16/$K$15</f>
        <v>-2.7189749404076924</v>
      </c>
      <c r="W16" s="36">
        <f t="shared" si="13"/>
        <v>0.2542715236427987</v>
      </c>
    </row>
    <row r="17" spans="1:23" x14ac:dyDescent="0.2">
      <c r="A17" s="42"/>
      <c r="B17" s="7" t="s">
        <v>19</v>
      </c>
      <c r="C17" s="29">
        <f>C15</f>
        <v>497971.6</v>
      </c>
      <c r="D17" s="9">
        <v>495367.6</v>
      </c>
      <c r="E17" s="9">
        <v>500795.5</v>
      </c>
      <c r="F17" s="30">
        <v>497170</v>
      </c>
      <c r="G17" s="29">
        <f>G15</f>
        <v>5</v>
      </c>
      <c r="H17" s="9">
        <v>12</v>
      </c>
      <c r="I17" s="9">
        <v>16</v>
      </c>
      <c r="J17" s="30">
        <v>13</v>
      </c>
      <c r="K17" s="35">
        <f>K15</f>
        <v>0.60217587800000005</v>
      </c>
      <c r="L17" s="36">
        <f>1.22921</f>
        <v>1.2292099999999999</v>
      </c>
      <c r="M17" s="36">
        <f>3.084743</f>
        <v>3.084743</v>
      </c>
      <c r="N17" s="37">
        <f>0.3887858</f>
        <v>0.38878580000000001</v>
      </c>
      <c r="R17" s="42"/>
      <c r="S17" s="7" t="s">
        <v>19</v>
      </c>
      <c r="T17" s="35"/>
      <c r="U17" s="36">
        <f t="shared" ref="U17:U19" si="14">1-L17/$K$15</f>
        <v>-1.0412807037082938</v>
      </c>
      <c r="V17" s="36">
        <f t="shared" ref="V17:V19" si="15">1-M17/$K$15</f>
        <v>-4.1226611903574124</v>
      </c>
      <c r="W17" s="36">
        <f t="shared" ref="W17:W19" si="16">1-N17/$K$15</f>
        <v>0.35436503818241627</v>
      </c>
    </row>
    <row r="18" spans="1:23" x14ac:dyDescent="0.2">
      <c r="A18" s="42"/>
      <c r="B18" s="7" t="s">
        <v>20</v>
      </c>
      <c r="C18" s="29">
        <f>C15</f>
        <v>497971.6</v>
      </c>
      <c r="D18" s="9">
        <v>495445.9</v>
      </c>
      <c r="E18" s="9">
        <v>501330.2</v>
      </c>
      <c r="F18" s="30">
        <v>496966.8</v>
      </c>
      <c r="G18" s="29">
        <f>G15</f>
        <v>5</v>
      </c>
      <c r="H18" s="9">
        <v>16</v>
      </c>
      <c r="I18" s="9">
        <v>21</v>
      </c>
      <c r="J18" s="30">
        <v>6</v>
      </c>
      <c r="K18" s="35">
        <f>K15</f>
        <v>0.60217587800000005</v>
      </c>
      <c r="L18" s="36">
        <f>1.438591</f>
        <v>1.438591</v>
      </c>
      <c r="M18" s="36">
        <f>3.389335</f>
        <v>3.389335</v>
      </c>
      <c r="N18" s="37">
        <f>0.4643357</f>
        <v>0.46433570000000002</v>
      </c>
      <c r="R18" s="42"/>
      <c r="S18" s="7" t="s">
        <v>20</v>
      </c>
      <c r="T18" s="35"/>
      <c r="U18" s="36">
        <f t="shared" si="14"/>
        <v>-1.3889880889582891</v>
      </c>
      <c r="V18" s="36">
        <f t="shared" si="15"/>
        <v>-4.6284801896365559</v>
      </c>
      <c r="W18" s="36">
        <f t="shared" si="16"/>
        <v>0.22890351977865186</v>
      </c>
    </row>
    <row r="19" spans="1:23" ht="17" thickBot="1" x14ac:dyDescent="0.25">
      <c r="A19" s="43"/>
      <c r="B19" s="6" t="s">
        <v>21</v>
      </c>
      <c r="C19" s="29">
        <f>C15</f>
        <v>497971.6</v>
      </c>
      <c r="D19" s="9">
        <v>495999.7</v>
      </c>
      <c r="E19" s="9">
        <v>501334.1</v>
      </c>
      <c r="F19" s="30">
        <v>497021</v>
      </c>
      <c r="G19" s="29">
        <f>G15</f>
        <v>5</v>
      </c>
      <c r="H19" s="9">
        <v>21</v>
      </c>
      <c r="I19" s="9">
        <v>22</v>
      </c>
      <c r="J19" s="30">
        <v>11</v>
      </c>
      <c r="K19" s="35">
        <f>K15</f>
        <v>0.60217587800000005</v>
      </c>
      <c r="L19" s="36">
        <f>1.719564</f>
        <v>1.7195640000000001</v>
      </c>
      <c r="M19" s="36">
        <f>3.657267</f>
        <v>3.657267</v>
      </c>
      <c r="N19" s="37">
        <f>0.4870659</f>
        <v>0.4870659</v>
      </c>
      <c r="R19" s="43"/>
      <c r="S19" s="6" t="s">
        <v>21</v>
      </c>
      <c r="T19" s="35"/>
      <c r="U19" s="36">
        <f t="shared" si="14"/>
        <v>-1.8555843281387632</v>
      </c>
      <c r="V19" s="36">
        <f t="shared" si="15"/>
        <v>-5.0734199651883092</v>
      </c>
      <c r="W19" s="36">
        <f t="shared" si="16"/>
        <v>0.19115674042326891</v>
      </c>
    </row>
  </sheetData>
  <mergeCells count="12">
    <mergeCell ref="A10:A14"/>
    <mergeCell ref="A15:A19"/>
    <mergeCell ref="R10:R14"/>
    <mergeCell ref="R15:R19"/>
    <mergeCell ref="T1:W1"/>
    <mergeCell ref="R3:R4"/>
    <mergeCell ref="R5:R9"/>
    <mergeCell ref="C1:F1"/>
    <mergeCell ref="G1:J1"/>
    <mergeCell ref="K1:N1"/>
    <mergeCell ref="A3:A4"/>
    <mergeCell ref="A5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A68C-A4F8-DB49-AB28-48401E49C564}">
  <dimension ref="A1:V19"/>
  <sheetViews>
    <sheetView zoomScale="119" zoomScaleNormal="110" workbookViewId="0">
      <selection activeCell="I10" sqref="I10"/>
    </sheetView>
  </sheetViews>
  <sheetFormatPr baseColWidth="10" defaultRowHeight="16" x14ac:dyDescent="0.2"/>
  <cols>
    <col min="1" max="1" width="13" bestFit="1" customWidth="1"/>
    <col min="2" max="2" width="20.1640625" bestFit="1" customWidth="1"/>
    <col min="8" max="12" width="10.83203125" customWidth="1"/>
  </cols>
  <sheetData>
    <row r="1" spans="1:22" ht="51" thickBot="1" x14ac:dyDescent="0.25">
      <c r="B1" s="4" t="s">
        <v>0</v>
      </c>
      <c r="C1" s="44" t="s">
        <v>1</v>
      </c>
      <c r="D1" s="45"/>
      <c r="E1" s="45"/>
      <c r="F1" s="46"/>
      <c r="G1" s="47" t="s">
        <v>2</v>
      </c>
      <c r="H1" s="48"/>
      <c r="I1" s="48"/>
      <c r="J1" s="49"/>
      <c r="K1" s="44" t="s">
        <v>3</v>
      </c>
      <c r="L1" s="45"/>
      <c r="M1" s="45"/>
      <c r="N1" s="46"/>
      <c r="R1" s="4" t="s">
        <v>0</v>
      </c>
      <c r="S1" s="44" t="s">
        <v>3</v>
      </c>
      <c r="T1" s="45"/>
      <c r="U1" s="45"/>
      <c r="V1" s="46"/>
    </row>
    <row r="2" spans="1:22" ht="25" thickBot="1" x14ac:dyDescent="0.25">
      <c r="B2" s="5"/>
      <c r="C2" s="1" t="s">
        <v>25</v>
      </c>
      <c r="D2" s="1" t="s">
        <v>11</v>
      </c>
      <c r="E2" s="1" t="s">
        <v>12</v>
      </c>
      <c r="F2" s="3" t="s">
        <v>10</v>
      </c>
      <c r="G2" s="1" t="s">
        <v>25</v>
      </c>
      <c r="H2" s="1" t="s">
        <v>11</v>
      </c>
      <c r="I2" s="1" t="s">
        <v>12</v>
      </c>
      <c r="J2" s="1" t="s">
        <v>10</v>
      </c>
      <c r="K2" s="2" t="s">
        <v>25</v>
      </c>
      <c r="L2" s="1" t="s">
        <v>11</v>
      </c>
      <c r="M2" s="1" t="s">
        <v>12</v>
      </c>
      <c r="N2" s="3" t="s">
        <v>10</v>
      </c>
      <c r="R2" s="5"/>
      <c r="S2" s="2" t="s">
        <v>25</v>
      </c>
      <c r="T2" s="1" t="s">
        <v>11</v>
      </c>
      <c r="U2" s="1" t="s">
        <v>12</v>
      </c>
      <c r="V2" s="3" t="s">
        <v>10</v>
      </c>
    </row>
    <row r="3" spans="1:22" x14ac:dyDescent="0.2">
      <c r="A3" s="41" t="s">
        <v>24</v>
      </c>
      <c r="B3" s="21" t="s">
        <v>4</v>
      </c>
      <c r="C3" s="10"/>
      <c r="D3" s="11"/>
      <c r="E3" s="11"/>
      <c r="F3" s="12"/>
      <c r="G3" s="11"/>
      <c r="H3" s="11"/>
      <c r="I3" s="11"/>
      <c r="J3" s="11"/>
      <c r="K3" s="13"/>
      <c r="L3" s="14"/>
      <c r="M3" s="14"/>
      <c r="N3" s="15"/>
      <c r="Q3" s="41" t="s">
        <v>24</v>
      </c>
      <c r="R3" s="21" t="s">
        <v>4</v>
      </c>
      <c r="S3" s="13"/>
      <c r="T3" s="14"/>
      <c r="U3" s="14"/>
      <c r="V3" s="15"/>
    </row>
    <row r="4" spans="1:22" ht="17" thickBot="1" x14ac:dyDescent="0.25">
      <c r="A4" s="43"/>
      <c r="B4" s="22" t="s">
        <v>5</v>
      </c>
      <c r="C4" s="16">
        <f>223478.8</f>
        <v>223478.8</v>
      </c>
      <c r="D4" s="17"/>
      <c r="E4" s="17"/>
      <c r="F4" s="18"/>
      <c r="G4" s="17">
        <v>0</v>
      </c>
      <c r="H4" s="17"/>
      <c r="I4" s="17"/>
      <c r="J4" s="17"/>
      <c r="K4" s="23">
        <v>0</v>
      </c>
      <c r="L4" s="19"/>
      <c r="M4" s="19"/>
      <c r="N4" s="20"/>
      <c r="Q4" s="43"/>
      <c r="R4" s="22" t="s">
        <v>5</v>
      </c>
      <c r="S4" s="23">
        <v>0</v>
      </c>
      <c r="T4" s="19"/>
      <c r="U4" s="19"/>
      <c r="V4" s="20"/>
    </row>
    <row r="5" spans="1:22" x14ac:dyDescent="0.2">
      <c r="A5" s="41" t="s">
        <v>6</v>
      </c>
      <c r="B5" s="21" t="s">
        <v>7</v>
      </c>
      <c r="C5" s="10">
        <f>226804.1</f>
        <v>226804.1</v>
      </c>
      <c r="D5" s="11"/>
      <c r="E5" s="11"/>
      <c r="F5" s="12"/>
      <c r="G5" s="11">
        <v>5</v>
      </c>
      <c r="H5" s="11"/>
      <c r="I5" s="11"/>
      <c r="J5" s="11"/>
      <c r="K5" s="13">
        <f>1.1862241</f>
        <v>1.1862241</v>
      </c>
      <c r="L5" s="14"/>
      <c r="M5" s="14"/>
      <c r="N5" s="38">
        <f>((1-N6/K6)+(1-N7/K7)+(1-N8/K8)+(1-N9/K9))/4</f>
        <v>-1.2524498111275939</v>
      </c>
      <c r="Q5" s="41" t="s">
        <v>6</v>
      </c>
      <c r="R5" s="21" t="s">
        <v>7</v>
      </c>
      <c r="S5" s="13">
        <v>1.1862241</v>
      </c>
      <c r="T5" s="14">
        <f>AVERAGE(T6:T9)</f>
        <v>-0.41027757739873943</v>
      </c>
      <c r="U5" s="14">
        <f t="shared" ref="U5:V5" si="0">AVERAGE(U6:U9)</f>
        <v>-5.5203560608825937</v>
      </c>
      <c r="V5" s="14">
        <f t="shared" si="0"/>
        <v>-1.2524498111275939</v>
      </c>
    </row>
    <row r="6" spans="1:22" x14ac:dyDescent="0.2">
      <c r="A6" s="42"/>
      <c r="B6" s="7" t="s">
        <v>26</v>
      </c>
      <c r="C6" s="29">
        <f>C5</f>
        <v>226804.1</v>
      </c>
      <c r="D6" s="9">
        <f>226502</f>
        <v>226502</v>
      </c>
      <c r="E6" s="9">
        <f>233140.1</f>
        <v>233140.1</v>
      </c>
      <c r="F6" s="30">
        <f>234660.5</f>
        <v>234660.5</v>
      </c>
      <c r="G6" s="29">
        <f>G5</f>
        <v>5</v>
      </c>
      <c r="H6" s="9">
        <v>6</v>
      </c>
      <c r="I6" s="9">
        <v>8</v>
      </c>
      <c r="J6" s="30">
        <v>10</v>
      </c>
      <c r="K6" s="31">
        <f>K5</f>
        <v>1.1862241</v>
      </c>
      <c r="L6" s="32">
        <f>1.395954</f>
        <v>1.3959539999999999</v>
      </c>
      <c r="M6" s="32">
        <f>4.092945</f>
        <v>4.0929450000000003</v>
      </c>
      <c r="N6" s="33">
        <f>1.389019</f>
        <v>1.389019</v>
      </c>
      <c r="Q6" s="42"/>
      <c r="R6" s="7" t="s">
        <v>26</v>
      </c>
      <c r="S6" s="31"/>
      <c r="T6" s="32">
        <f>1-L6/$K$5</f>
        <v>-0.17680461895859301</v>
      </c>
      <c r="U6" s="32">
        <f t="shared" ref="U6:V6" si="1">1-M6/$K$5</f>
        <v>-2.4503977789694211</v>
      </c>
      <c r="V6" s="32">
        <f t="shared" si="1"/>
        <v>-0.17095833746760003</v>
      </c>
    </row>
    <row r="7" spans="1:22" x14ac:dyDescent="0.2">
      <c r="A7" s="42"/>
      <c r="B7" s="7" t="s">
        <v>13</v>
      </c>
      <c r="C7" s="29">
        <f>C5</f>
        <v>226804.1</v>
      </c>
      <c r="D7" s="9">
        <f>230061.5</f>
        <v>230061.5</v>
      </c>
      <c r="E7" s="9">
        <f>252145.7</f>
        <v>252145.7</v>
      </c>
      <c r="F7" s="30">
        <f>240358</f>
        <v>240358</v>
      </c>
      <c r="G7" s="29">
        <f>G5</f>
        <v>5</v>
      </c>
      <c r="H7" s="9">
        <v>9</v>
      </c>
      <c r="I7" s="9">
        <v>9</v>
      </c>
      <c r="J7" s="30">
        <v>11</v>
      </c>
      <c r="K7" s="31">
        <f>K5</f>
        <v>1.1862241</v>
      </c>
      <c r="L7" s="32">
        <f>1.630622</f>
        <v>1.630622</v>
      </c>
      <c r="M7" s="32">
        <f>7.931887</f>
        <v>7.9318869999999997</v>
      </c>
      <c r="N7" s="33">
        <f>2.227635</f>
        <v>2.2276349999999998</v>
      </c>
      <c r="Q7" s="42"/>
      <c r="R7" s="7" t="s">
        <v>13</v>
      </c>
      <c r="S7" s="31"/>
      <c r="T7" s="32">
        <f t="shared" ref="T7:T9" si="2">1-L7/$K$5</f>
        <v>-0.37463233127703277</v>
      </c>
      <c r="U7" s="32">
        <f t="shared" ref="U7:U9" si="3">1-M7/$K$5</f>
        <v>-5.6866682273610865</v>
      </c>
      <c r="V7" s="32">
        <f t="shared" ref="V7:V9" si="4">1-N7/$K$5</f>
        <v>-0.87792087515335404</v>
      </c>
    </row>
    <row r="8" spans="1:22" x14ac:dyDescent="0.2">
      <c r="A8" s="42"/>
      <c r="B8" s="7" t="s">
        <v>14</v>
      </c>
      <c r="C8" s="29">
        <f>C5</f>
        <v>226804.1</v>
      </c>
      <c r="D8" s="9">
        <f>230066.3</f>
        <v>230066.3</v>
      </c>
      <c r="E8" s="9">
        <f>276178.8</f>
        <v>276178.8</v>
      </c>
      <c r="F8" s="30">
        <f>235331.2</f>
        <v>235331.20000000001</v>
      </c>
      <c r="G8" s="29">
        <f>G5</f>
        <v>5</v>
      </c>
      <c r="H8" s="9">
        <v>9</v>
      </c>
      <c r="I8" s="9">
        <v>10</v>
      </c>
      <c r="J8" s="30">
        <v>11</v>
      </c>
      <c r="K8" s="31">
        <f>K5</f>
        <v>1.1862241</v>
      </c>
      <c r="L8" s="32">
        <f>1.731325</f>
        <v>1.731325</v>
      </c>
      <c r="M8" s="32">
        <f>9.291088</f>
        <v>9.2910880000000002</v>
      </c>
      <c r="N8" s="33">
        <f>2.903782</f>
        <v>2.9037820000000001</v>
      </c>
      <c r="Q8" s="42"/>
      <c r="R8" s="7" t="s">
        <v>14</v>
      </c>
      <c r="S8" s="31"/>
      <c r="T8" s="32">
        <f t="shared" si="2"/>
        <v>-0.4595260710012552</v>
      </c>
      <c r="U8" s="32">
        <f t="shared" si="3"/>
        <v>-6.8324896619449902</v>
      </c>
      <c r="V8" s="32">
        <f t="shared" si="4"/>
        <v>-1.4479202538542255</v>
      </c>
    </row>
    <row r="9" spans="1:22" ht="17" thickBot="1" x14ac:dyDescent="0.25">
      <c r="A9" s="43"/>
      <c r="B9" s="8" t="s">
        <v>15</v>
      </c>
      <c r="C9" s="29">
        <f>C5</f>
        <v>226804.1</v>
      </c>
      <c r="D9" s="9">
        <f>230071.5</f>
        <v>230071.5</v>
      </c>
      <c r="E9" s="9">
        <f>281999</f>
        <v>281999</v>
      </c>
      <c r="F9" s="30">
        <f>235918.6</f>
        <v>235918.6</v>
      </c>
      <c r="G9" s="29">
        <f>G5</f>
        <v>5</v>
      </c>
      <c r="H9" s="9">
        <v>9</v>
      </c>
      <c r="I9" s="9">
        <v>8</v>
      </c>
      <c r="J9" s="30">
        <v>11</v>
      </c>
      <c r="K9" s="31">
        <f>K5</f>
        <v>1.1862241</v>
      </c>
      <c r="L9" s="32">
        <f>1.93372</f>
        <v>1.9337200000000001</v>
      </c>
      <c r="M9" s="32">
        <f>9.622494</f>
        <v>9.6224939999999997</v>
      </c>
      <c r="N9" s="33">
        <f>4.167205</f>
        <v>4.167205</v>
      </c>
      <c r="Q9" s="43"/>
      <c r="R9" s="8" t="s">
        <v>15</v>
      </c>
      <c r="S9" s="31"/>
      <c r="T9" s="32">
        <f t="shared" si="2"/>
        <v>-0.63014728835807676</v>
      </c>
      <c r="U9" s="32">
        <f t="shared" si="3"/>
        <v>-7.1118685752548778</v>
      </c>
      <c r="V9" s="32">
        <f t="shared" si="4"/>
        <v>-2.512999778035196</v>
      </c>
    </row>
    <row r="10" spans="1:22" x14ac:dyDescent="0.2">
      <c r="A10" s="41" t="s">
        <v>22</v>
      </c>
      <c r="B10" s="21" t="s">
        <v>8</v>
      </c>
      <c r="C10" s="10">
        <f>223467.3</f>
        <v>223467.3</v>
      </c>
      <c r="D10" s="11"/>
      <c r="E10" s="11"/>
      <c r="F10" s="12"/>
      <c r="G10" s="11">
        <v>2</v>
      </c>
      <c r="H10" s="11"/>
      <c r="I10" s="11"/>
      <c r="J10" s="11"/>
      <c r="K10" s="13">
        <f>0.7901995</f>
        <v>0.79019950000000005</v>
      </c>
      <c r="L10" s="14"/>
      <c r="M10" s="14"/>
      <c r="N10" s="38">
        <f>((1-N11/K11)+(1-N12/K12)+(1-N13/K13)+(1-N14/K14))/4</f>
        <v>0.7665455369182087</v>
      </c>
      <c r="Q10" s="41" t="s">
        <v>22</v>
      </c>
      <c r="R10" s="21" t="s">
        <v>8</v>
      </c>
      <c r="S10" s="13">
        <v>0.79019950000000005</v>
      </c>
      <c r="T10" s="14">
        <f>AVERAGE(T11:T14)</f>
        <v>-0.39775309905916162</v>
      </c>
      <c r="U10" s="14">
        <f t="shared" ref="U10" si="5">AVERAGE(U11:U14)</f>
        <v>-7.6685751509587128</v>
      </c>
      <c r="V10" s="14">
        <f t="shared" ref="V10" si="6">AVERAGE(V11:V14)</f>
        <v>0.7665455369182087</v>
      </c>
    </row>
    <row r="11" spans="1:22" x14ac:dyDescent="0.2">
      <c r="A11" s="42"/>
      <c r="B11" s="7" t="s">
        <v>26</v>
      </c>
      <c r="C11" s="29">
        <f>C10</f>
        <v>223467.3</v>
      </c>
      <c r="D11" s="9">
        <f>223494.9</f>
        <v>223494.9</v>
      </c>
      <c r="E11" s="9">
        <f>229249.5</f>
        <v>229249.5</v>
      </c>
      <c r="F11" s="30">
        <f>223474.4</f>
        <v>223474.4</v>
      </c>
      <c r="G11" s="29">
        <f>G10</f>
        <v>2</v>
      </c>
      <c r="H11" s="9">
        <v>5</v>
      </c>
      <c r="I11" s="9">
        <v>10</v>
      </c>
      <c r="J11" s="30">
        <v>1</v>
      </c>
      <c r="K11" s="31">
        <f>K10</f>
        <v>0.79019950000000005</v>
      </c>
      <c r="L11" s="32">
        <f>0.8946382</f>
        <v>0.89463820000000005</v>
      </c>
      <c r="M11" s="32">
        <f>5.775668</f>
        <v>5.7756679999999996</v>
      </c>
      <c r="N11" s="33">
        <f>0.2517844</f>
        <v>0.25178440000000002</v>
      </c>
      <c r="Q11" s="42"/>
      <c r="R11" s="7" t="s">
        <v>37</v>
      </c>
      <c r="S11" s="31"/>
      <c r="T11" s="32">
        <f>1-L11/$K$10</f>
        <v>-0.13216750959725987</v>
      </c>
      <c r="U11" s="32">
        <f t="shared" ref="U11:V11" si="7">1-M11/$K$10</f>
        <v>-6.3091263661898029</v>
      </c>
      <c r="V11" s="32">
        <f t="shared" si="7"/>
        <v>0.6813660347798246</v>
      </c>
    </row>
    <row r="12" spans="1:22" x14ac:dyDescent="0.2">
      <c r="A12" s="42"/>
      <c r="B12" s="7" t="s">
        <v>16</v>
      </c>
      <c r="C12" s="29">
        <f>C10</f>
        <v>223467.3</v>
      </c>
      <c r="D12" s="9">
        <f>223486.5</f>
        <v>223486.5</v>
      </c>
      <c r="E12" s="9">
        <f>234299</f>
        <v>234299</v>
      </c>
      <c r="F12" s="30">
        <f>223480.3</f>
        <v>223480.3</v>
      </c>
      <c r="G12" s="29">
        <f>G10</f>
        <v>2</v>
      </c>
      <c r="H12" s="9">
        <v>4</v>
      </c>
      <c r="I12" s="9">
        <v>11</v>
      </c>
      <c r="J12" s="30">
        <v>1</v>
      </c>
      <c r="K12" s="31">
        <f>K10</f>
        <v>0.79019950000000005</v>
      </c>
      <c r="L12" s="32">
        <f>1.0379807</f>
        <v>1.0379807000000001</v>
      </c>
      <c r="M12" s="32">
        <f>7.347052</f>
        <v>7.3470519999999997</v>
      </c>
      <c r="N12" s="33">
        <f>0.143948</f>
        <v>0.14394799999999999</v>
      </c>
      <c r="Q12" s="42"/>
      <c r="R12" s="7" t="s">
        <v>16</v>
      </c>
      <c r="S12" s="31"/>
      <c r="T12" s="32">
        <f t="shared" ref="T12:T14" si="8">1-L12/$K$10</f>
        <v>-0.31356790278910585</v>
      </c>
      <c r="U12" s="32">
        <f t="shared" ref="U12:U14" si="9">1-M12/$K$10</f>
        <v>-8.2977178547948949</v>
      </c>
      <c r="V12" s="32">
        <f t="shared" ref="V12:V14" si="10">1-N12/$K$10</f>
        <v>0.81783334461740353</v>
      </c>
    </row>
    <row r="13" spans="1:22" x14ac:dyDescent="0.2">
      <c r="A13" s="42"/>
      <c r="B13" s="7" t="s">
        <v>17</v>
      </c>
      <c r="C13" s="29">
        <f>C10</f>
        <v>223467.3</v>
      </c>
      <c r="D13" s="9">
        <f>225038.1</f>
        <v>225038.1</v>
      </c>
      <c r="E13" s="9">
        <f>237470</f>
        <v>237470</v>
      </c>
      <c r="F13" s="30">
        <f>223525.7</f>
        <v>223525.7</v>
      </c>
      <c r="G13" s="29">
        <f>G10</f>
        <v>2</v>
      </c>
      <c r="H13" s="9">
        <v>6</v>
      </c>
      <c r="I13" s="9">
        <v>13</v>
      </c>
      <c r="J13" s="30">
        <v>5</v>
      </c>
      <c r="K13" s="31">
        <f>K10</f>
        <v>0.79019950000000005</v>
      </c>
      <c r="L13" s="32">
        <f>1.1638774</f>
        <v>1.1638774000000001</v>
      </c>
      <c r="M13" s="32">
        <f>7.21282</f>
        <v>7.2128199999999998</v>
      </c>
      <c r="N13" s="33">
        <f>0.1828182</f>
        <v>0.18281819999999999</v>
      </c>
      <c r="Q13" s="42"/>
      <c r="R13" s="7" t="s">
        <v>17</v>
      </c>
      <c r="S13" s="31"/>
      <c r="T13" s="32">
        <f t="shared" si="8"/>
        <v>-0.47289058016361696</v>
      </c>
      <c r="U13" s="32">
        <f t="shared" si="9"/>
        <v>-8.1278468285540537</v>
      </c>
      <c r="V13" s="32">
        <f t="shared" si="10"/>
        <v>0.7686429819305125</v>
      </c>
    </row>
    <row r="14" spans="1:22" ht="17" thickBot="1" x14ac:dyDescent="0.25">
      <c r="A14" s="43"/>
      <c r="B14" s="6" t="s">
        <v>18</v>
      </c>
      <c r="C14" s="29">
        <f>C10</f>
        <v>223467.3</v>
      </c>
      <c r="D14" s="9">
        <f>226846.1</f>
        <v>226846.1</v>
      </c>
      <c r="E14" s="9">
        <f>237555.9</f>
        <v>237555.9</v>
      </c>
      <c r="F14" s="30">
        <f>223531.8</f>
        <v>223531.8</v>
      </c>
      <c r="G14" s="29">
        <f>G10</f>
        <v>2</v>
      </c>
      <c r="H14" s="9">
        <v>11</v>
      </c>
      <c r="I14" s="9">
        <v>13</v>
      </c>
      <c r="J14" s="30">
        <v>5</v>
      </c>
      <c r="K14" s="31">
        <f>K10</f>
        <v>0.79019950000000005</v>
      </c>
      <c r="L14" s="32">
        <f>1.3215189</f>
        <v>1.3215189000000001</v>
      </c>
      <c r="M14" s="32">
        <f>7.064075</f>
        <v>7.0640749999999999</v>
      </c>
      <c r="N14" s="33">
        <f>0.1593518</f>
        <v>0.15935179999999999</v>
      </c>
      <c r="Q14" s="43"/>
      <c r="R14" s="6" t="s">
        <v>18</v>
      </c>
      <c r="S14" s="31"/>
      <c r="T14" s="32">
        <f t="shared" si="8"/>
        <v>-0.6723864036866638</v>
      </c>
      <c r="U14" s="32">
        <f t="shared" si="9"/>
        <v>-7.9396095542960978</v>
      </c>
      <c r="V14" s="32">
        <f t="shared" si="10"/>
        <v>0.79833978634509384</v>
      </c>
    </row>
    <row r="15" spans="1:22" x14ac:dyDescent="0.2">
      <c r="A15" s="41" t="s">
        <v>23</v>
      </c>
      <c r="B15" s="21" t="s">
        <v>9</v>
      </c>
      <c r="C15" s="10">
        <f>223471</f>
        <v>223471</v>
      </c>
      <c r="D15" s="11"/>
      <c r="E15" s="11"/>
      <c r="F15" s="12"/>
      <c r="G15" s="11">
        <v>1</v>
      </c>
      <c r="H15" s="11"/>
      <c r="I15" s="11"/>
      <c r="J15" s="11"/>
      <c r="K15" s="13">
        <f>0.7569105</f>
        <v>0.75691050000000004</v>
      </c>
      <c r="L15" s="14"/>
      <c r="M15" s="14"/>
      <c r="N15" s="38">
        <f>((1-N16/K16)+(1-N17/K17)+(1-N18/K18)+(1-N19/K19))/4</f>
        <v>0.70515787533664809</v>
      </c>
      <c r="Q15" s="41" t="s">
        <v>23</v>
      </c>
      <c r="R15" s="21" t="s">
        <v>9</v>
      </c>
      <c r="S15" s="13">
        <v>0.75691050000000004</v>
      </c>
      <c r="T15" s="14">
        <f>AVERAGE(T16:T19)</f>
        <v>-0.25672691817592685</v>
      </c>
      <c r="U15" s="14">
        <f t="shared" ref="U15" si="11">AVERAGE(U16:U19)</f>
        <v>-2.8027616871479522</v>
      </c>
      <c r="V15" s="14">
        <f t="shared" ref="V15" si="12">AVERAGE(V16:V19)</f>
        <v>0.70515787533664809</v>
      </c>
    </row>
    <row r="16" spans="1:22" x14ac:dyDescent="0.2">
      <c r="A16" s="42"/>
      <c r="B16" s="7" t="s">
        <v>26</v>
      </c>
      <c r="C16" s="29">
        <f>C15</f>
        <v>223471</v>
      </c>
      <c r="D16" s="9">
        <f>223495.8</f>
        <v>223495.8</v>
      </c>
      <c r="E16" s="9">
        <f>226768.6</f>
        <v>226768.6</v>
      </c>
      <c r="F16" s="30">
        <f>223487.4</f>
        <v>223487.4</v>
      </c>
      <c r="G16" s="29">
        <f>G15</f>
        <v>1</v>
      </c>
      <c r="H16" s="9">
        <v>2</v>
      </c>
      <c r="I16" s="9">
        <v>14</v>
      </c>
      <c r="J16" s="30">
        <v>3</v>
      </c>
      <c r="K16" s="31">
        <f>K15</f>
        <v>0.75691050000000004</v>
      </c>
      <c r="L16" s="32">
        <f>0.8277378</f>
        <v>0.82773779999999997</v>
      </c>
      <c r="M16" s="32">
        <f>2.536753</f>
        <v>2.536753</v>
      </c>
      <c r="N16" s="33">
        <f>0.2432404</f>
        <v>0.2432404</v>
      </c>
      <c r="Q16" s="42"/>
      <c r="R16" s="7" t="s">
        <v>38</v>
      </c>
      <c r="S16" s="31"/>
      <c r="T16" s="32">
        <f>1-L16/$K$15</f>
        <v>-9.3574207254358166E-2</v>
      </c>
      <c r="U16" s="32">
        <f t="shared" ref="U16:V16" si="13">1-M16/$K$15</f>
        <v>-2.3514570084574067</v>
      </c>
      <c r="V16" s="32">
        <f t="shared" si="13"/>
        <v>0.67864047334526345</v>
      </c>
    </row>
    <row r="17" spans="1:22" x14ac:dyDescent="0.2">
      <c r="A17" s="42"/>
      <c r="B17" s="7" t="s">
        <v>19</v>
      </c>
      <c r="C17" s="29">
        <f>C15</f>
        <v>223471</v>
      </c>
      <c r="D17" s="9">
        <f>223510.8</f>
        <v>223510.8</v>
      </c>
      <c r="E17" s="9">
        <f>226595.9</f>
        <v>226595.9</v>
      </c>
      <c r="F17" s="30">
        <f>223493.9</f>
        <v>223493.9</v>
      </c>
      <c r="G17" s="29">
        <f>G15</f>
        <v>1</v>
      </c>
      <c r="H17" s="9">
        <v>3</v>
      </c>
      <c r="I17" s="9">
        <v>18</v>
      </c>
      <c r="J17" s="30">
        <v>3</v>
      </c>
      <c r="K17" s="31">
        <f>K15</f>
        <v>0.75691050000000004</v>
      </c>
      <c r="L17" s="32">
        <f>0.900519</f>
        <v>0.90051899999999996</v>
      </c>
      <c r="M17" s="32">
        <f>2.753535</f>
        <v>2.7535349999999998</v>
      </c>
      <c r="N17" s="33">
        <f>0.19038</f>
        <v>0.19037999999999999</v>
      </c>
      <c r="Q17" s="42"/>
      <c r="R17" s="7" t="s">
        <v>19</v>
      </c>
      <c r="S17" s="31"/>
      <c r="T17" s="32">
        <f t="shared" ref="T17:T19" si="14">1-L17/$K$15</f>
        <v>-0.18972982935234728</v>
      </c>
      <c r="U17" s="32">
        <f t="shared" ref="U17:U19" si="15">1-M17/$K$15</f>
        <v>-2.6378607510399177</v>
      </c>
      <c r="V17" s="32">
        <f t="shared" ref="V17:V19" si="16">1-N17/$K$15</f>
        <v>0.74847752805648748</v>
      </c>
    </row>
    <row r="18" spans="1:22" x14ac:dyDescent="0.2">
      <c r="A18" s="42"/>
      <c r="B18" s="7" t="s">
        <v>20</v>
      </c>
      <c r="C18" s="29">
        <f>C15</f>
        <v>223471</v>
      </c>
      <c r="D18" s="9">
        <f>223551.4</f>
        <v>223551.4</v>
      </c>
      <c r="E18" s="9">
        <f>226234.3</f>
        <v>226234.3</v>
      </c>
      <c r="F18" s="30">
        <f>223499.7</f>
        <v>223499.7</v>
      </c>
      <c r="G18" s="29">
        <f>G15</f>
        <v>1</v>
      </c>
      <c r="H18" s="9">
        <v>4</v>
      </c>
      <c r="I18" s="9">
        <v>16</v>
      </c>
      <c r="J18" s="30">
        <v>2</v>
      </c>
      <c r="K18" s="31">
        <f>K15</f>
        <v>0.75691050000000004</v>
      </c>
      <c r="L18" s="32">
        <f>0.9472122</f>
        <v>0.94721219999999995</v>
      </c>
      <c r="M18" s="32">
        <f>3.022254</f>
        <v>3.0222540000000002</v>
      </c>
      <c r="N18" s="33">
        <f>0.2168832</f>
        <v>0.2168832</v>
      </c>
      <c r="Q18" s="42"/>
      <c r="R18" s="7" t="s">
        <v>20</v>
      </c>
      <c r="S18" s="31"/>
      <c r="T18" s="32">
        <f t="shared" si="14"/>
        <v>-0.25141902510270353</v>
      </c>
      <c r="U18" s="32">
        <f t="shared" si="15"/>
        <v>-2.9928815890385985</v>
      </c>
      <c r="V18" s="32">
        <f t="shared" si="16"/>
        <v>0.71346255600893371</v>
      </c>
    </row>
    <row r="19" spans="1:22" ht="17" thickBot="1" x14ac:dyDescent="0.25">
      <c r="A19" s="43"/>
      <c r="B19" s="6" t="s">
        <v>21</v>
      </c>
      <c r="C19" s="29">
        <f>C15</f>
        <v>223471</v>
      </c>
      <c r="D19" s="9">
        <f>223578.7</f>
        <v>223578.7</v>
      </c>
      <c r="E19" s="9">
        <f>226331.2</f>
        <v>226331.2</v>
      </c>
      <c r="F19" s="30">
        <f>223505.9</f>
        <v>223505.9</v>
      </c>
      <c r="G19" s="29">
        <f>G15</f>
        <v>1</v>
      </c>
      <c r="H19" s="9">
        <v>8</v>
      </c>
      <c r="I19" s="9">
        <v>17</v>
      </c>
      <c r="J19" s="30">
        <v>2</v>
      </c>
      <c r="K19" s="31">
        <f>K15</f>
        <v>0.75691050000000004</v>
      </c>
      <c r="L19" s="32">
        <f>1.1294502</f>
        <v>1.1294502</v>
      </c>
      <c r="M19" s="32">
        <f>3.200859</f>
        <v>3.2008589999999999</v>
      </c>
      <c r="N19" s="33">
        <f>0.2421728</f>
        <v>0.24217279999999999</v>
      </c>
      <c r="Q19" s="43"/>
      <c r="R19" s="6" t="s">
        <v>21</v>
      </c>
      <c r="S19" s="31"/>
      <c r="T19" s="32">
        <f t="shared" si="14"/>
        <v>-0.49218461099429844</v>
      </c>
      <c r="U19" s="32">
        <f t="shared" si="15"/>
        <v>-3.2288474000558844</v>
      </c>
      <c r="V19" s="32">
        <f t="shared" si="16"/>
        <v>0.68005094393590793</v>
      </c>
    </row>
  </sheetData>
  <mergeCells count="12">
    <mergeCell ref="G1:J1"/>
    <mergeCell ref="K1:N1"/>
    <mergeCell ref="A10:A14"/>
    <mergeCell ref="A15:A19"/>
    <mergeCell ref="A3:A4"/>
    <mergeCell ref="A5:A9"/>
    <mergeCell ref="C1:F1"/>
    <mergeCell ref="Q3:Q4"/>
    <mergeCell ref="Q5:Q9"/>
    <mergeCell ref="Q10:Q14"/>
    <mergeCell ref="Q15:Q19"/>
    <mergeCell ref="S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D9B1-BF64-1141-9B0C-2A2B5C84E7AD}">
  <dimension ref="A1:V21"/>
  <sheetViews>
    <sheetView zoomScale="118" zoomScaleNormal="118" workbookViewId="0">
      <selection activeCell="E22" sqref="E22"/>
    </sheetView>
  </sheetViews>
  <sheetFormatPr baseColWidth="10" defaultRowHeight="16" x14ac:dyDescent="0.2"/>
  <cols>
    <col min="1" max="1" width="13" bestFit="1" customWidth="1"/>
    <col min="2" max="2" width="20.1640625" bestFit="1" customWidth="1"/>
    <col min="8" max="12" width="10.83203125" customWidth="1"/>
  </cols>
  <sheetData>
    <row r="1" spans="1:22" ht="51" thickBot="1" x14ac:dyDescent="0.25">
      <c r="B1" s="4" t="s">
        <v>0</v>
      </c>
      <c r="C1" s="44" t="s">
        <v>1</v>
      </c>
      <c r="D1" s="45"/>
      <c r="E1" s="45"/>
      <c r="F1" s="46"/>
      <c r="G1" s="47" t="s">
        <v>2</v>
      </c>
      <c r="H1" s="48"/>
      <c r="I1" s="48"/>
      <c r="J1" s="49"/>
      <c r="K1" s="44" t="s">
        <v>3</v>
      </c>
      <c r="L1" s="45"/>
      <c r="M1" s="45"/>
      <c r="N1" s="46"/>
      <c r="R1" s="4" t="s">
        <v>0</v>
      </c>
      <c r="S1" s="44" t="s">
        <v>3</v>
      </c>
      <c r="T1" s="45"/>
      <c r="U1" s="45"/>
      <c r="V1" s="46"/>
    </row>
    <row r="2" spans="1:22" ht="25" thickBot="1" x14ac:dyDescent="0.25">
      <c r="B2" s="5"/>
      <c r="C2" s="1" t="s">
        <v>25</v>
      </c>
      <c r="D2" s="1" t="s">
        <v>11</v>
      </c>
      <c r="E2" s="24" t="s">
        <v>12</v>
      </c>
      <c r="F2" s="3" t="s">
        <v>10</v>
      </c>
      <c r="G2" s="1" t="s">
        <v>25</v>
      </c>
      <c r="H2" s="1" t="s">
        <v>11</v>
      </c>
      <c r="I2" s="24" t="s">
        <v>12</v>
      </c>
      <c r="J2" s="1" t="s">
        <v>10</v>
      </c>
      <c r="K2" s="2" t="s">
        <v>25</v>
      </c>
      <c r="L2" s="1" t="s">
        <v>11</v>
      </c>
      <c r="M2" s="24" t="s">
        <v>12</v>
      </c>
      <c r="N2" s="3" t="s">
        <v>10</v>
      </c>
      <c r="R2" s="5"/>
      <c r="S2" s="2" t="s">
        <v>25</v>
      </c>
      <c r="T2" s="1" t="s">
        <v>11</v>
      </c>
      <c r="U2" s="24" t="s">
        <v>12</v>
      </c>
      <c r="V2" s="3" t="s">
        <v>10</v>
      </c>
    </row>
    <row r="3" spans="1:22" x14ac:dyDescent="0.2">
      <c r="A3" s="41" t="s">
        <v>24</v>
      </c>
      <c r="B3" s="21" t="s">
        <v>4</v>
      </c>
      <c r="C3" s="10"/>
      <c r="D3" s="11"/>
      <c r="E3" s="25"/>
      <c r="F3" s="12"/>
      <c r="G3" s="11"/>
      <c r="H3" s="11"/>
      <c r="I3" s="25"/>
      <c r="J3" s="11"/>
      <c r="K3" s="13"/>
      <c r="L3" s="14"/>
      <c r="M3" s="27"/>
      <c r="N3" s="15"/>
      <c r="Q3" s="41" t="s">
        <v>24</v>
      </c>
      <c r="R3" s="21" t="s">
        <v>4</v>
      </c>
      <c r="S3" s="13"/>
      <c r="T3" s="14"/>
      <c r="U3" s="27"/>
      <c r="V3" s="15"/>
    </row>
    <row r="4" spans="1:22" ht="17" thickBot="1" x14ac:dyDescent="0.25">
      <c r="A4" s="43"/>
      <c r="B4" s="22" t="s">
        <v>5</v>
      </c>
      <c r="C4" s="16">
        <v>1074780</v>
      </c>
      <c r="D4" s="17"/>
      <c r="E4" s="26"/>
      <c r="F4" s="18"/>
      <c r="G4" s="17">
        <v>0</v>
      </c>
      <c r="H4" s="17"/>
      <c r="I4" s="26"/>
      <c r="J4" s="17"/>
      <c r="K4" s="23">
        <v>0</v>
      </c>
      <c r="L4" s="19"/>
      <c r="M4" s="28"/>
      <c r="N4" s="20"/>
      <c r="Q4" s="43"/>
      <c r="R4" s="22" t="s">
        <v>5</v>
      </c>
      <c r="S4" s="23">
        <v>0</v>
      </c>
      <c r="T4" s="19"/>
      <c r="U4" s="28"/>
      <c r="V4" s="20"/>
    </row>
    <row r="5" spans="1:22" x14ac:dyDescent="0.2">
      <c r="A5" s="41" t="s">
        <v>6</v>
      </c>
      <c r="B5" s="21" t="s">
        <v>7</v>
      </c>
      <c r="C5" s="10">
        <v>1265184</v>
      </c>
      <c r="D5" s="11"/>
      <c r="E5" s="25"/>
      <c r="F5" s="12"/>
      <c r="G5" s="11">
        <v>15</v>
      </c>
      <c r="H5" s="11"/>
      <c r="I5" s="25"/>
      <c r="J5" s="11"/>
      <c r="K5" s="10">
        <f>299.43872</f>
        <v>299.43871999999999</v>
      </c>
      <c r="L5" s="14"/>
      <c r="M5" s="27"/>
      <c r="N5" s="38">
        <f>((1-N6/K6)+(1-N7/K7)+(1-N8/K8)+(1-N9/K9))/4</f>
        <v>0.23764568590194349</v>
      </c>
      <c r="Q5" s="41" t="s">
        <v>6</v>
      </c>
      <c r="R5" s="21" t="s">
        <v>7</v>
      </c>
      <c r="S5" s="10">
        <v>299.43871999999999</v>
      </c>
      <c r="T5" s="14">
        <f>AVERAGE(T6:T9)</f>
        <v>9.2790938994128658E-3</v>
      </c>
      <c r="U5" s="14">
        <f>AVERAGE(U6:U9)</f>
        <v>0.21868688191026195</v>
      </c>
      <c r="V5" s="14">
        <f>AVERAGE(V6:V9)</f>
        <v>0.23764568590194349</v>
      </c>
    </row>
    <row r="6" spans="1:22" x14ac:dyDescent="0.2">
      <c r="A6" s="42"/>
      <c r="B6" s="7" t="s">
        <v>26</v>
      </c>
      <c r="C6" s="29">
        <f>C5</f>
        <v>1265184</v>
      </c>
      <c r="D6" s="9">
        <v>1198262</v>
      </c>
      <c r="E6" s="9"/>
      <c r="F6" s="30">
        <v>1265212</v>
      </c>
      <c r="G6" s="29">
        <f>G5</f>
        <v>15</v>
      </c>
      <c r="H6" s="9">
        <v>12</v>
      </c>
      <c r="I6" s="9"/>
      <c r="J6" s="30">
        <v>15</v>
      </c>
      <c r="K6" s="29">
        <f>K5</f>
        <v>299.43871999999999</v>
      </c>
      <c r="L6" s="9">
        <f>284.1729</f>
        <v>284.17290000000003</v>
      </c>
      <c r="M6" s="9">
        <f>326.2618</f>
        <v>326.26179999999999</v>
      </c>
      <c r="N6" s="30">
        <f>316.6905</f>
        <v>316.69049999999999</v>
      </c>
      <c r="Q6" s="42"/>
      <c r="R6" s="7" t="s">
        <v>26</v>
      </c>
      <c r="S6" s="29"/>
      <c r="T6" s="36">
        <f>1-L6/$K$5</f>
        <v>5.0981449560030034E-2</v>
      </c>
      <c r="U6" s="36">
        <f t="shared" ref="U6:U9" si="0">1-M6/$K$5</f>
        <v>-8.9577860872501747E-2</v>
      </c>
      <c r="V6" s="36">
        <f t="shared" ref="V6" si="1">1-N6/$K$5</f>
        <v>-5.7613724771465646E-2</v>
      </c>
    </row>
    <row r="7" spans="1:22" x14ac:dyDescent="0.2">
      <c r="A7" s="42"/>
      <c r="B7" s="7" t="s">
        <v>13</v>
      </c>
      <c r="C7" s="29">
        <f>C5</f>
        <v>1265184</v>
      </c>
      <c r="D7" s="9">
        <v>1198318</v>
      </c>
      <c r="E7" s="9"/>
      <c r="F7" s="30">
        <v>1259174</v>
      </c>
      <c r="G7" s="29">
        <f>G5</f>
        <v>15</v>
      </c>
      <c r="H7" s="9">
        <v>12</v>
      </c>
      <c r="I7" s="9"/>
      <c r="J7" s="30">
        <v>16</v>
      </c>
      <c r="K7" s="29">
        <f>K5</f>
        <v>299.43871999999999</v>
      </c>
      <c r="L7" s="9">
        <f>285.4235</f>
        <v>285.42349999999999</v>
      </c>
      <c r="M7" s="9">
        <f>253.8515</f>
        <v>253.85149999999999</v>
      </c>
      <c r="N7" s="30">
        <f>251.0936</f>
        <v>251.09360000000001</v>
      </c>
      <c r="Q7" s="42"/>
      <c r="R7" s="7" t="s">
        <v>13</v>
      </c>
      <c r="S7" s="29"/>
      <c r="T7" s="36">
        <f t="shared" ref="T7:T9" si="2">1-L7/$K$5</f>
        <v>4.6804968976624006E-2</v>
      </c>
      <c r="U7" s="36">
        <f t="shared" si="0"/>
        <v>0.15224223507233803</v>
      </c>
      <c r="V7" s="36">
        <f t="shared" ref="V7:V9" si="3">1-N7/$K$5</f>
        <v>0.16145246680188852</v>
      </c>
    </row>
    <row r="8" spans="1:22" x14ac:dyDescent="0.2">
      <c r="A8" s="42"/>
      <c r="B8" s="7" t="s">
        <v>14</v>
      </c>
      <c r="C8" s="29">
        <f>C5</f>
        <v>1265184</v>
      </c>
      <c r="D8" s="9">
        <v>1103786</v>
      </c>
      <c r="E8" s="9"/>
      <c r="F8" s="30">
        <v>1254879</v>
      </c>
      <c r="G8" s="29">
        <f>G5</f>
        <v>15</v>
      </c>
      <c r="H8" s="9">
        <v>8</v>
      </c>
      <c r="I8" s="9"/>
      <c r="J8" s="30">
        <v>17</v>
      </c>
      <c r="K8" s="29">
        <f>K5</f>
        <v>299.43871999999999</v>
      </c>
      <c r="L8" s="9">
        <f>307.8149</f>
        <v>307.81490000000002</v>
      </c>
      <c r="M8" s="9">
        <f>194.4961</f>
        <v>194.49610000000001</v>
      </c>
      <c r="N8" s="30">
        <f>194.6369</f>
        <v>194.6369</v>
      </c>
      <c r="Q8" s="42"/>
      <c r="R8" s="7" t="s">
        <v>14</v>
      </c>
      <c r="S8" s="29"/>
      <c r="T8" s="36">
        <f t="shared" si="2"/>
        <v>-2.7972935497453388E-2</v>
      </c>
      <c r="U8" s="36">
        <f t="shared" si="0"/>
        <v>0.35046442891553897</v>
      </c>
      <c r="V8" s="36">
        <f t="shared" si="3"/>
        <v>0.34999421584489809</v>
      </c>
    </row>
    <row r="9" spans="1:22" ht="17" thickBot="1" x14ac:dyDescent="0.25">
      <c r="A9" s="43"/>
      <c r="B9" s="8" t="s">
        <v>15</v>
      </c>
      <c r="C9" s="29">
        <f>C5</f>
        <v>1265184</v>
      </c>
      <c r="D9" s="9">
        <v>1147971</v>
      </c>
      <c r="E9" s="9"/>
      <c r="F9" s="30">
        <v>1234203</v>
      </c>
      <c r="G9" s="29">
        <f>G5</f>
        <v>15</v>
      </c>
      <c r="H9" s="9">
        <v>16</v>
      </c>
      <c r="I9" s="9"/>
      <c r="J9" s="30">
        <v>17</v>
      </c>
      <c r="K9" s="29">
        <f>K5</f>
        <v>299.43871999999999</v>
      </c>
      <c r="L9" s="9">
        <f>309.2295</f>
        <v>309.22949999999997</v>
      </c>
      <c r="M9" s="9">
        <f>161.2122</f>
        <v>161.2122</v>
      </c>
      <c r="N9" s="30">
        <f>150.6926</f>
        <v>150.6926</v>
      </c>
      <c r="Q9" s="43"/>
      <c r="R9" s="8" t="s">
        <v>15</v>
      </c>
      <c r="S9" s="29"/>
      <c r="T9" s="36">
        <f t="shared" si="2"/>
        <v>-3.2697107441549189E-2</v>
      </c>
      <c r="U9" s="36">
        <f t="shared" si="0"/>
        <v>0.46161872452567254</v>
      </c>
      <c r="V9" s="36">
        <f t="shared" si="3"/>
        <v>0.49674978573245299</v>
      </c>
    </row>
    <row r="10" spans="1:22" x14ac:dyDescent="0.2">
      <c r="A10" s="41" t="s">
        <v>22</v>
      </c>
      <c r="B10" s="21" t="s">
        <v>8</v>
      </c>
      <c r="C10" s="10">
        <v>1088583</v>
      </c>
      <c r="D10" s="11"/>
      <c r="E10" s="25"/>
      <c r="F10" s="12"/>
      <c r="G10" s="11">
        <v>6</v>
      </c>
      <c r="H10" s="11"/>
      <c r="I10" s="25"/>
      <c r="J10" s="11"/>
      <c r="K10" s="10">
        <f>133.8084</f>
        <v>133.80840000000001</v>
      </c>
      <c r="L10" s="14"/>
      <c r="M10" s="27"/>
      <c r="N10" s="38">
        <f>((1-N11/K11)+(1-N12/K12)+(1-N13/K13)+(1-N14/K14))/4</f>
        <v>0.38659650664681744</v>
      </c>
      <c r="Q10" s="41" t="s">
        <v>22</v>
      </c>
      <c r="R10" s="21" t="s">
        <v>8</v>
      </c>
      <c r="S10" s="10">
        <v>133.80840000000001</v>
      </c>
      <c r="T10" s="14">
        <f>AVERAGE(T11:T14)</f>
        <v>-0.19868091240908631</v>
      </c>
      <c r="U10" s="14">
        <f>AVERAGE(U11:U14)</f>
        <v>0.194842775191991</v>
      </c>
      <c r="V10" s="14">
        <f>AVERAGE(V11:V14)</f>
        <v>0.38659650664681744</v>
      </c>
    </row>
    <row r="11" spans="1:22" x14ac:dyDescent="0.2">
      <c r="A11" s="42"/>
      <c r="B11" s="7" t="s">
        <v>26</v>
      </c>
      <c r="C11" s="29">
        <f>C10</f>
        <v>1088583</v>
      </c>
      <c r="D11" s="9">
        <v>1100020</v>
      </c>
      <c r="E11" s="9"/>
      <c r="F11" s="30">
        <f>1088697</f>
        <v>1088697</v>
      </c>
      <c r="G11" s="29">
        <f>G10</f>
        <v>6</v>
      </c>
      <c r="H11" s="9">
        <v>16</v>
      </c>
      <c r="I11" s="9"/>
      <c r="J11" s="30">
        <v>6</v>
      </c>
      <c r="K11" s="29">
        <f>K10</f>
        <v>133.80840000000001</v>
      </c>
      <c r="L11" s="9">
        <f>146.6965</f>
        <v>146.69649999999999</v>
      </c>
      <c r="M11" s="9">
        <f>114.3127</f>
        <v>114.31270000000001</v>
      </c>
      <c r="N11" s="30">
        <f>112.66563</f>
        <v>112.66562999999999</v>
      </c>
      <c r="Q11" s="42"/>
      <c r="R11" s="7" t="s">
        <v>26</v>
      </c>
      <c r="S11" s="29"/>
      <c r="T11" s="36">
        <f>1-L11/$K$10</f>
        <v>-9.6317570496321503E-2</v>
      </c>
      <c r="U11" s="36">
        <f t="shared" ref="T11:U14" si="4">1-M11/$K$10</f>
        <v>0.14569862579628778</v>
      </c>
      <c r="V11" s="36">
        <f t="shared" ref="V11" si="5">1-N11/$K$10</f>
        <v>0.15800779323271197</v>
      </c>
    </row>
    <row r="12" spans="1:22" x14ac:dyDescent="0.2">
      <c r="A12" s="42"/>
      <c r="B12" s="7" t="s">
        <v>16</v>
      </c>
      <c r="C12" s="29">
        <f>C10</f>
        <v>1088583</v>
      </c>
      <c r="D12" s="9">
        <v>1097413</v>
      </c>
      <c r="E12" s="9"/>
      <c r="F12" s="30">
        <v>1095669</v>
      </c>
      <c r="G12" s="29">
        <f>G10</f>
        <v>6</v>
      </c>
      <c r="H12" s="9">
        <v>19</v>
      </c>
      <c r="I12" s="9"/>
      <c r="J12" s="30">
        <v>8</v>
      </c>
      <c r="K12" s="29">
        <f>K10</f>
        <v>133.80840000000001</v>
      </c>
      <c r="L12" s="9">
        <f>156.8168</f>
        <v>156.8168</v>
      </c>
      <c r="M12" s="9">
        <f>103.5427</f>
        <v>103.5427</v>
      </c>
      <c r="N12" s="30">
        <f>83.60126</f>
        <v>83.601259999999996</v>
      </c>
      <c r="Q12" s="42"/>
      <c r="R12" s="7" t="s">
        <v>16</v>
      </c>
      <c r="S12" s="29"/>
      <c r="T12" s="36">
        <f t="shared" si="4"/>
        <v>-0.17195034093524764</v>
      </c>
      <c r="U12" s="36">
        <f t="shared" si="4"/>
        <v>0.22618684626675167</v>
      </c>
      <c r="V12" s="36">
        <f t="shared" ref="V12:V14" si="6">1-N12/$K$10</f>
        <v>0.37521665306512897</v>
      </c>
    </row>
    <row r="13" spans="1:22" x14ac:dyDescent="0.2">
      <c r="A13" s="42"/>
      <c r="B13" s="7" t="s">
        <v>17</v>
      </c>
      <c r="C13" s="29">
        <f>C10</f>
        <v>1088583</v>
      </c>
      <c r="D13" s="9">
        <v>1123747</v>
      </c>
      <c r="E13" s="9"/>
      <c r="F13" s="30">
        <v>1088833</v>
      </c>
      <c r="G13" s="29">
        <f>G10</f>
        <v>6</v>
      </c>
      <c r="H13" s="9">
        <v>24</v>
      </c>
      <c r="I13" s="9"/>
      <c r="J13" s="30">
        <v>6</v>
      </c>
      <c r="K13" s="29">
        <f>K10</f>
        <v>133.80840000000001</v>
      </c>
      <c r="L13" s="9">
        <f>164.6006</f>
        <v>164.60059999999999</v>
      </c>
      <c r="M13" s="9">
        <f>106.4305</f>
        <v>106.43049999999999</v>
      </c>
      <c r="N13" s="30">
        <f>68.13944</f>
        <v>68.139439999999993</v>
      </c>
      <c r="Q13" s="42"/>
      <c r="R13" s="7" t="s">
        <v>17</v>
      </c>
      <c r="S13" s="29"/>
      <c r="T13" s="36">
        <f t="shared" si="4"/>
        <v>-0.23012157682178391</v>
      </c>
      <c r="U13" s="36">
        <f t="shared" si="4"/>
        <v>0.20460524152444848</v>
      </c>
      <c r="V13" s="36">
        <f t="shared" si="6"/>
        <v>0.49076859150845542</v>
      </c>
    </row>
    <row r="14" spans="1:22" ht="17" thickBot="1" x14ac:dyDescent="0.25">
      <c r="A14" s="43"/>
      <c r="B14" s="6" t="s">
        <v>18</v>
      </c>
      <c r="C14" s="29">
        <f>C10</f>
        <v>1088583</v>
      </c>
      <c r="D14" s="9">
        <v>1104788</v>
      </c>
      <c r="E14" s="9"/>
      <c r="F14" s="30">
        <v>1095800</v>
      </c>
      <c r="G14" s="29">
        <f>G10</f>
        <v>6</v>
      </c>
      <c r="H14" s="9">
        <v>16</v>
      </c>
      <c r="I14" s="9"/>
      <c r="J14" s="30">
        <v>8</v>
      </c>
      <c r="K14" s="29">
        <f>K10</f>
        <v>133.80840000000001</v>
      </c>
      <c r="L14" s="9">
        <f>173.4604</f>
        <v>173.46039999999999</v>
      </c>
      <c r="M14" s="9">
        <f>106.6613</f>
        <v>106.6613</v>
      </c>
      <c r="N14" s="30">
        <f>63.90783</f>
        <v>63.907829999999997</v>
      </c>
      <c r="Q14" s="43"/>
      <c r="R14" s="6" t="s">
        <v>18</v>
      </c>
      <c r="S14" s="29"/>
      <c r="T14" s="36">
        <f t="shared" si="4"/>
        <v>-0.29633416138299218</v>
      </c>
      <c r="U14" s="36">
        <f t="shared" si="4"/>
        <v>0.20288038718047607</v>
      </c>
      <c r="V14" s="36">
        <f t="shared" si="6"/>
        <v>0.52239298878097351</v>
      </c>
    </row>
    <row r="15" spans="1:22" x14ac:dyDescent="0.2">
      <c r="A15" s="41" t="s">
        <v>23</v>
      </c>
      <c r="B15" s="21" t="s">
        <v>9</v>
      </c>
      <c r="C15" s="10">
        <v>1088655</v>
      </c>
      <c r="D15" s="11"/>
      <c r="E15" s="25"/>
      <c r="F15" s="12"/>
      <c r="G15" s="11">
        <v>6</v>
      </c>
      <c r="H15" s="11"/>
      <c r="I15" s="25"/>
      <c r="J15" s="11"/>
      <c r="K15" s="10">
        <f>79.74436</f>
        <v>79.74436</v>
      </c>
      <c r="L15" s="14"/>
      <c r="M15" s="27"/>
      <c r="N15" s="38">
        <f>((1-N16/K16)+(1-N17/K17)+(1-N18/K18)+(1-N19/K19))/4</f>
        <v>0.24776084477949289</v>
      </c>
      <c r="Q15" s="41" t="s">
        <v>23</v>
      </c>
      <c r="R15" s="21" t="s">
        <v>9</v>
      </c>
      <c r="S15" s="10">
        <v>79.74436</v>
      </c>
      <c r="T15" s="14">
        <f>AVERAGE(T16:T19)</f>
        <v>-0.44551862351143073</v>
      </c>
      <c r="U15" s="14">
        <f>AVERAGE(U16:U19)</f>
        <v>-0.22179339705027418</v>
      </c>
      <c r="V15" s="14">
        <f>AVERAGE(V16:V19)</f>
        <v>0.24776084477949289</v>
      </c>
    </row>
    <row r="16" spans="1:22" x14ac:dyDescent="0.2">
      <c r="A16" s="42"/>
      <c r="B16" s="7" t="s">
        <v>26</v>
      </c>
      <c r="C16" s="29">
        <f>C15</f>
        <v>1088655</v>
      </c>
      <c r="D16" s="9">
        <f>1097104</f>
        <v>1097104</v>
      </c>
      <c r="E16" s="9"/>
      <c r="F16" s="30">
        <f>1088770</f>
        <v>1088770</v>
      </c>
      <c r="G16" s="29">
        <f>G15</f>
        <v>6</v>
      </c>
      <c r="H16" s="9">
        <v>18</v>
      </c>
      <c r="I16" s="9"/>
      <c r="J16" s="30">
        <v>6</v>
      </c>
      <c r="K16" s="29">
        <f>K15</f>
        <v>79.74436</v>
      </c>
      <c r="L16" s="9">
        <f>96.27613</f>
        <v>96.276129999999995</v>
      </c>
      <c r="M16" s="9">
        <f>90.8605</f>
        <v>90.860500000000002</v>
      </c>
      <c r="N16" s="30">
        <f>72.56136</f>
        <v>72.561359999999993</v>
      </c>
      <c r="Q16" s="42"/>
      <c r="R16" s="7" t="s">
        <v>26</v>
      </c>
      <c r="S16" s="29"/>
      <c r="T16" s="36">
        <f>1-L16/$K$15</f>
        <v>-0.20730958277174705</v>
      </c>
      <c r="U16" s="36">
        <f t="shared" ref="T16:U19" si="7">1-M16/$K$15</f>
        <v>-0.13939719373257242</v>
      </c>
      <c r="V16" s="36">
        <f t="shared" ref="V16" si="8">1-N16/$K$15</f>
        <v>9.0075335735342321E-2</v>
      </c>
    </row>
    <row r="17" spans="1:22" x14ac:dyDescent="0.2">
      <c r="A17" s="42"/>
      <c r="B17" s="7" t="s">
        <v>19</v>
      </c>
      <c r="C17" s="29">
        <f>C15</f>
        <v>1088655</v>
      </c>
      <c r="D17" s="9">
        <v>1105907</v>
      </c>
      <c r="E17" s="9"/>
      <c r="F17" s="30">
        <v>1088842</v>
      </c>
      <c r="G17" s="29">
        <f>G15</f>
        <v>6</v>
      </c>
      <c r="H17" s="9">
        <v>17</v>
      </c>
      <c r="I17" s="9"/>
      <c r="J17" s="30">
        <v>6</v>
      </c>
      <c r="K17" s="29">
        <f>K15</f>
        <v>79.74436</v>
      </c>
      <c r="L17" s="9">
        <f>108.704</f>
        <v>108.70399999999999</v>
      </c>
      <c r="M17" s="9">
        <f>93.06077</f>
        <v>93.060770000000005</v>
      </c>
      <c r="N17" s="30">
        <f>59.88029</f>
        <v>59.880290000000002</v>
      </c>
      <c r="Q17" s="42"/>
      <c r="R17" s="7" t="s">
        <v>19</v>
      </c>
      <c r="S17" s="29"/>
      <c r="T17" s="36">
        <f t="shared" si="7"/>
        <v>-0.36315596488579249</v>
      </c>
      <c r="U17" s="36">
        <f t="shared" si="7"/>
        <v>-0.16698873751071552</v>
      </c>
      <c r="V17" s="36">
        <f t="shared" ref="V17:V19" si="9">1-N17/$K$15</f>
        <v>0.24909686402900466</v>
      </c>
    </row>
    <row r="18" spans="1:22" x14ac:dyDescent="0.2">
      <c r="A18" s="42"/>
      <c r="B18" s="7" t="s">
        <v>20</v>
      </c>
      <c r="C18" s="29">
        <f>C15</f>
        <v>1088655</v>
      </c>
      <c r="D18" s="9">
        <v>1106617</v>
      </c>
      <c r="E18" s="9"/>
      <c r="F18" s="30">
        <v>1088906</v>
      </c>
      <c r="G18" s="29">
        <f>G15</f>
        <v>6</v>
      </c>
      <c r="H18" s="9">
        <v>17</v>
      </c>
      <c r="I18" s="9"/>
      <c r="J18" s="30">
        <v>6</v>
      </c>
      <c r="K18" s="29">
        <f>K15</f>
        <v>79.74436</v>
      </c>
      <c r="L18" s="9">
        <f>120.3551</f>
        <v>120.35509999999999</v>
      </c>
      <c r="M18" s="9">
        <f>98.94074</f>
        <v>98.940740000000005</v>
      </c>
      <c r="N18" s="30">
        <f>52.18886</f>
        <v>52.188859999999998</v>
      </c>
      <c r="Q18" s="42"/>
      <c r="R18" s="7" t="s">
        <v>20</v>
      </c>
      <c r="S18" s="29"/>
      <c r="T18" s="36">
        <f t="shared" si="7"/>
        <v>-0.50926159542819072</v>
      </c>
      <c r="U18" s="36">
        <f t="shared" si="7"/>
        <v>-0.24072398348923985</v>
      </c>
      <c r="V18" s="36">
        <f t="shared" si="9"/>
        <v>0.34554794846933379</v>
      </c>
    </row>
    <row r="19" spans="1:22" ht="17" thickBot="1" x14ac:dyDescent="0.25">
      <c r="A19" s="43"/>
      <c r="B19" s="6" t="s">
        <v>21</v>
      </c>
      <c r="C19" s="29">
        <f>C15</f>
        <v>1088655</v>
      </c>
      <c r="D19" s="9">
        <v>1126163</v>
      </c>
      <c r="E19" s="9"/>
      <c r="F19" s="30">
        <v>1086307</v>
      </c>
      <c r="G19" s="29">
        <f>G15</f>
        <v>6</v>
      </c>
      <c r="H19" s="9">
        <v>21</v>
      </c>
      <c r="I19" s="9"/>
      <c r="J19" s="30">
        <v>5</v>
      </c>
      <c r="K19" s="29">
        <f>K15</f>
        <v>79.74436</v>
      </c>
      <c r="L19" s="9">
        <f>135.7526</f>
        <v>135.7526</v>
      </c>
      <c r="M19" s="9">
        <f>106.86252</f>
        <v>106.86252</v>
      </c>
      <c r="N19" s="30">
        <f>55.31681</f>
        <v>55.316809999999997</v>
      </c>
      <c r="Q19" s="43"/>
      <c r="R19" s="6" t="s">
        <v>21</v>
      </c>
      <c r="S19" s="29"/>
      <c r="T19" s="36">
        <f t="shared" si="7"/>
        <v>-0.70234735095999268</v>
      </c>
      <c r="U19" s="36">
        <f t="shared" si="7"/>
        <v>-0.34006367346856892</v>
      </c>
      <c r="V19" s="36">
        <f t="shared" si="9"/>
        <v>0.30632323088429081</v>
      </c>
    </row>
    <row r="21" spans="1:22" x14ac:dyDescent="0.2">
      <c r="E21" t="s">
        <v>40</v>
      </c>
    </row>
  </sheetData>
  <mergeCells count="12">
    <mergeCell ref="G1:J1"/>
    <mergeCell ref="K1:N1"/>
    <mergeCell ref="A10:A14"/>
    <mergeCell ref="A15:A19"/>
    <mergeCell ref="A3:A4"/>
    <mergeCell ref="A5:A9"/>
    <mergeCell ref="C1:F1"/>
    <mergeCell ref="Q3:Q4"/>
    <mergeCell ref="Q5:Q9"/>
    <mergeCell ref="Q10:Q14"/>
    <mergeCell ref="Q15:Q19"/>
    <mergeCell ref="S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8999-B5B9-B549-A79F-5BF27EECC379}">
  <dimension ref="A1:N19"/>
  <sheetViews>
    <sheetView zoomScale="125" zoomScaleNormal="100" workbookViewId="0">
      <selection activeCell="J17" sqref="J17"/>
    </sheetView>
  </sheetViews>
  <sheetFormatPr baseColWidth="10" defaultRowHeight="16" x14ac:dyDescent="0.2"/>
  <cols>
    <col min="1" max="1" width="13" bestFit="1" customWidth="1"/>
    <col min="2" max="2" width="20.1640625" bestFit="1" customWidth="1"/>
    <col min="8" max="12" width="10.83203125" customWidth="1"/>
  </cols>
  <sheetData>
    <row r="1" spans="1:14" ht="26" thickBot="1" x14ac:dyDescent="0.25">
      <c r="B1" s="4" t="s">
        <v>0</v>
      </c>
      <c r="C1" s="44" t="s">
        <v>1</v>
      </c>
      <c r="D1" s="45"/>
      <c r="E1" s="45"/>
      <c r="F1" s="46"/>
      <c r="G1" s="47" t="s">
        <v>2</v>
      </c>
      <c r="H1" s="48"/>
      <c r="I1" s="48"/>
      <c r="J1" s="49"/>
      <c r="K1" s="44" t="s">
        <v>3</v>
      </c>
      <c r="L1" s="45"/>
      <c r="M1" s="45"/>
      <c r="N1" s="46"/>
    </row>
    <row r="2" spans="1:14" ht="25" thickBot="1" x14ac:dyDescent="0.25">
      <c r="B2" s="5"/>
      <c r="C2" s="1" t="s">
        <v>25</v>
      </c>
      <c r="D2" s="1" t="s">
        <v>11</v>
      </c>
      <c r="E2" s="1" t="s">
        <v>12</v>
      </c>
      <c r="F2" s="3" t="s">
        <v>10</v>
      </c>
      <c r="G2" s="1" t="s">
        <v>25</v>
      </c>
      <c r="H2" s="1" t="s">
        <v>11</v>
      </c>
      <c r="I2" s="1" t="s">
        <v>12</v>
      </c>
      <c r="J2" s="1" t="s">
        <v>10</v>
      </c>
      <c r="K2" s="2" t="s">
        <v>25</v>
      </c>
      <c r="L2" s="1" t="s">
        <v>11</v>
      </c>
      <c r="M2" s="1" t="s">
        <v>12</v>
      </c>
      <c r="N2" s="3" t="s">
        <v>10</v>
      </c>
    </row>
    <row r="3" spans="1:14" x14ac:dyDescent="0.2">
      <c r="A3" s="41" t="s">
        <v>24</v>
      </c>
      <c r="B3" s="21" t="s">
        <v>4</v>
      </c>
      <c r="C3" s="10">
        <f>265858.6</f>
        <v>265858.59999999998</v>
      </c>
      <c r="D3" s="11"/>
      <c r="E3" s="11"/>
      <c r="F3" s="12"/>
      <c r="G3" s="11"/>
      <c r="H3" s="11"/>
      <c r="I3" s="11"/>
      <c r="J3" s="11"/>
      <c r="K3" s="13"/>
      <c r="L3" s="14"/>
      <c r="M3" s="14"/>
      <c r="N3" s="15"/>
    </row>
    <row r="4" spans="1:14" ht="17" thickBot="1" x14ac:dyDescent="0.25">
      <c r="A4" s="43"/>
      <c r="B4" s="22" t="s">
        <v>5</v>
      </c>
      <c r="C4" s="16">
        <v>265500.90000000002</v>
      </c>
      <c r="D4" s="17"/>
      <c r="E4" s="17"/>
      <c r="F4" s="18"/>
      <c r="G4" s="17">
        <v>44</v>
      </c>
      <c r="H4" s="17"/>
      <c r="I4" s="17"/>
      <c r="J4" s="17"/>
      <c r="K4" s="23">
        <f>5.103272</f>
        <v>5.1032719999999996</v>
      </c>
      <c r="L4" s="19"/>
      <c r="M4" s="19"/>
      <c r="N4" s="20"/>
    </row>
    <row r="5" spans="1:14" x14ac:dyDescent="0.2">
      <c r="A5" s="41" t="s">
        <v>6</v>
      </c>
      <c r="B5" s="21" t="s">
        <v>7</v>
      </c>
      <c r="C5" s="10">
        <v>309010.8</v>
      </c>
      <c r="D5" s="11"/>
      <c r="E5" s="11"/>
      <c r="F5" s="12"/>
      <c r="G5" s="11">
        <v>50</v>
      </c>
      <c r="H5" s="11"/>
      <c r="I5" s="11"/>
      <c r="J5" s="11"/>
      <c r="K5" s="13">
        <f>161.12084</f>
        <v>161.12083999999999</v>
      </c>
      <c r="L5" s="14"/>
      <c r="M5" s="14"/>
      <c r="N5" s="15">
        <f>((1-N6/K6)+(1-N7/K7)+(1-N8/K8)+(1-N9/K9))/4</f>
        <v>-8.5425634573405573E-3</v>
      </c>
    </row>
    <row r="6" spans="1:14" x14ac:dyDescent="0.2">
      <c r="A6" s="42"/>
      <c r="B6" s="7" t="s">
        <v>26</v>
      </c>
      <c r="C6" s="29">
        <f>C5</f>
        <v>309010.8</v>
      </c>
      <c r="D6" s="9">
        <f>306076.8</f>
        <v>306076.79999999999</v>
      </c>
      <c r="E6" s="9">
        <f>371341</f>
        <v>371341</v>
      </c>
      <c r="F6" s="30">
        <f>302068</f>
        <v>302068</v>
      </c>
      <c r="G6" s="29">
        <f>G5</f>
        <v>50</v>
      </c>
      <c r="H6" s="9">
        <v>54</v>
      </c>
      <c r="I6" s="9">
        <v>51</v>
      </c>
      <c r="J6" s="30">
        <v>54</v>
      </c>
      <c r="K6" s="29">
        <f>K5</f>
        <v>161.12083999999999</v>
      </c>
      <c r="L6" s="9">
        <v>158.9683</v>
      </c>
      <c r="M6" s="9">
        <v>235.84899999999999</v>
      </c>
      <c r="N6" s="30">
        <f>165.7261</f>
        <v>165.7261</v>
      </c>
    </row>
    <row r="7" spans="1:14" x14ac:dyDescent="0.2">
      <c r="A7" s="42"/>
      <c r="B7" s="7" t="s">
        <v>13</v>
      </c>
      <c r="C7" s="29">
        <f>C5</f>
        <v>309010.8</v>
      </c>
      <c r="D7" s="9">
        <v>302780.40000000002</v>
      </c>
      <c r="E7" s="9">
        <v>407531.8</v>
      </c>
      <c r="F7" s="30">
        <v>303763.59999999998</v>
      </c>
      <c r="G7" s="29">
        <f>G5</f>
        <v>50</v>
      </c>
      <c r="H7" s="9">
        <v>55</v>
      </c>
      <c r="I7" s="9">
        <v>53</v>
      </c>
      <c r="J7" s="30">
        <v>60</v>
      </c>
      <c r="K7" s="29">
        <f>K5</f>
        <v>161.12083999999999</v>
      </c>
      <c r="L7" s="9">
        <f>161.7437</f>
        <v>161.74369999999999</v>
      </c>
      <c r="M7" s="9">
        <f>246.9138</f>
        <v>246.91380000000001</v>
      </c>
      <c r="N7" s="30">
        <f>163.8037</f>
        <v>163.80369999999999</v>
      </c>
    </row>
    <row r="8" spans="1:14" x14ac:dyDescent="0.2">
      <c r="A8" s="42"/>
      <c r="B8" s="7" t="s">
        <v>14</v>
      </c>
      <c r="C8" s="29">
        <f>C5</f>
        <v>309010.8</v>
      </c>
      <c r="D8" s="9">
        <v>293944.3</v>
      </c>
      <c r="E8" s="9">
        <v>421300.6</v>
      </c>
      <c r="F8" s="30">
        <v>297169.8</v>
      </c>
      <c r="G8" s="29">
        <f>G5</f>
        <v>50</v>
      </c>
      <c r="H8" s="9">
        <v>59</v>
      </c>
      <c r="I8" s="9">
        <v>53</v>
      </c>
      <c r="J8" s="30">
        <v>60</v>
      </c>
      <c r="K8" s="29">
        <f>K5</f>
        <v>161.12083999999999</v>
      </c>
      <c r="L8" s="9">
        <f>171.0522</f>
        <v>171.0522</v>
      </c>
      <c r="M8" s="9">
        <f>246.7284</f>
        <v>246.72839999999999</v>
      </c>
      <c r="N8" s="30">
        <f>159.6607</f>
        <v>159.66069999999999</v>
      </c>
    </row>
    <row r="9" spans="1:14" ht="17" thickBot="1" x14ac:dyDescent="0.25">
      <c r="A9" s="43"/>
      <c r="B9" s="8" t="s">
        <v>15</v>
      </c>
      <c r="C9" s="29">
        <f>C5</f>
        <v>309010.8</v>
      </c>
      <c r="D9" s="9">
        <v>294598.09999999998</v>
      </c>
      <c r="E9" s="9">
        <v>430055.2</v>
      </c>
      <c r="F9" s="30">
        <v>288040</v>
      </c>
      <c r="G9" s="29">
        <f>G5</f>
        <v>50</v>
      </c>
      <c r="H9" s="9">
        <v>69</v>
      </c>
      <c r="I9" s="9">
        <v>52</v>
      </c>
      <c r="J9" s="30">
        <v>57</v>
      </c>
      <c r="K9" s="29">
        <f>K5</f>
        <v>161.12083999999999</v>
      </c>
      <c r="L9" s="9">
        <f>179.2789</f>
        <v>179.27889999999999</v>
      </c>
      <c r="M9" s="9">
        <f>260.6774</f>
        <v>260.67739999999998</v>
      </c>
      <c r="N9" s="33">
        <f>160.7984</f>
        <v>160.79839999999999</v>
      </c>
    </row>
    <row r="10" spans="1:14" x14ac:dyDescent="0.2">
      <c r="A10" s="41" t="s">
        <v>22</v>
      </c>
      <c r="B10" s="21" t="s">
        <v>8</v>
      </c>
      <c r="C10" s="10">
        <v>280583.59999999998</v>
      </c>
      <c r="D10" s="11"/>
      <c r="E10" s="11"/>
      <c r="F10" s="12"/>
      <c r="G10" s="11">
        <v>45</v>
      </c>
      <c r="H10" s="11"/>
      <c r="I10" s="11"/>
      <c r="J10" s="11"/>
      <c r="K10" s="13">
        <f>97.57038</f>
        <v>97.57038</v>
      </c>
      <c r="L10" s="14"/>
      <c r="M10" s="14"/>
      <c r="N10" s="15">
        <f>((1-N11/K11)+(1-N12/K12)+(1-N13/K13)+(1-N14/K14))/4</f>
        <v>-4.7034714838663172E-2</v>
      </c>
    </row>
    <row r="11" spans="1:14" x14ac:dyDescent="0.2">
      <c r="A11" s="42"/>
      <c r="B11" s="7" t="s">
        <v>26</v>
      </c>
      <c r="C11" s="29">
        <f>C10</f>
        <v>280583.59999999998</v>
      </c>
      <c r="D11" s="9">
        <f>279840.9</f>
        <v>279840.90000000002</v>
      </c>
      <c r="E11" s="9">
        <f>304915.6</f>
        <v>304915.59999999998</v>
      </c>
      <c r="F11" s="30">
        <f>274999</f>
        <v>274999</v>
      </c>
      <c r="G11" s="29">
        <f>G10</f>
        <v>45</v>
      </c>
      <c r="H11" s="9">
        <v>46</v>
      </c>
      <c r="I11" s="9">
        <v>57</v>
      </c>
      <c r="J11" s="30">
        <v>52</v>
      </c>
      <c r="K11" s="29">
        <f>K10</f>
        <v>97.57038</v>
      </c>
      <c r="L11" s="9">
        <f>104.388</f>
        <v>104.38800000000001</v>
      </c>
      <c r="M11" s="9">
        <f>165.9326</f>
        <v>165.93260000000001</v>
      </c>
      <c r="N11" s="30">
        <f>95.7838</f>
        <v>95.783799999999999</v>
      </c>
    </row>
    <row r="12" spans="1:14" x14ac:dyDescent="0.2">
      <c r="A12" s="42"/>
      <c r="B12" s="7" t="s">
        <v>16</v>
      </c>
      <c r="C12" s="29">
        <f>C10</f>
        <v>280583.59999999998</v>
      </c>
      <c r="D12" s="9">
        <v>282554.8</v>
      </c>
      <c r="E12" s="9">
        <v>329374.3</v>
      </c>
      <c r="F12" s="30">
        <v>271326.8</v>
      </c>
      <c r="G12" s="29">
        <f>G10</f>
        <v>45</v>
      </c>
      <c r="H12" s="9">
        <v>57</v>
      </c>
      <c r="I12" s="9">
        <v>57</v>
      </c>
      <c r="J12" s="30">
        <v>46</v>
      </c>
      <c r="K12" s="29">
        <f>K10</f>
        <v>97.57038</v>
      </c>
      <c r="L12" s="9">
        <f>114.3793</f>
        <v>114.3793</v>
      </c>
      <c r="M12" s="9">
        <f>191.8193</f>
        <v>191.8193</v>
      </c>
      <c r="N12" s="30">
        <f>101.0727</f>
        <v>101.0727</v>
      </c>
    </row>
    <row r="13" spans="1:14" x14ac:dyDescent="0.2">
      <c r="A13" s="42"/>
      <c r="B13" s="7" t="s">
        <v>17</v>
      </c>
      <c r="C13" s="29">
        <f>C10</f>
        <v>280583.59999999998</v>
      </c>
      <c r="D13" s="9">
        <v>290122.40000000002</v>
      </c>
      <c r="E13" s="9">
        <v>353557.4</v>
      </c>
      <c r="F13" s="30">
        <v>269332.59999999998</v>
      </c>
      <c r="G13" s="29">
        <f>G10</f>
        <v>45</v>
      </c>
      <c r="H13" s="9">
        <v>71</v>
      </c>
      <c r="I13" s="9">
        <v>61</v>
      </c>
      <c r="J13" s="30">
        <v>45</v>
      </c>
      <c r="K13" s="29">
        <f>K10</f>
        <v>97.57038</v>
      </c>
      <c r="L13" s="9">
        <f>120.2447</f>
        <v>120.24469999999999</v>
      </c>
      <c r="M13" s="9">
        <f>217.7941</f>
        <v>217.79409999999999</v>
      </c>
      <c r="N13" s="30">
        <f>107.2388</f>
        <v>107.2388</v>
      </c>
    </row>
    <row r="14" spans="1:14" ht="17" thickBot="1" x14ac:dyDescent="0.25">
      <c r="A14" s="43"/>
      <c r="B14" s="6" t="s">
        <v>18</v>
      </c>
      <c r="C14" s="29">
        <f>C10</f>
        <v>280583.59999999998</v>
      </c>
      <c r="D14" s="9">
        <v>291771.90000000002</v>
      </c>
      <c r="E14" s="9">
        <v>360692.5</v>
      </c>
      <c r="F14" s="30">
        <v>267877.90000000002</v>
      </c>
      <c r="G14" s="29">
        <f>G10</f>
        <v>45</v>
      </c>
      <c r="H14" s="9">
        <v>78</v>
      </c>
      <c r="I14" s="9">
        <v>63</v>
      </c>
      <c r="J14" s="30">
        <v>56</v>
      </c>
      <c r="K14" s="29">
        <f>K10</f>
        <v>97.57038</v>
      </c>
      <c r="L14" s="9">
        <f>124.9647</f>
        <v>124.96469999999999</v>
      </c>
      <c r="M14" s="9">
        <f>228.3075</f>
        <v>228.3075</v>
      </c>
      <c r="N14" s="30">
        <f>104.543</f>
        <v>104.54300000000001</v>
      </c>
    </row>
    <row r="15" spans="1:14" x14ac:dyDescent="0.2">
      <c r="A15" s="41" t="s">
        <v>23</v>
      </c>
      <c r="B15" s="21" t="s">
        <v>9</v>
      </c>
      <c r="C15" s="10">
        <v>271804.40000000002</v>
      </c>
      <c r="D15" s="11"/>
      <c r="E15" s="11"/>
      <c r="F15" s="12"/>
      <c r="G15" s="11">
        <v>43</v>
      </c>
      <c r="H15" s="11"/>
      <c r="I15" s="11"/>
      <c r="J15" s="11"/>
      <c r="K15" s="13">
        <f>71.87497</f>
        <v>71.874970000000005</v>
      </c>
      <c r="L15" s="14"/>
      <c r="M15" s="14"/>
      <c r="N15" s="15">
        <f>((1-N16/K16)+(1-N17/K17)+(1-N18/K18)+(1-N19/K19))/4</f>
        <v>-0.38245198571908956</v>
      </c>
    </row>
    <row r="16" spans="1:14" x14ac:dyDescent="0.2">
      <c r="A16" s="42"/>
      <c r="B16" s="7" t="s">
        <v>26</v>
      </c>
      <c r="C16" s="29">
        <f>C15</f>
        <v>271804.40000000002</v>
      </c>
      <c r="D16" s="9">
        <f>277337.1</f>
        <v>277337.09999999998</v>
      </c>
      <c r="E16" s="9">
        <f>288683.8</f>
        <v>288683.8</v>
      </c>
      <c r="F16" s="30">
        <f>269810.2</f>
        <v>269810.2</v>
      </c>
      <c r="G16" s="29">
        <f>G15</f>
        <v>43</v>
      </c>
      <c r="H16" s="9">
        <v>62</v>
      </c>
      <c r="I16" s="9">
        <v>56</v>
      </c>
      <c r="J16" s="30">
        <v>49</v>
      </c>
      <c r="K16" s="29">
        <f>K15</f>
        <v>71.874970000000005</v>
      </c>
      <c r="L16" s="9">
        <v>88.11618</v>
      </c>
      <c r="M16" s="9">
        <f>141.5048</f>
        <v>141.50479999999999</v>
      </c>
      <c r="N16" s="30">
        <f>88.51598</f>
        <v>88.515979999999999</v>
      </c>
    </row>
    <row r="17" spans="1:14" x14ac:dyDescent="0.2">
      <c r="A17" s="42"/>
      <c r="B17" s="7" t="s">
        <v>19</v>
      </c>
      <c r="C17" s="29">
        <f>C15</f>
        <v>271804.40000000002</v>
      </c>
      <c r="D17" s="9">
        <v>279596.90000000002</v>
      </c>
      <c r="E17" s="9">
        <v>295689.3</v>
      </c>
      <c r="F17" s="30">
        <v>268209.2</v>
      </c>
      <c r="G17" s="29">
        <f>G15</f>
        <v>43</v>
      </c>
      <c r="H17" s="9">
        <v>59</v>
      </c>
      <c r="I17" s="9">
        <v>53</v>
      </c>
      <c r="J17" s="30">
        <v>43</v>
      </c>
      <c r="K17" s="29">
        <f>K15</f>
        <v>71.874970000000005</v>
      </c>
      <c r="L17" s="9">
        <f>96.48331</f>
        <v>96.483310000000003</v>
      </c>
      <c r="M17" s="9">
        <f>193.7138</f>
        <v>193.71379999999999</v>
      </c>
      <c r="N17" s="30">
        <f>100.3748</f>
        <v>100.37479999999999</v>
      </c>
    </row>
    <row r="18" spans="1:14" x14ac:dyDescent="0.2">
      <c r="A18" s="42"/>
      <c r="B18" s="7" t="s">
        <v>20</v>
      </c>
      <c r="C18" s="29">
        <f>C15</f>
        <v>271804.40000000002</v>
      </c>
      <c r="D18" s="9">
        <v>282342.3</v>
      </c>
      <c r="E18" s="9">
        <v>313151.8</v>
      </c>
      <c r="F18" s="30">
        <v>268229.90000000002</v>
      </c>
      <c r="G18" s="29">
        <f>G15</f>
        <v>43</v>
      </c>
      <c r="H18" s="9">
        <v>70</v>
      </c>
      <c r="I18" s="9">
        <v>61</v>
      </c>
      <c r="J18" s="30">
        <v>45</v>
      </c>
      <c r="K18" s="29">
        <f>K15</f>
        <v>71.874970000000005</v>
      </c>
      <c r="L18" s="9">
        <f>101.36885</f>
        <v>101.36884999999999</v>
      </c>
      <c r="M18" s="9">
        <f>230.7222</f>
        <v>230.72219999999999</v>
      </c>
      <c r="N18" s="30">
        <f>103.0678</f>
        <v>103.06780000000001</v>
      </c>
    </row>
    <row r="19" spans="1:14" ht="17" thickBot="1" x14ac:dyDescent="0.25">
      <c r="A19" s="43"/>
      <c r="B19" s="6" t="s">
        <v>21</v>
      </c>
      <c r="C19" s="29">
        <f>C15</f>
        <v>271804.40000000002</v>
      </c>
      <c r="D19" s="9">
        <v>284347.40000000002</v>
      </c>
      <c r="E19" s="9">
        <v>319509.8</v>
      </c>
      <c r="F19" s="30">
        <v>268099.09999999998</v>
      </c>
      <c r="G19" s="29">
        <f>G15</f>
        <v>43</v>
      </c>
      <c r="H19" s="9">
        <v>81</v>
      </c>
      <c r="I19" s="9">
        <v>65</v>
      </c>
      <c r="J19" s="30">
        <v>58</v>
      </c>
      <c r="K19" s="29">
        <f>K15</f>
        <v>71.874970000000005</v>
      </c>
      <c r="L19" s="9">
        <f>111.96045</f>
        <v>111.96044999999999</v>
      </c>
      <c r="M19" s="9">
        <f>257.1621</f>
        <v>257.16210000000001</v>
      </c>
      <c r="N19" s="30">
        <f>105.4962</f>
        <v>105.4962</v>
      </c>
    </row>
  </sheetData>
  <mergeCells count="7">
    <mergeCell ref="G1:J1"/>
    <mergeCell ref="K1:N1"/>
    <mergeCell ref="A15:A19"/>
    <mergeCell ref="A3:A4"/>
    <mergeCell ref="A5:A9"/>
    <mergeCell ref="A10:A14"/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BC02-C12E-7141-99FB-07FBC97C56C1}">
  <dimension ref="A1:N19"/>
  <sheetViews>
    <sheetView zoomScale="125" zoomScaleNormal="10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20.1640625" bestFit="1" customWidth="1"/>
    <col min="8" max="12" width="10.83203125" customWidth="1"/>
  </cols>
  <sheetData>
    <row r="1" spans="1:14" ht="26" thickBot="1" x14ac:dyDescent="0.25">
      <c r="B1" s="4" t="s">
        <v>0</v>
      </c>
      <c r="C1" s="44" t="s">
        <v>1</v>
      </c>
      <c r="D1" s="45"/>
      <c r="E1" s="45"/>
      <c r="F1" s="46"/>
      <c r="G1" s="47" t="s">
        <v>2</v>
      </c>
      <c r="H1" s="48"/>
      <c r="I1" s="48"/>
      <c r="J1" s="49"/>
      <c r="K1" s="44" t="s">
        <v>3</v>
      </c>
      <c r="L1" s="45"/>
      <c r="M1" s="45"/>
      <c r="N1" s="46"/>
    </row>
    <row r="2" spans="1:14" ht="25" thickBot="1" x14ac:dyDescent="0.25">
      <c r="B2" s="5"/>
      <c r="C2" s="1" t="s">
        <v>25</v>
      </c>
      <c r="D2" s="1" t="s">
        <v>11</v>
      </c>
      <c r="E2" s="1" t="s">
        <v>12</v>
      </c>
      <c r="F2" s="3" t="s">
        <v>10</v>
      </c>
      <c r="G2" s="1" t="s">
        <v>25</v>
      </c>
      <c r="H2" s="1" t="s">
        <v>11</v>
      </c>
      <c r="I2" s="1" t="s">
        <v>12</v>
      </c>
      <c r="J2" s="1" t="s">
        <v>10</v>
      </c>
      <c r="K2" s="2" t="s">
        <v>25</v>
      </c>
      <c r="L2" s="1" t="s">
        <v>11</v>
      </c>
      <c r="M2" s="1" t="s">
        <v>12</v>
      </c>
      <c r="N2" s="3" t="s">
        <v>10</v>
      </c>
    </row>
    <row r="3" spans="1:14" x14ac:dyDescent="0.2">
      <c r="A3" s="41" t="s">
        <v>24</v>
      </c>
      <c r="B3" s="21" t="s">
        <v>4</v>
      </c>
      <c r="C3" s="10">
        <v>1046730</v>
      </c>
      <c r="D3" s="11"/>
      <c r="E3" s="11"/>
      <c r="F3" s="12"/>
      <c r="G3" s="11"/>
      <c r="H3" s="11"/>
      <c r="I3" s="11"/>
      <c r="J3" s="11"/>
      <c r="K3" s="13"/>
      <c r="L3" s="14"/>
      <c r="M3" s="14"/>
      <c r="N3" s="15"/>
    </row>
    <row r="4" spans="1:14" ht="17" thickBot="1" x14ac:dyDescent="0.25">
      <c r="A4" s="43"/>
      <c r="B4" s="22" t="s">
        <v>5</v>
      </c>
      <c r="C4" s="16">
        <v>1046630</v>
      </c>
      <c r="D4" s="17"/>
      <c r="E4" s="17"/>
      <c r="F4" s="18"/>
      <c r="G4" s="17">
        <v>1</v>
      </c>
      <c r="H4" s="17"/>
      <c r="I4" s="17"/>
      <c r="J4" s="17"/>
      <c r="K4" s="23">
        <v>0</v>
      </c>
      <c r="L4" s="19"/>
      <c r="M4" s="19"/>
      <c r="N4" s="20"/>
    </row>
    <row r="5" spans="1:14" x14ac:dyDescent="0.2">
      <c r="A5" s="41" t="s">
        <v>6</v>
      </c>
      <c r="B5" s="21" t="s">
        <v>7</v>
      </c>
      <c r="C5" s="10">
        <v>1237774</v>
      </c>
      <c r="D5" s="11"/>
      <c r="E5" s="11"/>
      <c r="F5" s="12"/>
      <c r="G5" s="11">
        <v>51</v>
      </c>
      <c r="H5" s="11"/>
      <c r="I5" s="11"/>
      <c r="J5" s="11"/>
      <c r="K5" s="13">
        <f>94.97542</f>
        <v>94.97542</v>
      </c>
      <c r="L5" s="14"/>
      <c r="M5" s="14"/>
      <c r="N5" s="15">
        <f>((1-N6/K6)+(1-N7/K7)+(1-N8/K8)+(1-N9/K9))/4</f>
        <v>-0.71558941250272967</v>
      </c>
    </row>
    <row r="6" spans="1:14" x14ac:dyDescent="0.2">
      <c r="A6" s="42"/>
      <c r="B6" s="7" t="s">
        <v>26</v>
      </c>
      <c r="C6" s="29">
        <f>C5</f>
        <v>1237774</v>
      </c>
      <c r="D6" s="9">
        <f>1277971</f>
        <v>1277971</v>
      </c>
      <c r="E6" s="9">
        <f>1555392</f>
        <v>1555392</v>
      </c>
      <c r="F6" s="30">
        <f>1247923</f>
        <v>1247923</v>
      </c>
      <c r="G6" s="29">
        <f>G5</f>
        <v>51</v>
      </c>
      <c r="H6" s="9">
        <v>57</v>
      </c>
      <c r="I6" s="9">
        <v>53</v>
      </c>
      <c r="J6" s="30">
        <v>54</v>
      </c>
      <c r="K6" s="29">
        <f>K5</f>
        <v>94.97542</v>
      </c>
      <c r="L6" s="9">
        <v>111.3018</v>
      </c>
      <c r="M6" s="9">
        <f>169.9041</f>
        <v>169.9041</v>
      </c>
      <c r="N6" s="30">
        <v>152.96440000000001</v>
      </c>
    </row>
    <row r="7" spans="1:14" x14ac:dyDescent="0.2">
      <c r="A7" s="42"/>
      <c r="B7" s="7" t="s">
        <v>13</v>
      </c>
      <c r="C7" s="29">
        <f>C5</f>
        <v>1237774</v>
      </c>
      <c r="D7" s="9">
        <v>1264016</v>
      </c>
      <c r="E7" s="9">
        <v>1701713</v>
      </c>
      <c r="F7" s="30">
        <v>1237335</v>
      </c>
      <c r="G7" s="29">
        <f>G5</f>
        <v>51</v>
      </c>
      <c r="H7" s="9">
        <v>63</v>
      </c>
      <c r="I7" s="9">
        <v>54</v>
      </c>
      <c r="J7" s="30">
        <v>54</v>
      </c>
      <c r="K7" s="29">
        <f>K5</f>
        <v>94.97542</v>
      </c>
      <c r="L7" s="9">
        <f>123.4803</f>
        <v>123.4803</v>
      </c>
      <c r="M7" s="9">
        <f>205.0176</f>
        <v>205.01759999999999</v>
      </c>
      <c r="N7" s="30">
        <f>163.0689</f>
        <v>163.06890000000001</v>
      </c>
    </row>
    <row r="8" spans="1:14" x14ac:dyDescent="0.2">
      <c r="A8" s="42"/>
      <c r="B8" s="7" t="s">
        <v>14</v>
      </c>
      <c r="C8" s="29">
        <f>C5</f>
        <v>1237774</v>
      </c>
      <c r="D8" s="9">
        <v>1286028</v>
      </c>
      <c r="E8" s="9">
        <v>1919948</v>
      </c>
      <c r="F8" s="30">
        <v>1233268</v>
      </c>
      <c r="G8" s="29">
        <f>G5</f>
        <v>51</v>
      </c>
      <c r="H8" s="9">
        <v>69</v>
      </c>
      <c r="I8" s="9">
        <v>50</v>
      </c>
      <c r="J8" s="30">
        <v>61</v>
      </c>
      <c r="K8" s="29">
        <f>K5</f>
        <v>94.97542</v>
      </c>
      <c r="L8" s="9">
        <f>136.3884</f>
        <v>136.38839999999999</v>
      </c>
      <c r="M8" s="9">
        <f>227.4853</f>
        <v>227.4853</v>
      </c>
      <c r="N8" s="30">
        <f>162.5597</f>
        <v>162.55969999999999</v>
      </c>
    </row>
    <row r="9" spans="1:14" ht="17" thickBot="1" x14ac:dyDescent="0.25">
      <c r="A9" s="43"/>
      <c r="B9" s="8" t="s">
        <v>15</v>
      </c>
      <c r="C9" s="29">
        <f>C5</f>
        <v>1237774</v>
      </c>
      <c r="D9" s="9">
        <v>1284232</v>
      </c>
      <c r="E9" s="9">
        <f>1952061</f>
        <v>1952061</v>
      </c>
      <c r="F9" s="30">
        <v>1227892</v>
      </c>
      <c r="G9" s="29">
        <f>G5</f>
        <v>51</v>
      </c>
      <c r="H9" s="9">
        <v>71</v>
      </c>
      <c r="I9" s="9">
        <v>50</v>
      </c>
      <c r="J9" s="30">
        <v>62</v>
      </c>
      <c r="K9" s="29">
        <f>K5</f>
        <v>94.97542</v>
      </c>
      <c r="L9" s="9">
        <f>149.9094</f>
        <v>149.90940000000001</v>
      </c>
      <c r="M9" s="9">
        <f>271.1814</f>
        <v>271.1814</v>
      </c>
      <c r="N9" s="30">
        <f>173.1623</f>
        <v>173.16229999999999</v>
      </c>
    </row>
    <row r="10" spans="1:14" x14ac:dyDescent="0.2">
      <c r="A10" s="41" t="s">
        <v>22</v>
      </c>
      <c r="B10" s="21" t="s">
        <v>8</v>
      </c>
      <c r="C10" s="10">
        <v>1095343</v>
      </c>
      <c r="D10" s="11"/>
      <c r="E10" s="11"/>
      <c r="F10" s="12"/>
      <c r="G10" s="11">
        <v>25</v>
      </c>
      <c r="H10" s="11"/>
      <c r="I10" s="11"/>
      <c r="J10" s="11"/>
      <c r="K10" s="13">
        <f>64.93901</f>
        <v>64.939009999999996</v>
      </c>
      <c r="L10" s="14"/>
      <c r="M10" s="14"/>
      <c r="N10" s="15">
        <f>((1-N11/K11)+(1-N12/K12)+(1-N13/K13)+(1-N14/K14))/4</f>
        <v>-1.5091054668064698</v>
      </c>
    </row>
    <row r="11" spans="1:14" x14ac:dyDescent="0.2">
      <c r="A11" s="42"/>
      <c r="B11" s="7" t="s">
        <v>26</v>
      </c>
      <c r="C11" s="29">
        <f>C10</f>
        <v>1095343</v>
      </c>
      <c r="D11" s="9">
        <f>1159325</f>
        <v>1159325</v>
      </c>
      <c r="E11" s="9">
        <f>1228368</f>
        <v>1228368</v>
      </c>
      <c r="F11" s="30">
        <f>1083579</f>
        <v>1083579</v>
      </c>
      <c r="G11" s="29">
        <f>G10</f>
        <v>25</v>
      </c>
      <c r="H11" s="9">
        <v>46</v>
      </c>
      <c r="I11" s="9">
        <v>58</v>
      </c>
      <c r="J11" s="30">
        <v>38</v>
      </c>
      <c r="K11" s="29">
        <f>K10</f>
        <v>64.939009999999996</v>
      </c>
      <c r="L11" s="9">
        <v>111.3018</v>
      </c>
      <c r="M11" s="9">
        <f>169.9041</f>
        <v>169.9041</v>
      </c>
      <c r="N11" s="30">
        <v>152.96440000000001</v>
      </c>
    </row>
    <row r="12" spans="1:14" x14ac:dyDescent="0.2">
      <c r="A12" s="42"/>
      <c r="B12" s="7" t="s">
        <v>16</v>
      </c>
      <c r="C12" s="29">
        <f>C10</f>
        <v>1095343</v>
      </c>
      <c r="D12" s="9">
        <v>1209940</v>
      </c>
      <c r="E12" s="9">
        <v>1275046</v>
      </c>
      <c r="F12" s="30">
        <v>1082466</v>
      </c>
      <c r="G12" s="29">
        <f>G10</f>
        <v>25</v>
      </c>
      <c r="H12" s="9">
        <v>53</v>
      </c>
      <c r="I12" s="9">
        <v>61</v>
      </c>
      <c r="J12" s="30">
        <v>48</v>
      </c>
      <c r="K12" s="29">
        <f>K10</f>
        <v>64.939009999999996</v>
      </c>
      <c r="L12" s="9">
        <f>123.4803</f>
        <v>123.4803</v>
      </c>
      <c r="M12" s="9">
        <f>205.0176</f>
        <v>205.01759999999999</v>
      </c>
      <c r="N12" s="30">
        <f>163.0689</f>
        <v>163.06890000000001</v>
      </c>
    </row>
    <row r="13" spans="1:14" x14ac:dyDescent="0.2">
      <c r="A13" s="42"/>
      <c r="B13" s="7" t="s">
        <v>17</v>
      </c>
      <c r="C13" s="29">
        <f>C10</f>
        <v>1095343</v>
      </c>
      <c r="D13" s="9">
        <v>1222650</v>
      </c>
      <c r="E13" s="9">
        <v>1353253</v>
      </c>
      <c r="F13" s="30">
        <v>1087545</v>
      </c>
      <c r="G13" s="29">
        <f>G10</f>
        <v>25</v>
      </c>
      <c r="H13" s="9">
        <v>54</v>
      </c>
      <c r="I13" s="9">
        <v>65</v>
      </c>
      <c r="J13" s="30">
        <v>48</v>
      </c>
      <c r="K13" s="29">
        <f>K10</f>
        <v>64.939009999999996</v>
      </c>
      <c r="L13" s="9">
        <f>136.3884</f>
        <v>136.38839999999999</v>
      </c>
      <c r="M13" s="9">
        <f>227.4853</f>
        <v>227.4853</v>
      </c>
      <c r="N13" s="30">
        <f>162.5597</f>
        <v>162.55969999999999</v>
      </c>
    </row>
    <row r="14" spans="1:14" ht="17" thickBot="1" x14ac:dyDescent="0.25">
      <c r="A14" s="43"/>
      <c r="B14" s="6" t="s">
        <v>18</v>
      </c>
      <c r="C14" s="29">
        <f>C10</f>
        <v>1095343</v>
      </c>
      <c r="D14" s="9">
        <v>1210242</v>
      </c>
      <c r="E14" s="9">
        <v>1445724</v>
      </c>
      <c r="F14" s="30">
        <v>1079757</v>
      </c>
      <c r="G14" s="29">
        <f>G10</f>
        <v>25</v>
      </c>
      <c r="H14" s="9">
        <v>58</v>
      </c>
      <c r="I14" s="9">
        <v>74</v>
      </c>
      <c r="J14" s="30">
        <v>53</v>
      </c>
      <c r="K14" s="29">
        <f>K10</f>
        <v>64.939009999999996</v>
      </c>
      <c r="L14" s="9">
        <f>149.9094</f>
        <v>149.90940000000001</v>
      </c>
      <c r="M14" s="9">
        <f>271.1814</f>
        <v>271.1814</v>
      </c>
      <c r="N14" s="30">
        <f>173.1623</f>
        <v>173.16229999999999</v>
      </c>
    </row>
    <row r="15" spans="1:14" x14ac:dyDescent="0.2">
      <c r="A15" s="41" t="s">
        <v>23</v>
      </c>
      <c r="B15" s="21" t="s">
        <v>9</v>
      </c>
      <c r="C15" s="10">
        <v>1080956</v>
      </c>
      <c r="D15" s="11"/>
      <c r="E15" s="11"/>
      <c r="F15" s="12"/>
      <c r="G15" s="11">
        <v>35</v>
      </c>
      <c r="H15" s="11"/>
      <c r="I15" s="11"/>
      <c r="J15" s="11"/>
      <c r="K15" s="13">
        <f>56.0989</f>
        <v>56.0989</v>
      </c>
      <c r="L15" s="14"/>
      <c r="M15" s="14"/>
      <c r="N15" s="15">
        <f>((1-N16/K16)+(1-N17/K17)+(1-N18/K18)+(1-N19/K19))/4</f>
        <v>-1.0675748544089099</v>
      </c>
    </row>
    <row r="16" spans="1:14" x14ac:dyDescent="0.2">
      <c r="A16" s="42"/>
      <c r="B16" s="7" t="s">
        <v>26</v>
      </c>
      <c r="C16" s="29">
        <f>C15</f>
        <v>1080956</v>
      </c>
      <c r="D16" s="9">
        <f>1079594</f>
        <v>1079594</v>
      </c>
      <c r="E16" s="9">
        <f>1117222</f>
        <v>1117222</v>
      </c>
      <c r="F16" s="30">
        <f>1079295</f>
        <v>1079295</v>
      </c>
      <c r="G16" s="29">
        <f>G15</f>
        <v>35</v>
      </c>
      <c r="H16" s="9">
        <v>55</v>
      </c>
      <c r="I16" s="9">
        <v>60</v>
      </c>
      <c r="J16" s="30">
        <v>36</v>
      </c>
      <c r="K16" s="29">
        <f>K15</f>
        <v>56.0989</v>
      </c>
      <c r="L16" s="9">
        <v>70.177149999999997</v>
      </c>
      <c r="M16" s="9">
        <f>145.9185</f>
        <v>145.91849999999999</v>
      </c>
      <c r="N16" s="30">
        <v>95.614400000000003</v>
      </c>
    </row>
    <row r="17" spans="1:14" x14ac:dyDescent="0.2">
      <c r="A17" s="42"/>
      <c r="B17" s="7" t="s">
        <v>19</v>
      </c>
      <c r="C17" s="29">
        <f>C15</f>
        <v>1080956</v>
      </c>
      <c r="D17" s="9">
        <v>1096804</v>
      </c>
      <c r="E17" s="9">
        <v>1161971</v>
      </c>
      <c r="F17" s="30">
        <v>1076329</v>
      </c>
      <c r="G17" s="29">
        <f>G15</f>
        <v>35</v>
      </c>
      <c r="H17" s="9">
        <v>75</v>
      </c>
      <c r="I17" s="9">
        <v>64</v>
      </c>
      <c r="J17" s="30">
        <v>47</v>
      </c>
      <c r="K17" s="29">
        <f>K15</f>
        <v>56.0989</v>
      </c>
      <c r="L17" s="9">
        <f>85.1346</f>
        <v>85.134600000000006</v>
      </c>
      <c r="M17" s="9">
        <f>170.4139</f>
        <v>170.41390000000001</v>
      </c>
      <c r="N17" s="30">
        <f>117.202</f>
        <v>117.202</v>
      </c>
    </row>
    <row r="18" spans="1:14" x14ac:dyDescent="0.2">
      <c r="A18" s="42"/>
      <c r="B18" s="7" t="s">
        <v>20</v>
      </c>
      <c r="C18" s="29">
        <f>C15</f>
        <v>1080956</v>
      </c>
      <c r="D18" s="9">
        <v>1119323</v>
      </c>
      <c r="E18" s="9">
        <v>1209412</v>
      </c>
      <c r="F18" s="30">
        <v>1081421</v>
      </c>
      <c r="G18" s="29">
        <f>G15</f>
        <v>35</v>
      </c>
      <c r="H18" s="9">
        <v>79</v>
      </c>
      <c r="I18" s="9">
        <v>73</v>
      </c>
      <c r="J18" s="30">
        <v>47</v>
      </c>
      <c r="K18" s="29">
        <f>K15</f>
        <v>56.0989</v>
      </c>
      <c r="L18" s="9">
        <f>91.31585</f>
        <v>91.315849999999998</v>
      </c>
      <c r="M18" s="9">
        <f>198.8117</f>
        <v>198.8117</v>
      </c>
      <c r="N18" s="30">
        <f>123.244</f>
        <v>123.244</v>
      </c>
    </row>
    <row r="19" spans="1:14" ht="17" thickBot="1" x14ac:dyDescent="0.25">
      <c r="A19" s="43"/>
      <c r="B19" s="6" t="s">
        <v>21</v>
      </c>
      <c r="C19" s="29">
        <f>C15</f>
        <v>1080956</v>
      </c>
      <c r="D19" s="9">
        <v>1134821</v>
      </c>
      <c r="E19" s="9">
        <v>1312346</v>
      </c>
      <c r="F19" s="30">
        <v>1068810</v>
      </c>
      <c r="G19" s="29">
        <f>G15</f>
        <v>35</v>
      </c>
      <c r="H19" s="9">
        <v>94</v>
      </c>
      <c r="I19" s="9">
        <v>88</v>
      </c>
      <c r="J19" s="30">
        <v>57</v>
      </c>
      <c r="K19" s="29">
        <f>K15</f>
        <v>56.0989</v>
      </c>
      <c r="L19" s="9">
        <f>100.20965</f>
        <v>100.20965</v>
      </c>
      <c r="M19" s="9">
        <f>202.8597</f>
        <v>202.8597</v>
      </c>
      <c r="N19" s="30">
        <f>127.8943</f>
        <v>127.8943</v>
      </c>
    </row>
  </sheetData>
  <mergeCells count="7">
    <mergeCell ref="G1:J1"/>
    <mergeCell ref="K1:N1"/>
    <mergeCell ref="A10:A14"/>
    <mergeCell ref="A15:A19"/>
    <mergeCell ref="A3:A4"/>
    <mergeCell ref="A5:A9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Similarity</vt:lpstr>
      <vt:lpstr>prm</vt:lpstr>
      <vt:lpstr>Asia</vt:lpstr>
      <vt:lpstr>Sports</vt:lpstr>
      <vt:lpstr>Insurance</vt:lpstr>
      <vt:lpstr>Alarm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ＤＡＶＩＤ　ＨＩＧＵＩＴＡ　ＤＵＶＡＮ　ＣＡＭＩＬＯ</dc:creator>
  <cp:lastModifiedBy>Duvan Camilo D.</cp:lastModifiedBy>
  <dcterms:created xsi:type="dcterms:W3CDTF">2023-03-07T02:22:15Z</dcterms:created>
  <dcterms:modified xsi:type="dcterms:W3CDTF">2024-02-29T05:22:23Z</dcterms:modified>
</cp:coreProperties>
</file>