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spreadsheetml.worksheet+xml" PartName="/xl/worksheets/sheet15.xml"/>
  <Override ContentType="application/vnd.openxmlformats-officedocument.drawing+xml" PartName="/xl/drawings/drawing15.xml"/>
  <Override ContentType="application/vnd.openxmlformats-officedocument.spreadsheetml.worksheet+xml" PartName="/xl/worksheets/sheet16.xml"/>
  <Override ContentType="application/vnd.openxmlformats-officedocument.drawing+xml" PartName="/xl/drawings/drawing16.xml"/>
  <Override ContentType="application/vnd.openxmlformats-officedocument.spreadsheetml.worksheet+xml" PartName="/xl/worksheets/sheet17.xml"/>
  <Override ContentType="application/vnd.openxmlformats-officedocument.drawing+xml" PartName="/xl/drawings/drawing17.xml"/>
  <Override ContentType="application/vnd.openxmlformats-officedocument.spreadsheetml.worksheet+xml" PartName="/xl/worksheets/sheet18.xml"/>
  <Override ContentType="application/vnd.openxmlformats-officedocument.drawing+xml" PartName="/xl/drawings/drawing18.xml"/>
  <Override ContentType="application/vnd.openxmlformats-officedocument.spreadsheetml.worksheet+xml" PartName="/xl/worksheets/sheet19.xml"/>
  <Override ContentType="application/vnd.openxmlformats-officedocument.drawing+xml" PartName="/xl/drawings/drawing19.xml"/>
  <Override ContentType="application/vnd.openxmlformats-officedocument.spreadsheetml.worksheet+xml" PartName="/xl/worksheets/sheet20.xml"/>
  <Override ContentType="application/vnd.openxmlformats-officedocument.drawing+xml" PartName="/xl/drawings/drawing20.xml"/>
  <Override ContentType="application/vnd.openxmlformats-officedocument.spreadsheetml.worksheet+xml" PartName="/xl/worksheets/sheet21.xml"/>
  <Override ContentType="application/vnd.openxmlformats-officedocument.drawing+xml" PartName="/xl/drawings/drawing21.xml"/>
  <Override ContentType="application/vnd.openxmlformats-officedocument.spreadsheetml.worksheet+xml" PartName="/xl/worksheets/sheet22.xml"/>
  <Override ContentType="application/vnd.openxmlformats-officedocument.drawing+xml" PartName="/xl/drawings/drawing22.xml"/>
  <Override ContentType="application/vnd.openxmlformats-officedocument.spreadsheetml.worksheet+xml" PartName="/xl/worksheets/sheet23.xml"/>
  <Override ContentType="application/vnd.openxmlformats-officedocument.drawing+xml" PartName="/xl/drawings/drawing23.xml"/>
  <Override ContentType="application/vnd.openxmlformats-officedocument.spreadsheetml.worksheet+xml" PartName="/xl/worksheets/sheet24.xml"/>
  <Override ContentType="application/vnd.openxmlformats-officedocument.drawing+xml" PartName="/xl/drawings/drawing24.xml"/>
  <Override ContentType="application/vnd.openxmlformats-officedocument.spreadsheetml.worksheet+xml" PartName="/xl/worksheets/sheet25.xml"/>
  <Override ContentType="application/vnd.openxmlformats-officedocument.drawing+xml" PartName="/xl/drawings/drawing25.xml"/>
  <Override ContentType="application/vnd.openxmlformats-officedocument.spreadsheetml.worksheet+xml" PartName="/xl/worksheets/sheet26.xml"/>
  <Override ContentType="application/vnd.openxmlformats-officedocument.drawing+xml" PartName="/xl/drawings/drawing26.xml"/>
  <Override ContentType="application/vnd.openxmlformats-officedocument.spreadsheetml.worksheet+xml" PartName="/xl/worksheets/sheet27.xml"/>
  <Override ContentType="application/vnd.openxmlformats-officedocument.drawing+xml" PartName="/xl/drawings/drawing27.xml"/>
  <Override ContentType="application/vnd.openxmlformats-officedocument.spreadsheetml.worksheet+xml" PartName="/xl/worksheets/sheet28.xml"/>
  <Override ContentType="application/vnd.openxmlformats-officedocument.drawing+xml" PartName="/xl/drawings/drawing2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All Years" sheetId="1" r:id="rId5"/>
    <sheet state="visible" name="📈 Projections 2026" sheetId="2" r:id="rId6"/>
    <sheet state="visible" name="May 2026" sheetId="3" r:id="rId7"/>
    <sheet state="visible" name="Jun 2026" sheetId="4" r:id="rId8"/>
    <sheet state="visible" name="Jul 2026" sheetId="5" r:id="rId9"/>
    <sheet state="visible" name="Aug 2026" sheetId="6" r:id="rId10"/>
    <sheet state="visible" name="Sep 2026" sheetId="7" r:id="rId11"/>
    <sheet state="visible" name="Oct 2026" sheetId="8" r:id="rId12"/>
    <sheet state="visible" name="Nov 2026" sheetId="9" r:id="rId13"/>
    <sheet state="visible" name="Dec 2026" sheetId="10" r:id="rId14"/>
    <sheet state="visible" name="Jan 2027" sheetId="11" r:id="rId15"/>
    <sheet state="visible" name="Feb 2027" sheetId="12" r:id="rId16"/>
    <sheet state="visible" name="Mar 2027" sheetId="13" r:id="rId17"/>
    <sheet state="visible" name="Apr 2027" sheetId="14" r:id="rId18"/>
    <sheet state="visible" name="May 2027" sheetId="15" r:id="rId19"/>
    <sheet state="visible" name="Jun 2027" sheetId="16" r:id="rId20"/>
    <sheet state="visible" name="Jul 2027" sheetId="17" r:id="rId21"/>
    <sheet state="visible" name="Aug 2027" sheetId="18" r:id="rId22"/>
    <sheet state="visible" name="Sep 2027" sheetId="19" r:id="rId23"/>
    <sheet state="visible" name="Oct 2027" sheetId="20" r:id="rId24"/>
    <sheet state="visible" name="Nov 2027" sheetId="21" r:id="rId25"/>
    <sheet state="visible" name="Dec 2027" sheetId="22" r:id="rId26"/>
    <sheet state="visible" name="Jan 2028" sheetId="23" r:id="rId27"/>
    <sheet state="visible" name="Feb 2028" sheetId="24" r:id="rId28"/>
    <sheet state="visible" name="Mar 2028" sheetId="25" r:id="rId29"/>
    <sheet state="visible" name="Apr 2028" sheetId="26" r:id="rId30"/>
    <sheet state="visible" name="May 2028" sheetId="27" r:id="rId31"/>
    <sheet state="visible" name="Jun 2028" sheetId="28" r:id="rId32"/>
  </sheets>
  <definedNames>
    <definedName hidden="1" localSheetId="2" name="_xlnm._FilterDatabase">'May 2026'!$J$11:$R$131</definedName>
    <definedName hidden="1" localSheetId="3" name="_xlnm._FilterDatabase">'Jun 2026'!$J$11:$R$131</definedName>
    <definedName hidden="1" localSheetId="4" name="_xlnm._FilterDatabase">'Jul 2026'!$J$11:$R$131</definedName>
    <definedName hidden="1" localSheetId="5" name="_xlnm._FilterDatabase">'Aug 2026'!$J$11:$R$131</definedName>
    <definedName hidden="1" localSheetId="6" name="_xlnm._FilterDatabase">'Sep 2026'!$J$11:$R$131</definedName>
    <definedName hidden="1" localSheetId="7" name="_xlnm._FilterDatabase">'Oct 2026'!$J$11:$R$131</definedName>
    <definedName hidden="1" localSheetId="8" name="_xlnm._FilterDatabase">'Nov 2026'!$J$11:$R$131</definedName>
    <definedName hidden="1" localSheetId="9" name="_xlnm._FilterDatabase">'Dec 2026'!$J$11:$R$131</definedName>
    <definedName hidden="1" localSheetId="10" name="_xlnm._FilterDatabase">'Jan 2027'!$J$11:$R$131</definedName>
    <definedName hidden="1" localSheetId="11" name="_xlnm._FilterDatabase">'Feb 2027'!$J$11:$R$131</definedName>
    <definedName hidden="1" localSheetId="12" name="_xlnm._FilterDatabase">'Mar 2027'!$J$11:$R$131</definedName>
    <definedName hidden="1" localSheetId="13" name="_xlnm._FilterDatabase">'Apr 2027'!$J$11:$R$131</definedName>
    <definedName hidden="1" localSheetId="14" name="_xlnm._FilterDatabase">'May 2027'!$J$11:$R$131</definedName>
    <definedName hidden="1" localSheetId="15" name="_xlnm._FilterDatabase">'Jun 2027'!$J$11:$R$131</definedName>
    <definedName hidden="1" localSheetId="16" name="_xlnm._FilterDatabase">'Jul 2027'!$J$11:$R$131</definedName>
    <definedName hidden="1" localSheetId="17" name="_xlnm._FilterDatabase">'Aug 2027'!$J$11:$R$131</definedName>
    <definedName hidden="1" localSheetId="18" name="_xlnm._FilterDatabase">'Sep 2027'!$J$11:$R$131</definedName>
    <definedName hidden="1" localSheetId="19" name="_xlnm._FilterDatabase">'Oct 2027'!$J$11:$R$131</definedName>
    <definedName hidden="1" localSheetId="20" name="_xlnm._FilterDatabase">'Nov 2027'!$J$11:$R$131</definedName>
    <definedName hidden="1" localSheetId="21" name="_xlnm._FilterDatabase">'Dec 2027'!$J$11:$R$131</definedName>
    <definedName hidden="1" localSheetId="22" name="_xlnm._FilterDatabase">'Jan 2028'!$J$11:$R$131</definedName>
    <definedName hidden="1" localSheetId="23" name="_xlnm._FilterDatabase">'Feb 2028'!$J$11:$R$131</definedName>
    <definedName hidden="1" localSheetId="24" name="_xlnm._FilterDatabase">'Mar 2028'!$J$11:$R$131</definedName>
    <definedName hidden="1" localSheetId="25" name="_xlnm._FilterDatabase">'Apr 2028'!$J$11:$R$131</definedName>
    <definedName hidden="1" localSheetId="26" name="_xlnm._FilterDatabase">'May 2028'!$J$11:$R$131</definedName>
    <definedName hidden="1" localSheetId="27" name="_xlnm._FilterDatabase">'Jun 2028'!$J$11:$R$131</definedName>
  </definedNames>
  <calcPr fullCalcOnLoad="1"/>
</workbook>
</file>

<file path=xl/sharedStrings.xml><?xml version="1.0" encoding="utf-8"?>
<sst xmlns="http://schemas.openxmlformats.org/spreadsheetml/2006/main" count="1443" uniqueCount="252">
  <si>
    <t xml:space="preserve">  📊  2026 Annual Dashboard  (May – Dec)  —  Auto-updates from monthly tabs</t>
  </si>
  <si>
    <t xml:space="preserve">  Log expenses in each month tab → this dashboard updates automatically.</t>
  </si>
  <si>
    <t>Category / Item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</si>
  <si>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</si>
  <si>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</si>
  <si>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</si>
  <si>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</si>
  <si>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</si>
  <si>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</si>
  <si>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</si>
  <si>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</si>
  <si>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</si>
  <si>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Avg/Mo</t>
  </si>
  <si>
    <t>% YTD</t>
  </si>
  <si>
    <t xml:space="preserve">  📥  INCOME</t>
  </si>
  <si>
    <t>Total Monthly Income</t>
  </si>
  <si>
    <t xml:space="preserve">  🏠  RENT &amp; ADJUSTMENTS</t>
  </si>
  <si>
    <t>Your Base Rent Share</t>
  </si>
  <si>
    <t>Rent After Adjustment</t>
  </si>
  <si>
    <t xml:space="preserve">  🧾  EXPENSE CATEGORIES  (your share)</t>
  </si>
  <si>
    <t>Groceries</t>
  </si>
  <si>
    <t>Utilities</t>
  </si>
  <si>
    <t>Gas / Transport</t>
  </si>
  <si>
    <t>Dining / Takeout</t>
  </si>
  <si>
    <t>Entertainment</t>
  </si>
  <si>
    <t>Health</t>
  </si>
  <si>
    <t>Shopping</t>
  </si>
  <si>
    <t>Subscriptions</t>
  </si>
  <si>
    <t>Cash</t>
  </si>
  <si>
    <t>Personal / Misc</t>
  </si>
  <si>
    <t>Other</t>
  </si>
  <si>
    <t>Travel</t>
  </si>
  <si>
    <t>TOTAL (spending + rent + invest)</t>
  </si>
  <si>
    <t>Investment</t>
  </si>
  <si>
    <t>💵  Money Left Over</t>
  </si>
  <si>
    <t xml:space="preserve">  💳  CREDIT CARD PAYMENTS</t>
  </si>
  <si>
    <t>Card</t>
  </si>
  <si>
    <t>CFU</t>
  </si>
  <si>
    <t>CSP</t>
  </si>
  <si>
    <t>Discover</t>
  </si>
  <si>
    <t>Citi</t>
  </si>
  <si>
    <t>Capital One</t>
  </si>
  <si>
    <t>WF</t>
  </si>
  <si>
    <t>Amazon Card</t>
  </si>
  <si>
    <t>Robinhood</t>
  </si>
  <si>
    <t>TOTAL CC CHARGES</t>
  </si>
  <si>
    <t xml:space="preserve">  📈  INVESTMENTS</t>
  </si>
  <si>
    <t>Robinhood Brokerage</t>
  </si>
  <si>
    <t>Vanguard IRA</t>
  </si>
  <si>
    <t>Ally — Wants</t>
  </si>
  <si>
    <t>Ally — Vacation</t>
  </si>
  <si>
    <t>Ally — Car Fund</t>
  </si>
  <si>
    <t>Ally — Emergency Fund</t>
  </si>
  <si>
    <t>Ally Total Added</t>
  </si>
  <si>
    <t>Total Invested (excl. Ally)</t>
  </si>
  <si>
    <t xml:space="preserve">  🏦  ALLY SAVINGS BALANCES</t>
  </si>
  <si>
    <t>Ally — Wants Balance</t>
  </si>
  <si>
    <t>Ally — Vacation Balance</t>
  </si>
  <si>
    <t>Ally — Car Fund Balance</t>
  </si>
  <si>
    <t>Ally — Emergency Fund Balance</t>
  </si>
  <si>
    <t>Ally Total Balance</t>
  </si>
  <si>
    <t xml:space="preserve">  📊  BOTTOM LINE</t>
  </si>
  <si>
    <t>TOTAL GOING OUT</t>
  </si>
  <si>
    <t>💡  Who Covers?: "Me"=you paid full (partner owes their share back via rent), "Sharon"=she paid (credits your rent), "Split"=each pays own</t>
  </si>
  <si>
    <t>📈  2026 Month-by-Month Comparison &amp; Year-End Projection</t>
  </si>
  <si>
    <t>Actuals through current month · Remaining months = pre-planned expenses only · Year-end = Dec leftover</t>
  </si>
  <si>
    <t>Category / Metric</t>
  </si>
  <si>
    <t>Year-End Proj</t>
  </si>
  <si>
    <t>Budget</t>
  </si>
  <si>
    <t>Paycheck Income (excl. carry-over)</t>
  </si>
  <si>
    <t>Carry-Over from Prior Month</t>
  </si>
  <si>
    <t>Total Available (incl. carry-over)</t>
  </si>
  <si>
    <t xml:space="preserve">  🧾  SPENDING (YOUR SHARE)</t>
  </si>
  <si>
    <t>Investment (excl. Ally)</t>
  </si>
  <si>
    <t>💵  MONEY LEFT OVER</t>
  </si>
  <si>
    <t xml:space="preserve">  💳  CREDIT CARD CHARGES</t>
  </si>
  <si>
    <t>CFF</t>
  </si>
  <si>
    <t xml:space="preserve">  📈  INVESTMENTS &amp; SAVINGS</t>
  </si>
  <si>
    <t>Robinhood — Added</t>
  </si>
  <si>
    <t>Vanguard IRA — Added</t>
  </si>
  <si>
    <t>Ally Wants — Added</t>
  </si>
  <si>
    <t>Ally Vacation — Added</t>
  </si>
  <si>
    <t>Ally Car Fund — Added</t>
  </si>
  <si>
    <t>Ally Emergency — Added</t>
  </si>
  <si>
    <t>Wants Balance</t>
  </si>
  <si>
    <t>Vacation Balance</t>
  </si>
  <si>
    <t>Car Fund Balance</t>
  </si>
  <si>
    <t>Emergency Fund Balance</t>
  </si>
  <si>
    <t xml:space="preserve">  🎯  BUDGET vs ACTUAL (YOUR SHARE)</t>
  </si>
  <si>
    <t>Set monthly budget targets in each month tab (col F of Category Summary). Negative = over budget.</t>
  </si>
  <si>
    <t>Groceries — vs Budget</t>
  </si>
  <si>
    <t>Utilities — vs Budget</t>
  </si>
  <si>
    <t>Gas / Transport — vs Budget</t>
  </si>
  <si>
    <t>Dining / Takeout — vs Budget</t>
  </si>
  <si>
    <t>Entertainment — vs Budget</t>
  </si>
  <si>
    <t>Health — vs Budget</t>
  </si>
  <si>
    <t>Shopping — vs Budget</t>
  </si>
  <si>
    <t>Subscriptions — vs Budget</t>
  </si>
  <si>
    <t>Cash — vs Budget</t>
  </si>
  <si>
    <t>Personal / Misc — vs Budget</t>
  </si>
  <si>
    <t>Other — vs Budget</t>
  </si>
  <si>
    <t xml:space="preserve">  💰  May 2026  —  Expense Tracker</t>
  </si>
  <si>
    <t xml:space="preserve">  LEFT: summaries auto-update  |  RIGHT: log every transaction  |  Blue cells = enter data</t>
  </si>
  <si>
    <t xml:space="preserve">  ⚙️  SETTINGS</t>
  </si>
  <si>
    <t>Paycheck #1 (mid-mo)</t>
  </si>
  <si>
    <t>Paycheck #2 (end-mo)</t>
  </si>
  <si>
    <t>Full Monthly Rent</t>
  </si>
  <si>
    <t>Your Rent Split %</t>
  </si>
  <si>
    <t>Monthly Savings Goal</t>
  </si>
  <si>
    <t>Carried Over (prior month)</t>
  </si>
  <si>
    <t xml:space="preserve">  📊  CATEGORY SUMMARY</t>
  </si>
  <si>
    <t xml:space="preserve">  📋  EXPENSE LOG  —  Enter every transaction here</t>
  </si>
  <si>
    <t>Category</t>
  </si>
  <si>
    <t>Your Share $</t>
  </si>
  <si>
    <t>% Income</t>
  </si>
  <si>
    <t>Budget $</t>
  </si>
  <si>
    <t>vs Budget</t>
  </si>
  <si>
    <t>#</t>
  </si>
  <si>
    <t>Date</t>
  </si>
  <si>
    <t>Description</t>
  </si>
  <si>
    <t>Credit Card</t>
  </si>
  <si>
    <t>Total $</t>
  </si>
  <si>
    <t>Split %</t>
  </si>
  <si>
    <t>Notes / Memo</t>
  </si>
  <si>
    <t>Recurring?</t>
  </si>
  <si>
    <t>Car Insurance</t>
  </si>
  <si>
    <t>Auto-pay</t>
  </si>
  <si>
    <t>Y</t>
  </si>
  <si>
    <t>Stronghold</t>
  </si>
  <si>
    <t>Spectrum Internet</t>
  </si>
  <si>
    <t>Amazon Prime</t>
  </si>
  <si>
    <t>Spotify</t>
  </si>
  <si>
    <t>Electricity</t>
  </si>
  <si>
    <t>She pays</t>
  </si>
  <si>
    <t>Twitch Sub</t>
  </si>
  <si>
    <t>Claude AI</t>
  </si>
  <si>
    <t>Discord</t>
  </si>
  <si>
    <t>Ervin Gas</t>
  </si>
  <si>
    <t>Sharon Gas</t>
  </si>
  <si>
    <t>Ralphs 1</t>
  </si>
  <si>
    <t>Adjusted Rent</t>
  </si>
  <si>
    <t>Costco</t>
  </si>
  <si>
    <t>Albertsons</t>
  </si>
  <si>
    <t>TOTAL Going Out</t>
  </si>
  <si>
    <t>TJs</t>
  </si>
  <si>
    <t>Costco + Ralph's</t>
  </si>
  <si>
    <t>Stater Bros</t>
  </si>
  <si>
    <t>Total This Month $</t>
  </si>
  <si>
    <t>Jons</t>
  </si>
  <si>
    <t>Target</t>
  </si>
  <si>
    <t>Grocery Outlet</t>
  </si>
  <si>
    <t>Tacos Ervin</t>
  </si>
  <si>
    <t>Tacos and proof Sharon</t>
  </si>
  <si>
    <t>Izakaya</t>
  </si>
  <si>
    <t>Paris baguette</t>
  </si>
  <si>
    <t>Dominoes</t>
  </si>
  <si>
    <t>Chilis</t>
  </si>
  <si>
    <t>Toontown market foods</t>
  </si>
  <si>
    <t>Smoke queen</t>
  </si>
  <si>
    <t>Coffee Disney</t>
  </si>
  <si>
    <t>Sundae churros</t>
  </si>
  <si>
    <t>Chicken Bao</t>
  </si>
  <si>
    <t>Canes</t>
  </si>
  <si>
    <t>Account</t>
  </si>
  <si>
    <t>Added This Month $</t>
  </si>
  <si>
    <t>Invested $</t>
  </si>
  <si>
    <t>Roy Last day Turon</t>
  </si>
  <si>
    <t>Oven Thermometer</t>
  </si>
  <si>
    <t>LA TACO</t>
  </si>
  <si>
    <t xml:space="preserve">  🏦  Ally Savings Buckets</t>
  </si>
  <si>
    <t>Flowers</t>
  </si>
  <si>
    <t>Bucket</t>
  </si>
  <si>
    <t>Balance $</t>
  </si>
  <si>
    <t>Steam Games</t>
  </si>
  <si>
    <t>Wants</t>
  </si>
  <si>
    <t>Remote + Soap</t>
  </si>
  <si>
    <t>Vacation</t>
  </si>
  <si>
    <t>Concert tickets</t>
  </si>
  <si>
    <t>Car Fund</t>
  </si>
  <si>
    <t>h18</t>
  </si>
  <si>
    <t>Emergency Fund</t>
  </si>
  <si>
    <t>Disney parking</t>
  </si>
  <si>
    <t>Ally Total</t>
  </si>
  <si>
    <t>Work Jacket</t>
  </si>
  <si>
    <t>In n out</t>
  </si>
  <si>
    <t xml:space="preserve">  📈  MONTHLY SUMMARY</t>
  </si>
  <si>
    <t>Lasita</t>
  </si>
  <si>
    <t>Vons</t>
  </si>
  <si>
    <t>USA Gas Ervin</t>
  </si>
  <si>
    <t>You Covered (partner's share ↓ your rent)</t>
  </si>
  <si>
    <t>Sinclair Gas Sharon</t>
  </si>
  <si>
    <t>Car Wash</t>
  </si>
  <si>
    <t>Your Rent After Adjustment</t>
  </si>
  <si>
    <t>Student Loan Cash</t>
  </si>
  <si>
    <t>Total CC Charges</t>
  </si>
  <si>
    <t>Costco steak and stuff</t>
  </si>
  <si>
    <t>Little Tokyo market place</t>
  </si>
  <si>
    <t>Gen KBBQ</t>
  </si>
  <si>
    <t>Look Food + Parking</t>
  </si>
  <si>
    <t>5 punch LBR</t>
  </si>
  <si>
    <t xml:space="preserve">  🔁  PARTNER BALANCE</t>
  </si>
  <si>
    <t>Rakkan Ramen</t>
  </si>
  <si>
    <t>Sharon Base Rent Share</t>
  </si>
  <si>
    <t>Foodoligie</t>
  </si>
  <si>
    <t>She Covered (your share ↑ her rent)</t>
  </si>
  <si>
    <t>2nd street</t>
  </si>
  <si>
    <t>Aritzia Sweat pants</t>
  </si>
  <si>
    <t>Steam</t>
  </si>
  <si>
    <t>Far far west</t>
  </si>
  <si>
    <t>Sharon's Total Rent This Month</t>
  </si>
  <si>
    <t>TJs+Ralphs</t>
  </si>
  <si>
    <t>You Owe Sharon (if she overpaid)</t>
  </si>
  <si>
    <t>Kitsmet Rotisserie</t>
  </si>
  <si>
    <t>Bao Master</t>
  </si>
  <si>
    <t>99 Ranch+sprouts</t>
  </si>
  <si>
    <t>Farmers Market</t>
  </si>
  <si>
    <t xml:space="preserve">Ralphs </t>
  </si>
  <si>
    <t>Stronghold food</t>
  </si>
  <si>
    <t>Chocolate milk</t>
  </si>
  <si>
    <t>Foodologie</t>
  </si>
  <si>
    <t>The game chest smiski</t>
  </si>
  <si>
    <t>Chubby cattle</t>
  </si>
  <si>
    <t>Popeyes</t>
  </si>
  <si>
    <t>Airbnb for October</t>
  </si>
  <si>
    <t>Gas bill</t>
  </si>
  <si>
    <t>LOG TOTALS</t>
  </si>
  <si>
    <t xml:space="preserve">  💰  Jun 2026  —  Expense Tracker</t>
  </si>
  <si>
    <t>Laundromat</t>
  </si>
  <si>
    <t>Sharon Gas 1</t>
  </si>
  <si>
    <t>Max’s</t>
  </si>
  <si>
    <t>Pa Ord noodles</t>
  </si>
  <si>
    <t>Cash for Haircut</t>
  </si>
  <si>
    <t>Birthday cake Whole Foods</t>
  </si>
  <si>
    <t>DERA Crepe</t>
  </si>
  <si>
    <t>For parents</t>
  </si>
  <si>
    <t>AAA Membership</t>
  </si>
  <si>
    <t>Laundry 2 Sharon</t>
  </si>
  <si>
    <t>New Airfryer!</t>
  </si>
  <si>
    <t>Costco 1</t>
  </si>
  <si>
    <t>Ding Tea</t>
  </si>
  <si>
    <t>Ralphs + chocolate milk</t>
  </si>
  <si>
    <t>The Finals Video Game</t>
  </si>
  <si>
    <t>Pizza Hut</t>
  </si>
  <si>
    <t>Little Tokyo Market Place 1</t>
  </si>
  <si>
    <t xml:space="preserve">  💰  Jul 2026  —  Expense Tracker</t>
  </si>
  <si>
    <t>SMOG</t>
  </si>
  <si>
    <t xml:space="preserve">  💰  Aug 2026  —  Expense Tracker</t>
  </si>
  <si>
    <t>DMV renewal</t>
  </si>
  <si>
    <t xml:space="preserve">  💰  Sep 2026  —  Expense Tracker</t>
  </si>
  <si>
    <t xml:space="preserve">  💰  Oct 2026  —  Expense Tracker</t>
  </si>
  <si>
    <t xml:space="preserve">  💰  Nov 2026  —  Expense Tracker</t>
  </si>
  <si>
    <t xml:space="preserve">  💰  Dec 2026  —  Expense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</si>
</sst>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_);[RED]&quot;($&quot;#,##0.00\)"/>
    <numFmt numFmtId="165" formatCode="0.0%"/>
    <numFmt numFmtId="166" formatCode="mm/dd/yy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FFFFFF"/>
      <name val="Arial"/>
    </font>
    <font/>
    <font>
      <i/>
      <sz val="9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1F3864"/>
      <name val="Arial"/>
    </font>
    <font>
      <sz val="10.0"/>
      <color rgb="FF1F3864"/>
      <name val="Arial"/>
    </font>
    <font>
      <sz val="10.0"/>
      <color theme="1"/>
      <name val="Arial"/>
    </font>
    <font>
      <b/>
      <sz val="10.0"/>
      <color rgb="FF117A65"/>
      <name val="Arial"/>
    </font>
    <font>
      <sz val="10.0"/>
      <color rgb="FF117A65"/>
      <name val="Arial"/>
    </font>
    <font>
      <b/>
      <sz val="10.0"/>
      <color rgb="FF375623"/>
      <name val="Arial"/>
    </font>
    <font>
      <sz val="10.0"/>
      <color rgb="FF375623"/>
      <name val="Arial"/>
    </font>
    <font>
      <b/>
      <sz val="10.0"/>
      <color rgb="FF6C3483"/>
      <name val="Arial"/>
    </font>
    <font>
      <i/>
      <sz val="9.0"/>
      <color rgb="FF7F7F7F"/>
      <name val="Arial"/>
    </font>
    <font>
      <b/>
      <sz val="14.0"/>
      <color rgb="FFFFFFFF"/>
      <name val="Arial"/>
    </font>
    <font>
      <b/>
      <sz val="9.0"/>
      <color theme="1"/>
      <name val="Arial"/>
    </font>
    <font>
      <sz val="9.0"/>
      <color rgb="FF0000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FFFFFF"/>
      <name val="Arial"/>
    </font>
    <font>
      <sz val="10.0"/>
      <color rgb="FF0000FF"/>
      <name val="Arial"/>
    </font>
    <font>
      <sz val="10.0"/>
      <color rgb="FF555555"/>
      <name val="Arial"/>
    </font>
    <font>
      <b/>
      <sz val="9.0"/>
      <color rgb="FF1F3864"/>
      <name val="Arial"/>
    </font>
    <font>
      <b/>
      <sz val="9.0"/>
      <color rgb="FF117A65"/>
      <name val="Arial"/>
    </font>
    <font>
      <b/>
      <sz val="9.0"/>
      <color rgb="FF375623"/>
      <name val="Arial"/>
    </font>
    <font>
      <sz val="10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  <fill>
      <patternFill patternType="solid">
        <fgColor rgb="FFFFF9C4"/>
        <bgColor rgb="FFFFF9C4"/>
      </patternFill>
    </fill>
    <fill>
      <patternFill patternType="solid">
        <fgColor rgb="FFD1F2EB"/>
        <bgColor rgb="FFD1F2EB"/>
      </patternFill>
    </fill>
    <fill>
      <patternFill patternType="solid">
        <fgColor rgb="FF6C3483"/>
        <bgColor rgb="FF6C3483"/>
      </patternFill>
    </fill>
    <fill>
      <patternFill patternType="solid">
        <fgColor rgb="FFE8DAEF"/>
        <bgColor rgb="FFE8DAEF"/>
      </patternFill>
    </fill>
    <fill>
      <patternFill patternType="solid">
        <fgColor rgb="FF117A65"/>
        <bgColor rgb="FF117A65"/>
      </patternFill>
    </fill>
    <fill>
      <patternFill patternType="solid">
        <fgColor rgb="FFFFF3CD"/>
        <bgColor rgb="FFFFF3CD"/>
      </patternFill>
    </fill>
    <fill>
      <patternFill patternType="solid">
        <fgColor rgb="FFEBF5FB"/>
        <bgColor rgb="FFEBF5FB"/>
      </patternFill>
    </fill>
    <fill>
      <patternFill patternType="solid">
        <fgColor rgb="FF1A5276"/>
        <bgColor rgb="FF1A5276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</border>
    <border>
      <left style="thin">
        <color rgb="FFC5CDD6"/>
      </left>
      <top style="medium">
        <color rgb="FF1F3864"/>
      </top>
      <bottom style="thin">
        <color rgb="FFC5CDD6"/>
      </bottom>
    </border>
    <border>
      <top style="medium">
        <color rgb="FF1F3864"/>
      </top>
      <bottom style="thin">
        <color rgb="FFC5CDD6"/>
      </bottom>
    </border>
    <border>
      <right/>
      <top style="medium">
        <color rgb="FF1F3864"/>
      </top>
      <bottom style="thin">
        <color rgb="FFC5CDD6"/>
      </bottom>
    </border>
    <border>
      <left style="thin">
        <color rgb="FFC5CDD6"/>
      </left>
      <right style="thin">
        <color rgb="FFC5CDD6"/>
      </right>
      <top style="medium">
        <color rgb="FF1F3864"/>
      </top>
      <bottom style="medium">
        <color rgb="FF1F3864"/>
      </bottom>
    </border>
    <border>
      <left style="thin">
        <color rgb="FFC5CDD6"/>
      </left>
      <right/>
      <top style="medium">
        <color rgb="FF1F3864"/>
      </top>
      <bottom style="thin">
        <color rgb="FFC5CDD6"/>
      </bottom>
    </border>
    <border>
      <left/>
      <right/>
      <top/>
      <bottom/>
    </border>
    <border>
      <left style="thin">
        <color rgb="FFC5CDD6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right style="thin">
        <color rgb="FFC5CDD6"/>
      </right>
      <top/>
      <bottom/>
    </border>
    <border>
      <left style="thin">
        <color rgb="FFC5CDD6"/>
      </left>
      <right/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left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4" fontId="6" numFmtId="0" xfId="0" applyAlignment="1" applyBorder="1" applyFill="1" applyFont="1">
      <alignment horizontal="left" shrinkToFit="0" vertical="center" wrapText="1"/>
    </xf>
    <xf borderId="8" fillId="4" fontId="6" numFmtId="164" xfId="0" applyAlignment="1" applyBorder="1" applyFont="1" applyNumberFormat="1">
      <alignment horizontal="right" shrinkToFit="0" vertical="center" wrapText="0"/>
    </xf>
    <xf borderId="8" fillId="5" fontId="6" numFmtId="164" xfId="0" applyAlignment="1" applyBorder="1" applyFill="1" applyFont="1" applyNumberFormat="1">
      <alignment horizontal="right" shrinkToFit="0" vertical="center" wrapText="0"/>
    </xf>
    <xf borderId="4" fillId="5" fontId="7" numFmtId="164" xfId="0" applyAlignment="1" applyBorder="1" applyFont="1" applyNumberFormat="1">
      <alignment horizontal="right" shrinkToFit="0" vertical="center" wrapText="0"/>
    </xf>
    <xf borderId="4" fillId="6" fontId="7" numFmtId="0" xfId="0" applyAlignment="1" applyBorder="1" applyFill="1" applyFont="1">
      <alignment horizontal="left" shrinkToFit="0" vertical="center" wrapText="1"/>
    </xf>
    <xf borderId="4" fillId="7" fontId="7" numFmtId="164" xfId="0" applyAlignment="1" applyBorder="1" applyFill="1" applyFont="1" applyNumberFormat="1">
      <alignment horizontal="right" shrinkToFit="0" vertical="center" wrapText="0"/>
    </xf>
    <xf borderId="8" fillId="7" fontId="6" numFmtId="164" xfId="0" applyAlignment="1" applyBorder="1" applyFont="1" applyNumberFormat="1">
      <alignment horizontal="right" shrinkToFit="0" vertical="center" wrapText="0"/>
    </xf>
    <xf borderId="4" fillId="7" fontId="1" numFmtId="0" xfId="0" applyAlignment="1" applyBorder="1" applyFont="1">
      <alignment shrinkToFit="0" vertical="bottom" wrapText="0"/>
    </xf>
    <xf borderId="8" fillId="8" fontId="6" numFmtId="0" xfId="0" applyAlignment="1" applyBorder="1" applyFill="1" applyFont="1">
      <alignment horizontal="left" shrinkToFit="0" vertical="center" wrapText="1"/>
    </xf>
    <xf borderId="8" fillId="5" fontId="8" numFmtId="164" xfId="0" applyAlignment="1" applyBorder="1" applyFont="1" applyNumberFormat="1">
      <alignment horizontal="right" shrinkToFit="0" vertical="center" wrapText="0"/>
    </xf>
    <xf borderId="8" fillId="5" fontId="8" numFmtId="165" xfId="0" applyAlignment="1" applyBorder="1" applyFont="1" applyNumberFormat="1">
      <alignment horizontal="right" shrinkToFit="0" vertical="center" wrapText="0"/>
    </xf>
    <xf borderId="9" fillId="2" fontId="5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horizontal="center" shrinkToFit="0" vertical="center" wrapText="1"/>
    </xf>
    <xf borderId="8" fillId="5" fontId="8" numFmtId="0" xfId="0" applyAlignment="1" applyBorder="1" applyFont="1">
      <alignment horizontal="left" shrinkToFit="0" vertical="center" wrapText="0"/>
    </xf>
    <xf borderId="4" fillId="5" fontId="1" numFmtId="164" xfId="0" applyAlignment="1" applyBorder="1" applyFont="1" applyNumberFormat="1">
      <alignment shrinkToFit="0" vertical="bottom" wrapText="0"/>
    </xf>
    <xf borderId="4" fillId="6" fontId="7" numFmtId="164" xfId="0" applyAlignment="1" applyBorder="1" applyFont="1" applyNumberFormat="1">
      <alignment horizontal="right" shrinkToFit="0" vertical="center" wrapText="0"/>
    </xf>
    <xf borderId="8" fillId="6" fontId="6" numFmtId="164" xfId="0" applyAlignment="1" applyBorder="1" applyFont="1" applyNumberFormat="1">
      <alignment horizontal="right" shrinkToFit="0" vertical="center" wrapText="0"/>
    </xf>
    <xf borderId="4" fillId="6" fontId="7" numFmtId="165" xfId="0" applyAlignment="1" applyBorder="1" applyFont="1" applyNumberFormat="1">
      <alignment horizontal="right" shrinkToFit="0" vertical="center" wrapText="0"/>
    </xf>
    <xf borderId="4" fillId="7" fontId="7" numFmtId="165" xfId="0" applyAlignment="1" applyBorder="1" applyFont="1" applyNumberFormat="1">
      <alignment horizontal="right" shrinkToFit="0" vertical="center" wrapText="0"/>
    </xf>
    <xf borderId="4" fillId="7" fontId="7" numFmtId="0" xfId="0" applyAlignment="1" applyBorder="1" applyFont="1">
      <alignment horizontal="left" shrinkToFit="0" vertical="center" wrapText="1"/>
    </xf>
    <xf borderId="4" fillId="7" fontId="1" numFmtId="164" xfId="0" applyAlignment="1" applyBorder="1" applyFont="1" applyNumberFormat="1">
      <alignment shrinkToFit="0" vertical="bottom" wrapText="0"/>
    </xf>
    <xf borderId="4" fillId="5" fontId="9" numFmtId="164" xfId="0" applyAlignment="1" applyBorder="1" applyFont="1" applyNumberFormat="1">
      <alignment horizontal="right" shrinkToFit="0" vertical="center" wrapText="0"/>
    </xf>
    <xf borderId="10" fillId="6" fontId="10" numFmtId="0" xfId="0" applyAlignment="1" applyBorder="1" applyFont="1">
      <alignment shrinkToFit="0" vertical="bottom" wrapText="0"/>
    </xf>
    <xf borderId="8" fillId="9" fontId="11" numFmtId="0" xfId="0" applyAlignment="1" applyBorder="1" applyFill="1" applyFont="1">
      <alignment horizontal="left" shrinkToFit="0" vertical="center" wrapText="0"/>
    </xf>
    <xf borderId="8" fillId="9" fontId="11" numFmtId="164" xfId="0" applyAlignment="1" applyBorder="1" applyFont="1" applyNumberFormat="1">
      <alignment horizontal="right" shrinkToFit="0" vertical="center" wrapText="0"/>
    </xf>
    <xf borderId="4" fillId="9" fontId="12" numFmtId="164" xfId="0" applyAlignment="1" applyBorder="1" applyFont="1" applyNumberFormat="1">
      <alignment horizontal="right" shrinkToFit="0" vertical="center" wrapText="0"/>
    </xf>
    <xf borderId="8" fillId="9" fontId="11" numFmtId="165" xfId="0" applyAlignment="1" applyBorder="1" applyFont="1" applyNumberFormat="1">
      <alignment horizontal="right" shrinkToFit="0" vertical="center" wrapText="0"/>
    </xf>
    <xf borderId="8" fillId="4" fontId="13" numFmtId="0" xfId="0" applyAlignment="1" applyBorder="1" applyFont="1">
      <alignment horizontal="left" shrinkToFit="0" vertical="center" wrapText="0"/>
    </xf>
    <xf borderId="8" fillId="4" fontId="13" numFmtId="164" xfId="0" applyAlignment="1" applyBorder="1" applyFont="1" applyNumberFormat="1">
      <alignment horizontal="right" shrinkToFit="0" vertical="center" wrapText="0"/>
    </xf>
    <xf borderId="4" fillId="4" fontId="14" numFmtId="164" xfId="0" applyAlignment="1" applyBorder="1" applyFont="1" applyNumberFormat="1">
      <alignment horizontal="right" shrinkToFit="0" vertical="center" wrapText="0"/>
    </xf>
    <xf borderId="8" fillId="4" fontId="13" numFmtId="165" xfId="0" applyAlignment="1" applyBorder="1" applyFont="1" applyNumberFormat="1">
      <alignment horizontal="right" shrinkToFit="0" vertical="center" wrapText="0"/>
    </xf>
    <xf borderId="9" fillId="10" fontId="5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4" fillId="11" fontId="7" numFmtId="164" xfId="0" applyAlignment="1" applyBorder="1" applyFill="1" applyFont="1" applyNumberFormat="1">
      <alignment horizontal="right" shrinkToFit="0" vertical="center" wrapText="0"/>
    </xf>
    <xf borderId="8" fillId="11" fontId="6" numFmtId="164" xfId="0" applyAlignment="1" applyBorder="1" applyFont="1" applyNumberFormat="1">
      <alignment horizontal="right" shrinkToFit="0" vertical="center" wrapText="0"/>
    </xf>
    <xf borderId="4" fillId="11" fontId="1" numFmtId="164" xfId="0" applyAlignment="1" applyBorder="1" applyFont="1" applyNumberFormat="1">
      <alignment shrinkToFit="0" vertical="bottom" wrapText="0"/>
    </xf>
    <xf borderId="4" fillId="11" fontId="7" numFmtId="165" xfId="0" applyAlignment="1" applyBorder="1" applyFont="1" applyNumberFormat="1">
      <alignment horizontal="right" shrinkToFit="0" vertical="center" wrapText="0"/>
    </xf>
    <xf borderId="4" fillId="6" fontId="1" numFmtId="0" xfId="0" applyAlignment="1" applyBorder="1" applyFont="1">
      <alignment shrinkToFit="0" vertical="bottom" wrapText="0"/>
    </xf>
    <xf borderId="8" fillId="11" fontId="6" numFmtId="0" xfId="0" applyAlignment="1" applyBorder="1" applyFont="1">
      <alignment horizontal="left" shrinkToFit="0" vertical="center" wrapText="1"/>
    </xf>
    <xf borderId="8" fillId="11" fontId="15" numFmtId="0" xfId="0" applyAlignment="1" applyBorder="1" applyFont="1">
      <alignment horizontal="left" shrinkToFit="0" vertical="center" wrapText="1"/>
    </xf>
    <xf borderId="8" fillId="11" fontId="15" numFmtId="164" xfId="0" applyAlignment="1" applyBorder="1" applyFont="1" applyNumberFormat="1">
      <alignment horizontal="right" shrinkToFit="0" vertical="center" wrapText="0"/>
    </xf>
    <xf borderId="4" fillId="11" fontId="1" numFmtId="0" xfId="0" applyAlignment="1" applyBorder="1" applyFont="1">
      <alignment shrinkToFit="0" vertical="bottom" wrapText="0"/>
    </xf>
    <xf borderId="9" fillId="12" fontId="5" numFmtId="0" xfId="0" applyAlignment="1" applyBorder="1" applyFill="1" applyFont="1">
      <alignment horizontal="left" shrinkToFit="0" vertical="center" wrapText="1"/>
    </xf>
    <xf borderId="4" fillId="6" fontId="1" numFmtId="164" xfId="0" applyAlignment="1" applyBorder="1" applyFont="1" applyNumberFormat="1">
      <alignment shrinkToFit="0" vertical="bottom" wrapText="0"/>
    </xf>
    <xf borderId="4" fillId="9" fontId="7" numFmtId="0" xfId="0" applyAlignment="1" applyBorder="1" applyFont="1">
      <alignment horizontal="left" shrinkToFit="0" vertical="center" wrapText="1"/>
    </xf>
    <xf borderId="4" fillId="9" fontId="7" numFmtId="164" xfId="0" applyAlignment="1" applyBorder="1" applyFont="1" applyNumberFormat="1">
      <alignment horizontal="right" shrinkToFit="0" vertical="center" wrapText="0"/>
    </xf>
    <xf borderId="4" fillId="9" fontId="1" numFmtId="0" xfId="0" applyAlignment="1" applyBorder="1" applyFont="1">
      <alignment shrinkToFit="0" vertical="bottom" wrapText="0"/>
    </xf>
    <xf borderId="8" fillId="9" fontId="6" numFmtId="0" xfId="0" applyAlignment="1" applyBorder="1" applyFont="1">
      <alignment horizontal="left" shrinkToFit="0" vertical="center" wrapText="1"/>
    </xf>
    <xf borderId="4" fillId="4" fontId="7" numFmtId="164" xfId="0" applyAlignment="1" applyBorder="1" applyFont="1" applyNumberFormat="1">
      <alignment horizontal="right" shrinkToFit="0" vertical="center" wrapText="0"/>
    </xf>
    <xf borderId="0" fillId="0" fontId="16" numFmtId="0" xfId="0" applyAlignment="1" applyFont="1">
      <alignment horizontal="left" shrinkToFit="0" vertical="center" wrapText="1"/>
    </xf>
    <xf borderId="11" fillId="2" fontId="17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" fillId="5" fontId="16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4" fillId="5" fontId="8" numFmtId="0" xfId="0" applyAlignment="1" applyBorder="1" applyFont="1">
      <alignment horizontal="left" shrinkToFit="0" vertical="center" wrapText="1"/>
    </xf>
    <xf borderId="4" fillId="7" fontId="8" numFmtId="164" xfId="0" applyAlignment="1" applyBorder="1" applyFont="1" applyNumberFormat="1">
      <alignment horizontal="right" shrinkToFit="0" vertical="center" wrapText="0"/>
    </xf>
    <xf borderId="4" fillId="9" fontId="11" numFmtId="0" xfId="0" applyAlignment="1" applyBorder="1" applyFont="1">
      <alignment horizontal="left" shrinkToFit="0" vertical="center" wrapText="1"/>
    </xf>
    <xf borderId="4" fillId="5" fontId="11" numFmtId="164" xfId="0" applyAlignment="1" applyBorder="1" applyFont="1" applyNumberFormat="1">
      <alignment horizontal="right" shrinkToFit="0" vertical="center" wrapText="0"/>
    </xf>
    <xf borderId="4" fillId="9" fontId="8" numFmtId="164" xfId="0" applyAlignment="1" applyBorder="1" applyFont="1" applyNumberFormat="1">
      <alignment horizontal="right" shrinkToFit="0" vertical="center" wrapText="0"/>
    </xf>
    <xf borderId="4" fillId="4" fontId="13" numFmtId="0" xfId="0" applyAlignment="1" applyBorder="1" applyFont="1">
      <alignment horizontal="left" shrinkToFit="0" vertical="center" wrapText="1"/>
    </xf>
    <xf borderId="4" fillId="5" fontId="13" numFmtId="164" xfId="0" applyAlignment="1" applyBorder="1" applyFont="1" applyNumberFormat="1">
      <alignment horizontal="right" shrinkToFit="0" vertical="center" wrapText="0"/>
    </xf>
    <xf borderId="4" fillId="4" fontId="1" numFmtId="164" xfId="0" applyAlignment="1" applyBorder="1" applyFont="1" applyNumberFormat="1">
      <alignment shrinkToFit="0" vertical="bottom" wrapText="0"/>
    </xf>
    <xf borderId="4" fillId="11" fontId="8" numFmtId="164" xfId="0" applyAlignment="1" applyBorder="1" applyFont="1" applyNumberFormat="1">
      <alignment horizontal="right" shrinkToFit="0" vertical="center" wrapText="0"/>
    </xf>
    <xf borderId="4" fillId="9" fontId="11" numFmtId="164" xfId="0" applyAlignment="1" applyBorder="1" applyFont="1" applyNumberFormat="1">
      <alignment horizontal="right" shrinkToFit="0" vertical="center" wrapText="0"/>
    </xf>
    <xf borderId="1" fillId="13" fontId="16" numFmtId="0" xfId="0" applyAlignment="1" applyBorder="1" applyFill="1" applyFont="1">
      <alignment horizontal="left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4" fillId="14" fontId="18" numFmtId="0" xfId="0" applyAlignment="1" applyBorder="1" applyFill="1" applyFont="1">
      <alignment shrinkToFit="0" vertical="bottom" wrapText="1"/>
    </xf>
    <xf borderId="4" fillId="14" fontId="1" numFmtId="0" xfId="0" applyAlignment="1" applyBorder="1" applyFont="1">
      <alignment shrinkToFit="0" vertical="bottom" wrapText="0"/>
    </xf>
    <xf borderId="4" fillId="14" fontId="19" numFmtId="164" xfId="0" applyAlignment="1" applyBorder="1" applyFont="1" applyNumberFormat="1">
      <alignment horizontal="right" shrinkToFit="0" vertical="bottom" wrapText="0"/>
    </xf>
    <xf borderId="4" fillId="14" fontId="19" numFmtId="164" xfId="0" applyAlignment="1" applyBorder="1" applyFont="1" applyNumberFormat="1">
      <alignment horizontal="right" shrinkToFit="0" vertical="center" wrapText="0"/>
    </xf>
    <xf borderId="4" fillId="14" fontId="19" numFmtId="9" xfId="0" applyAlignment="1" applyBorder="1" applyFont="1" applyNumberFormat="1">
      <alignment horizontal="right" shrinkToFit="0" vertical="center" wrapText="0"/>
    </xf>
    <xf borderId="4" fillId="5" fontId="18" numFmtId="0" xfId="0" applyAlignment="1" applyBorder="1" applyFont="1">
      <alignment shrinkToFit="0" vertical="bottom" wrapText="1"/>
    </xf>
    <xf borderId="4" fillId="5" fontId="1" numFmtId="0" xfId="0" applyAlignment="1" applyBorder="1" applyFont="1">
      <alignment shrinkToFit="0" vertical="bottom" wrapText="0"/>
    </xf>
    <xf borderId="4" fillId="5" fontId="20" numFmtId="164" xfId="0" applyAlignment="1" applyBorder="1" applyFont="1" applyNumberFormat="1">
      <alignment horizontal="right" shrinkToFit="0" vertical="center" wrapText="0"/>
    </xf>
    <xf borderId="4" fillId="5" fontId="20" numFmtId="0" xfId="0" applyAlignment="1" applyBorder="1" applyFont="1">
      <alignment horizontal="left" shrinkToFit="0" vertical="center" wrapText="1"/>
    </xf>
    <xf borderId="10" fillId="6" fontId="21" numFmtId="0" xfId="0" applyAlignment="1" applyBorder="1" applyFont="1">
      <alignment shrinkToFit="0" vertical="bottom" wrapText="0"/>
    </xf>
    <xf borderId="4" fillId="3" fontId="22" numFmtId="0" xfId="0" applyAlignment="1" applyBorder="1" applyFont="1">
      <alignment horizontal="center" shrinkToFit="0" vertical="center" wrapText="1"/>
    </xf>
    <xf borderId="4" fillId="6" fontId="21" numFmtId="0" xfId="0" applyAlignment="1" applyBorder="1" applyFont="1">
      <alignment horizontal="left" shrinkToFit="0" vertical="center" wrapText="1"/>
    </xf>
    <xf borderId="4" fillId="6" fontId="21" numFmtId="164" xfId="0" applyAlignment="1" applyBorder="1" applyFont="1" applyNumberFormat="1">
      <alignment horizontal="right" shrinkToFit="0" vertical="center" wrapText="0"/>
    </xf>
    <xf borderId="4" fillId="6" fontId="21" numFmtId="165" xfId="0" applyAlignment="1" applyBorder="1" applyFont="1" applyNumberFormat="1">
      <alignment horizontal="right" shrinkToFit="0" vertical="center" wrapText="0"/>
    </xf>
    <xf borderId="10" fillId="6" fontId="1" numFmtId="0" xfId="0" applyAlignment="1" applyBorder="1" applyFont="1">
      <alignment shrinkToFit="0" vertical="bottom" wrapText="0"/>
    </xf>
    <xf borderId="4" fillId="6" fontId="7" numFmtId="0" xfId="0" applyAlignment="1" applyBorder="1" applyFont="1">
      <alignment horizontal="center" shrinkToFit="0" vertical="center" wrapText="0"/>
    </xf>
    <xf borderId="4" fillId="13" fontId="23" numFmtId="166" xfId="0" applyAlignment="1" applyBorder="1" applyFont="1" applyNumberFormat="1">
      <alignment horizontal="left" shrinkToFit="0" vertical="center" wrapText="0"/>
    </xf>
    <xf borderId="4" fillId="13" fontId="23" numFmtId="0" xfId="0" applyAlignment="1" applyBorder="1" applyFont="1">
      <alignment horizontal="left" shrinkToFit="0" vertical="center" wrapText="0"/>
    </xf>
    <xf borderId="4" fillId="13" fontId="23" numFmtId="164" xfId="0" applyAlignment="1" applyBorder="1" applyFont="1" applyNumberFormat="1">
      <alignment horizontal="right" shrinkToFit="0" vertical="center" wrapText="0"/>
    </xf>
    <xf borderId="4" fillId="13" fontId="23" numFmtId="9" xfId="0" applyAlignment="1" applyBorder="1" applyFont="1" applyNumberFormat="1">
      <alignment horizontal="center" shrinkToFit="0" vertical="center" wrapText="0"/>
    </xf>
    <xf borderId="4" fillId="13" fontId="7" numFmtId="164" xfId="0" applyAlignment="1" applyBorder="1" applyFont="1" applyNumberFormat="1">
      <alignment horizontal="right" shrinkToFit="0" vertical="center" wrapText="0"/>
    </xf>
    <xf borderId="4" fillId="13" fontId="24" numFmtId="49" xfId="0" applyAlignment="1" applyBorder="1" applyFont="1" applyNumberFormat="1">
      <alignment horizontal="left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7" fontId="21" numFmtId="0" xfId="0" applyAlignment="1" applyBorder="1" applyFont="1">
      <alignment horizontal="left" shrinkToFit="0" vertical="center" wrapText="1"/>
    </xf>
    <xf borderId="4" fillId="7" fontId="21" numFmtId="164" xfId="0" applyAlignment="1" applyBorder="1" applyFont="1" applyNumberFormat="1">
      <alignment horizontal="right" shrinkToFit="0" vertical="center" wrapText="0"/>
    </xf>
    <xf borderId="4" fillId="7" fontId="21" numFmtId="165" xfId="0" applyAlignment="1" applyBorder="1" applyFont="1" applyNumberFormat="1">
      <alignment horizontal="right" shrinkToFit="0" vertical="center" wrapText="0"/>
    </xf>
    <xf borderId="10" fillId="6" fontId="21" numFmtId="0" xfId="0" applyAlignment="1" applyBorder="1" applyFont="1">
      <alignment horizontal="center" shrinkToFit="0" vertical="center" wrapText="0"/>
    </xf>
    <xf borderId="4" fillId="7" fontId="23" numFmtId="166" xfId="0" applyAlignment="1" applyBorder="1" applyFont="1" applyNumberFormat="1">
      <alignment horizontal="left" shrinkToFit="0" vertical="center" wrapText="0"/>
    </xf>
    <xf borderId="4" fillId="7" fontId="23" numFmtId="0" xfId="0" applyAlignment="1" applyBorder="1" applyFont="1">
      <alignment horizontal="left" shrinkToFit="0" vertical="center" wrapText="0"/>
    </xf>
    <xf borderId="4" fillId="7" fontId="23" numFmtId="164" xfId="0" applyAlignment="1" applyBorder="1" applyFont="1" applyNumberFormat="1">
      <alignment horizontal="right" shrinkToFit="0" vertical="center" wrapText="0"/>
    </xf>
    <xf borderId="4" fillId="7" fontId="23" numFmtId="9" xfId="0" applyAlignment="1" applyBorder="1" applyFont="1" applyNumberFormat="1">
      <alignment horizontal="center" shrinkToFit="0" vertical="center" wrapText="0"/>
    </xf>
    <xf borderId="4" fillId="6" fontId="24" numFmtId="49" xfId="0" applyAlignment="1" applyBorder="1" applyFont="1" applyNumberFormat="1">
      <alignment horizontal="left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14" fontId="19" numFmtId="164" xfId="0" applyAlignment="1" applyBorder="1" applyFont="1" applyNumberFormat="1">
      <alignment horizontal="right" readingOrder="0" shrinkToFit="0" vertical="center" wrapText="0"/>
    </xf>
    <xf borderId="4" fillId="6" fontId="23" numFmtId="166" xfId="0" applyAlignment="1" applyBorder="1" applyFont="1" applyNumberFormat="1">
      <alignment horizontal="left" shrinkToFit="0" vertical="center" wrapText="0"/>
    </xf>
    <xf borderId="4" fillId="6" fontId="23" numFmtId="0" xfId="0" applyAlignment="1" applyBorder="1" applyFont="1">
      <alignment horizontal="left" shrinkToFit="0" vertical="center" wrapText="0"/>
    </xf>
    <xf borderId="4" fillId="6" fontId="23" numFmtId="164" xfId="0" applyAlignment="1" applyBorder="1" applyFont="1" applyNumberFormat="1">
      <alignment horizontal="right" shrinkToFit="0" vertical="center" wrapText="0"/>
    </xf>
    <xf borderId="4" fillId="6" fontId="23" numFmtId="9" xfId="0" applyAlignment="1" applyBorder="1" applyFont="1" applyNumberFormat="1">
      <alignment horizontal="center" shrinkToFit="0" vertical="center" wrapText="0"/>
    </xf>
    <xf borderId="4" fillId="7" fontId="23" numFmtId="9" xfId="0" applyAlignment="1" applyBorder="1" applyFont="1" applyNumberFormat="1">
      <alignment horizontal="center" readingOrder="0" shrinkToFit="0" vertical="center" wrapText="0"/>
    </xf>
    <xf borderId="8" fillId="5" fontId="25" numFmtId="0" xfId="0" applyAlignment="1" applyBorder="1" applyFont="1">
      <alignment horizontal="left" shrinkToFit="0" vertical="center" wrapText="1"/>
    </xf>
    <xf borderId="8" fillId="5" fontId="21" numFmtId="0" xfId="0" applyAlignment="1" applyBorder="1" applyFont="1">
      <alignment shrinkToFit="0" vertical="bottom" wrapText="0"/>
    </xf>
    <xf borderId="8" fillId="5" fontId="25" numFmtId="164" xfId="0" applyAlignment="1" applyBorder="1" applyFont="1" applyNumberFormat="1">
      <alignment horizontal="right" shrinkToFit="0" vertical="center" wrapText="0"/>
    </xf>
    <xf borderId="8" fillId="5" fontId="25" numFmtId="165" xfId="0" applyAlignment="1" applyBorder="1" applyFont="1" applyNumberFormat="1">
      <alignment horizontal="right" shrinkToFit="0" vertical="center" wrapText="0"/>
    </xf>
    <xf borderId="4" fillId="6" fontId="21" numFmtId="0" xfId="0" applyAlignment="1" applyBorder="1" applyFont="1">
      <alignment shrinkToFit="0" vertical="bottom" wrapText="0"/>
    </xf>
    <xf borderId="8" fillId="9" fontId="26" numFmtId="0" xfId="0" applyAlignment="1" applyBorder="1" applyFont="1">
      <alignment horizontal="left" shrinkToFit="0" vertical="center" wrapText="1"/>
    </xf>
    <xf borderId="8" fillId="9" fontId="21" numFmtId="0" xfId="0" applyAlignment="1" applyBorder="1" applyFont="1">
      <alignment shrinkToFit="0" vertical="bottom" wrapText="0"/>
    </xf>
    <xf borderId="8" fillId="9" fontId="26" numFmtId="164" xfId="0" applyAlignment="1" applyBorder="1" applyFont="1" applyNumberFormat="1">
      <alignment horizontal="right" shrinkToFit="0" vertical="center" wrapText="0"/>
    </xf>
    <xf borderId="8" fillId="9" fontId="26" numFmtId="165" xfId="0" applyAlignment="1" applyBorder="1" applyFont="1" applyNumberFormat="1">
      <alignment horizontal="right" shrinkToFit="0" vertical="center" wrapText="0"/>
    </xf>
    <xf borderId="4" fillId="5" fontId="21" numFmtId="0" xfId="0" applyAlignment="1" applyBorder="1" applyFont="1">
      <alignment shrinkToFit="0" vertical="bottom" wrapText="0"/>
    </xf>
    <xf borderId="8" fillId="4" fontId="27" numFmtId="0" xfId="0" applyAlignment="1" applyBorder="1" applyFont="1">
      <alignment horizontal="left" shrinkToFit="0" vertical="center" wrapText="1"/>
    </xf>
    <xf borderId="8" fillId="4" fontId="21" numFmtId="0" xfId="0" applyAlignment="1" applyBorder="1" applyFont="1">
      <alignment shrinkToFit="0" vertical="bottom" wrapText="0"/>
    </xf>
    <xf borderId="8" fillId="4" fontId="27" numFmtId="164" xfId="0" applyAlignment="1" applyBorder="1" applyFont="1" applyNumberFormat="1">
      <alignment horizontal="right" shrinkToFit="0" vertical="center" wrapText="0"/>
    </xf>
    <xf borderId="8" fillId="4" fontId="27" numFmtId="165" xfId="0" applyAlignment="1" applyBorder="1" applyFont="1" applyNumberFormat="1">
      <alignment horizontal="right" shrinkToFit="0" vertical="center" wrapText="0"/>
    </xf>
    <xf borderId="10" fillId="6" fontId="21" numFmtId="0" xfId="0" applyAlignment="1" applyBorder="1" applyFont="1">
      <alignment horizontal="left" shrinkToFit="0" vertical="center" wrapText="1"/>
    </xf>
    <xf borderId="4" fillId="10" fontId="22" numFmtId="0" xfId="0" applyAlignment="1" applyBorder="1" applyFont="1">
      <alignment horizontal="center" shrinkToFit="0" vertical="center" wrapText="1"/>
    </xf>
    <xf borderId="10" fillId="6" fontId="22" numFmtId="0" xfId="0" applyAlignment="1" applyBorder="1" applyFont="1">
      <alignment horizontal="center" shrinkToFit="0" vertical="center" wrapText="1"/>
    </xf>
    <xf borderId="4" fillId="11" fontId="20" numFmtId="0" xfId="0" applyAlignment="1" applyBorder="1" applyFont="1">
      <alignment horizontal="left" shrinkToFit="0" vertical="center" wrapText="1"/>
    </xf>
    <xf borderId="8" fillId="11" fontId="20" numFmtId="0" xfId="0" applyAlignment="1" applyBorder="1" applyFont="1">
      <alignment horizontal="left" shrinkToFit="0" vertical="center" wrapText="1"/>
    </xf>
    <xf borderId="8" fillId="11" fontId="1" numFmtId="0" xfId="0" applyAlignment="1" applyBorder="1" applyFont="1">
      <alignment shrinkToFit="0" vertical="bottom" wrapText="0"/>
    </xf>
    <xf borderId="8" fillId="11" fontId="20" numFmtId="164" xfId="0" applyAlignment="1" applyBorder="1" applyFont="1" applyNumberFormat="1">
      <alignment horizontal="right" shrinkToFit="0" vertical="center" wrapText="0"/>
    </xf>
    <xf borderId="1" fillId="6" fontId="21" numFmtId="0" xfId="0" applyAlignment="1" applyBorder="1" applyFont="1">
      <alignment shrinkToFit="0" vertical="bottom" wrapText="0"/>
    </xf>
    <xf borderId="15" fillId="12" fontId="5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shrinkToFit="0" vertical="bottom" wrapText="0"/>
    </xf>
    <xf borderId="4" fillId="12" fontId="22" numFmtId="0" xfId="0" applyAlignment="1" applyBorder="1" applyFont="1">
      <alignment horizontal="center" shrinkToFit="0" vertical="center" wrapText="1"/>
    </xf>
    <xf borderId="4" fillId="9" fontId="20" numFmtId="0" xfId="0" applyAlignment="1" applyBorder="1" applyFont="1">
      <alignment horizontal="left" shrinkToFit="0" vertical="center" wrapText="1"/>
    </xf>
    <xf borderId="9" fillId="15" fontId="5" numFmtId="0" xfId="0" applyAlignment="1" applyBorder="1" applyFill="1" applyFont="1">
      <alignment horizontal="left" shrinkToFit="0" vertical="center" wrapText="1"/>
    </xf>
    <xf borderId="4" fillId="15" fontId="22" numFmtId="0" xfId="0" applyAlignment="1" applyBorder="1" applyFont="1">
      <alignment horizontal="center" shrinkToFit="0" vertical="center" wrapText="1"/>
    </xf>
    <xf borderId="8" fillId="9" fontId="20" numFmtId="0" xfId="0" applyAlignment="1" applyBorder="1" applyFont="1">
      <alignment horizontal="left" shrinkToFit="0" vertical="center" wrapText="1"/>
    </xf>
    <xf borderId="8" fillId="9" fontId="1" numFmtId="0" xfId="0" applyAlignment="1" applyBorder="1" applyFont="1">
      <alignment shrinkToFit="0" vertical="bottom" wrapText="0"/>
    </xf>
    <xf borderId="8" fillId="9" fontId="20" numFmtId="164" xfId="0" applyAlignment="1" applyBorder="1" applyFont="1" applyNumberFormat="1">
      <alignment horizontal="right" shrinkToFit="0" vertical="center" wrapText="0"/>
    </xf>
    <xf borderId="15" fillId="2" fontId="5" numFmtId="0" xfId="0" applyAlignment="1" applyBorder="1" applyFont="1">
      <alignment horizontal="left" shrinkToFit="0" vertical="center" wrapText="0"/>
    </xf>
    <xf borderId="10" fillId="6" fontId="28" numFmtId="0" xfId="0" applyAlignment="1" applyBorder="1" applyFont="1">
      <alignment shrinkToFit="0" vertical="bottom" wrapText="0"/>
    </xf>
    <xf borderId="8" fillId="4" fontId="20" numFmtId="0" xfId="0" applyAlignment="1" applyBorder="1" applyFont="1">
      <alignment horizontal="left" shrinkToFit="0" vertical="center" wrapText="1"/>
    </xf>
    <xf borderId="8" fillId="4" fontId="1" numFmtId="0" xfId="0" applyAlignment="1" applyBorder="1" applyFont="1">
      <alignment shrinkToFit="0" vertical="bottom" wrapText="0"/>
    </xf>
    <xf borderId="8" fillId="4" fontId="20" numFmtId="164" xfId="0" applyAlignment="1" applyBorder="1" applyFont="1" applyNumberFormat="1">
      <alignment horizontal="right" shrinkToFit="0" vertical="center" wrapText="0"/>
    </xf>
    <xf borderId="10" fillId="6" fontId="21" numFmtId="164" xfId="0" applyAlignment="1" applyBorder="1" applyFont="1" applyNumberFormat="1">
      <alignment horizontal="right" shrinkToFit="0" vertical="center" wrapText="0"/>
    </xf>
    <xf borderId="8" fillId="8" fontId="20" numFmtId="0" xfId="0" applyAlignment="1" applyBorder="1" applyFont="1">
      <alignment horizontal="left" shrinkToFit="0" vertical="center" wrapText="1"/>
    </xf>
    <xf borderId="8" fillId="8" fontId="1" numFmtId="0" xfId="0" applyAlignment="1" applyBorder="1" applyFont="1">
      <alignment shrinkToFit="0" vertical="bottom" wrapText="0"/>
    </xf>
    <xf borderId="8" fillId="8" fontId="20" numFmtId="164" xfId="0" applyAlignment="1" applyBorder="1" applyFont="1" applyNumberFormat="1">
      <alignment horizontal="right" shrinkToFit="0" vertical="center" wrapText="0"/>
    </xf>
    <xf borderId="4" fillId="9" fontId="21" numFmtId="0" xfId="0" applyAlignment="1" applyBorder="1" applyFont="1">
      <alignment horizontal="left" shrinkToFit="0" vertical="center" wrapText="1"/>
    </xf>
    <xf borderId="4" fillId="9" fontId="21" numFmtId="164" xfId="0" applyAlignment="1" applyBorder="1" applyFont="1" applyNumberFormat="1">
      <alignment horizontal="right" shrinkToFit="0" vertical="center" wrapText="0"/>
    </xf>
    <xf borderId="8" fillId="5" fontId="20" numFmtId="0" xfId="0" applyAlignment="1" applyBorder="1" applyFont="1">
      <alignment horizontal="left" shrinkToFit="0" vertical="center" wrapText="1"/>
    </xf>
    <xf borderId="8" fillId="5" fontId="1" numFmtId="0" xfId="0" applyAlignment="1" applyBorder="1" applyFont="1">
      <alignment shrinkToFit="0" vertical="bottom" wrapText="0"/>
    </xf>
    <xf borderId="8" fillId="5" fontId="20" numFmtId="164" xfId="0" applyAlignment="1" applyBorder="1" applyFont="1" applyNumberFormat="1">
      <alignment horizontal="right" shrinkToFit="0" vertical="center" wrapText="0"/>
    </xf>
    <xf borderId="4" fillId="6" fontId="6" numFmtId="49" xfId="0" applyAlignment="1" applyBorder="1" applyFont="1" applyNumberFormat="1">
      <alignment horizontal="center" shrinkToFit="0" vertical="center" wrapText="1"/>
    </xf>
    <xf borderId="4" fillId="7" fontId="6" numFmtId="49" xfId="0" applyAlignment="1" applyBorder="1" applyFont="1" applyNumberFormat="1">
      <alignment horizontal="center" shrinkToFit="0" vertical="center" wrapText="1"/>
    </xf>
    <xf borderId="4" fillId="7" fontId="6" numFmtId="164" xfId="0" applyAlignment="1" applyBorder="1" applyFont="1" applyNumberFormat="1">
      <alignment horizontal="right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4" fillId="14" fontId="20" numFmtId="0" xfId="0" applyAlignment="1" applyBorder="1" applyFont="1">
      <alignment horizontal="left" shrinkToFit="0" vertical="center" wrapText="1"/>
    </xf>
    <xf borderId="4" fillId="5" fontId="21" numFmtId="164" xfId="0" applyAlignment="1" applyBorder="1" applyFont="1" applyNumberFormat="1">
      <alignment horizontal="right" shrinkToFit="0" vertical="center" wrapText="0"/>
    </xf>
    <xf borderId="4" fillId="13" fontId="23" numFmtId="166" xfId="0" applyAlignment="1" applyBorder="1" applyFont="1" applyNumberFormat="1">
      <alignment horizontal="left" readingOrder="0" shrinkToFit="0" vertical="center" wrapText="0"/>
    </xf>
    <xf borderId="4" fillId="13" fontId="23" numFmtId="0" xfId="0" applyAlignment="1" applyBorder="1" applyFont="1">
      <alignment horizontal="left" readingOrder="0" shrinkToFit="0" vertical="center" wrapText="0"/>
    </xf>
    <xf borderId="4" fillId="13" fontId="23" numFmtId="164" xfId="0" applyAlignment="1" applyBorder="1" applyFont="1" applyNumberFormat="1">
      <alignment horizontal="right" readingOrder="0" shrinkToFit="0" vertical="center" wrapText="0"/>
    </xf>
    <xf borderId="4" fillId="13" fontId="23" numFmtId="9" xfId="0" applyAlignment="1" applyBorder="1" applyFont="1" applyNumberFormat="1">
      <alignment horizontal="center" readingOrder="0" shrinkToFit="0" vertical="center" wrapText="0"/>
    </xf>
    <xf borderId="4" fillId="13" fontId="7" numFmtId="164" xfId="0" applyAlignment="1" applyBorder="1" applyFont="1" applyNumberFormat="1">
      <alignment horizontal="right" readingOrder="0" shrinkToFit="0" vertical="center" wrapText="0"/>
    </xf>
    <xf borderId="4" fillId="13" fontId="24" numFmtId="49" xfId="0" applyAlignment="1" applyBorder="1" applyFont="1" applyNumberFormat="1">
      <alignment horizontal="left" readingOrder="0" shrinkToFit="0" vertical="center" wrapText="0"/>
    </xf>
    <xf borderId="4" fillId="7" fontId="23" numFmtId="166" xfId="0" applyAlignment="1" applyBorder="1" applyFont="1" applyNumberFormat="1">
      <alignment horizontal="left" readingOrder="0" shrinkToFit="0" vertical="center" wrapText="0"/>
    </xf>
    <xf borderId="4" fillId="7" fontId="23" numFmtId="0" xfId="0" applyAlignment="1" applyBorder="1" applyFont="1">
      <alignment horizontal="left" readingOrder="0" shrinkToFit="0" vertical="center" wrapText="0"/>
    </xf>
    <xf borderId="4" fillId="7" fontId="23" numFmtId="164" xfId="0" applyAlignment="1" applyBorder="1" applyFont="1" applyNumberFormat="1">
      <alignment horizontal="right" readingOrder="0" shrinkToFit="0" vertical="center" wrapText="0"/>
    </xf>
    <xf borderId="4" fillId="6" fontId="23" numFmtId="166" xfId="0" applyAlignment="1" applyBorder="1" applyFont="1" applyNumberFormat="1">
      <alignment horizontal="left" readingOrder="0" shrinkToFit="0" vertical="center" wrapText="0"/>
    </xf>
    <xf borderId="4" fillId="6" fontId="23" numFmtId="0" xfId="0" applyAlignment="1" applyBorder="1" applyFont="1">
      <alignment horizontal="left" readingOrder="0" shrinkToFit="0" vertical="center" wrapText="0"/>
    </xf>
    <xf borderId="4" fillId="6" fontId="23" numFmtId="164" xfId="0" applyAlignment="1" applyBorder="1" applyFont="1" applyNumberFormat="1">
      <alignment horizontal="right" readingOrder="0" shrinkToFit="0" vertical="center" wrapText="0"/>
    </xf>
    <xf borderId="4" fillId="6" fontId="23" numFmtId="9" xfId="0" applyAlignment="1" applyBorder="1" applyFont="1" applyNumberFormat="1">
      <alignment horizontal="center" readingOrder="0" shrinkToFit="0" vertical="center" wrapText="0"/>
    </xf>
    <xf borderId="4" fillId="6" fontId="7" numFmtId="164" xfId="0" applyAlignment="1" applyBorder="1" applyFont="1" applyNumberFormat="1">
      <alignment horizontal="right" readingOrder="0" shrinkToFit="0" vertical="center" wrapText="0"/>
    </xf>
    <xf borderId="4" fillId="7" fontId="7" numFmtId="0" xfId="0" applyAlignment="1" applyBorder="1" applyFont="1">
      <alignment horizontal="center" readingOrder="0" shrinkToFit="0" vertical="center" wrapText="0"/>
    </xf>
    <xf borderId="4" fillId="6" fontId="24" numFmtId="49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3">
    <dxf>
      <font>
        <b/>
        <sz val="9.0"/>
        <color rgb="FFFFFFFF"/>
        <name val="Arial"/>
      </font>
      <fill>
        <patternFill patternType="solid">
          <fgColor rgb="FFC00000"/>
          <bgColor rgb="FFC00000"/>
        </patternFill>
      </fill>
      <border/>
    </dxf>
    <dxf>
      <font>
        <b/>
        <sz val="9.0"/>
        <color rgb="FF375623"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sz val="9.0"/>
        <color rgb="FFC00000"/>
        <name val="Arial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8.0"/>
    <col customWidth="1" min="3" max="3" width="14.0"/>
    <col customWidth="1" min="4" max="4" width="13.0"/>
    <col customWidth="1" min="5" max="5" width="14.0"/>
    <col customWidth="1" min="6" max="6" width="14.0"/>
    <col customWidth="1" min="7" max="7" width="12.0"/>
    <col customWidth="1" min="8" max="8" width="12.0"/>
    <col customWidth="1" min="9" max="9" width="13.0"/>
    <col customWidth="1" min="10" max="10" width="13.0"/>
    <col customWidth="1" min="11" max="11" width="1.57"/>
  </cols>
  <sheetData>
    <row r="1" ht="30" customHeight="1">
      <c r="A1" s="1"/>
      <c r="B1" s="79" t="inlineStr">
        <is>
          <t xml:space="preserve">  📊  All-Years Dashboard  |  May 2026 – Jun 2028  —  Expense Tracker</t>
        </is>
      </c>
      <c r="C1" s="3"/>
      <c r="D1" s="3"/>
      <c r="E1" s="3"/>
      <c r="F1" s="3"/>
      <c r="G1" s="3"/>
      <c r="H1" s="3"/>
      <c r="I1" s="3"/>
      <c r="J1" s="3"/>
      <c r="K1" s="1"/>
    </row>
    <row r="2" ht="18" customHeight="1">
      <c r="B2" s="3" t="inlineStr">
        <is>
          <t xml:space="preserve">  Auto-updates from all month tabs  ·  Adjust paychecks &amp; budgets in each tab  ·  Negative = overspent</t>
        </is>
      </c>
      <c r="C2" s="3"/>
      <c r="D2" s="3"/>
      <c r="E2" s="3"/>
      <c r="F2" s="3"/>
      <c r="G2" s="3"/>
      <c r="H2" s="3"/>
      <c r="I2" s="3"/>
      <c r="J2" s="3"/>
    </row>
    <row r="4" ht="20" customHeight="1">
      <c r="A4" s="1"/>
      <c r="B4" s="87" t="inlineStr">
        <is>
          <t xml:space="preserve">  Month</t>
        </is>
      </c>
      <c r="C4" s="87" t="inlineStr">
        <is>
          <t xml:space="preserve">  Paycheck $</t>
        </is>
      </c>
      <c r="D4" s="87" t="inlineStr">
        <is>
          <t xml:space="preserve">  Carry-Over</t>
        </is>
      </c>
      <c r="E4" s="87" t="inlineStr">
        <is>
          <t xml:space="preserve">  Total Avail</t>
        </is>
      </c>
      <c r="F4" s="87" t="inlineStr">
        <is>
          <t xml:space="preserve">  Going Out $</t>
        </is>
      </c>
      <c r="G4" s="87" t="inlineStr">
        <is>
          <t xml:space="preserve">  Invested</t>
        </is>
      </c>
      <c r="H4" s="87" t="inlineStr">
        <is>
          <t xml:space="preserve">  Ally Added</t>
        </is>
      </c>
      <c r="I4" s="87" t="inlineStr">
        <is>
          <t xml:space="preserve">  Left Over $</t>
        </is>
      </c>
      <c r="J4" s="87" t="inlineStr">
        <is>
          <t xml:space="preserve">  Ally Balance</t>
        </is>
      </c>
      <c r="K4" s="1"/>
    </row>
    <row r="6" ht="18" customHeight="1">
      <c r="A6" s="1"/>
      <c r="B6" s="8" t="inlineStr">
        <is>
          <t xml:space="preserve">  ── 2026  (May – Dec)  ──</t>
        </is>
      </c>
      <c r="C6" s="8"/>
      <c r="D6" s="8"/>
      <c r="E6" s="8"/>
      <c r="F6" s="8"/>
      <c r="G6" s="8"/>
      <c r="H6" s="8"/>
      <c r="I6" s="8"/>
      <c r="J6" s="8"/>
      <c r="K6" s="8"/>
    </row>
    <row r="7">
      <c r="A7" s="1"/>
      <c r="B7" s="0" t="inlineStr">
        <is>
          <t xml:space="preserve">May 2026</t>
        </is>
      </c>
      <c r="C7" s="110">
        <f>'May 2026'!D6+'May 2026'!H6</f>
      </c>
      <c r="D7" s="110">
        <f>'May 2026'!D9</f>
      </c>
      <c r="E7" s="110">
        <f>'May 2026'!H8</f>
      </c>
      <c r="F7" s="110">
        <f>'May 2026'!D64</f>
      </c>
      <c r="G7" s="110">
        <f>'May 2026'!D54</f>
      </c>
      <c r="H7" s="110">
        <f>'May 2026'!D53</f>
      </c>
      <c r="I7" s="110">
        <f>'May 2026'!D65</f>
      </c>
      <c r="J7" s="110">
        <f>'May 2026'!F53</f>
      </c>
      <c r="K7" s="1"/>
    </row>
    <row r="8">
      <c r="A8" s="1"/>
      <c r="B8" s="0" t="inlineStr">
        <is>
          <t xml:space="preserve">Jun 2026</t>
        </is>
      </c>
      <c r="C8" s="110">
        <f>'Jun 2026'!D6+'Jun 2026'!H6</f>
      </c>
      <c r="D8" s="110">
        <f>'Jun 2026'!D9</f>
      </c>
      <c r="E8" s="110">
        <f>'Jun 2026'!H8</f>
      </c>
      <c r="F8" s="110">
        <f>'Jun 2026'!D64</f>
      </c>
      <c r="G8" s="110">
        <f>'Jun 2026'!D54</f>
      </c>
      <c r="H8" s="110">
        <f>'Jun 2026'!D53</f>
      </c>
      <c r="I8" s="110">
        <f>'Jun 2026'!D65</f>
      </c>
      <c r="J8" s="110">
        <f>'Jun 2026'!F53</f>
      </c>
      <c r="K8" s="1"/>
    </row>
    <row r="9">
      <c r="A9" s="1"/>
      <c r="B9" s="0" t="inlineStr">
        <is>
          <t xml:space="preserve">Jul 2026</t>
        </is>
      </c>
      <c r="C9" s="110">
        <f>'Jul 2026'!D6+'Jul 2026'!H6</f>
      </c>
      <c r="D9" s="110">
        <f>'Jul 2026'!D9</f>
      </c>
      <c r="E9" s="110">
        <f>'Jul 2026'!H8</f>
      </c>
      <c r="F9" s="110">
        <f>'Jul 2026'!D64</f>
      </c>
      <c r="G9" s="110">
        <f>'Jul 2026'!D54</f>
      </c>
      <c r="H9" s="110">
        <f>'Jul 2026'!D53</f>
      </c>
      <c r="I9" s="110">
        <f>'Jul 2026'!D65</f>
      </c>
      <c r="J9" s="110">
        <f>'Jul 2026'!F53</f>
      </c>
      <c r="K9" s="1"/>
    </row>
    <row r="10">
      <c r="A10" s="1"/>
      <c r="B10" s="0" t="inlineStr">
        <is>
          <t xml:space="preserve">Aug 2026</t>
        </is>
      </c>
      <c r="C10" s="110">
        <f>'Aug 2026'!D6+'Aug 2026'!H6</f>
      </c>
      <c r="D10" s="110">
        <f>'Aug 2026'!D9</f>
      </c>
      <c r="E10" s="110">
        <f>'Aug 2026'!H8</f>
      </c>
      <c r="F10" s="110">
        <f>'Aug 2026'!D64</f>
      </c>
      <c r="G10" s="110">
        <f>'Aug 2026'!D54</f>
      </c>
      <c r="H10" s="110">
        <f>'Aug 2026'!D53</f>
      </c>
      <c r="I10" s="110">
        <f>'Aug 2026'!D65</f>
      </c>
      <c r="J10" s="110">
        <f>'Aug 2026'!F53</f>
      </c>
      <c r="K10" s="1"/>
    </row>
    <row r="11">
      <c r="A11" s="1"/>
      <c r="B11" s="0" t="inlineStr">
        <is>
          <t xml:space="preserve">Sep 2026</t>
        </is>
      </c>
      <c r="C11" s="110">
        <f>'Sep 2026'!D6+'Sep 2026'!H6</f>
      </c>
      <c r="D11" s="110">
        <f>'Sep 2026'!D9</f>
      </c>
      <c r="E11" s="110">
        <f>'Sep 2026'!H8</f>
      </c>
      <c r="F11" s="110">
        <f>'Sep 2026'!D64</f>
      </c>
      <c r="G11" s="110">
        <f>'Sep 2026'!D54</f>
      </c>
      <c r="H11" s="110">
        <f>'Sep 2026'!D53</f>
      </c>
      <c r="I11" s="110">
        <f>'Sep 2026'!D65</f>
      </c>
      <c r="J11" s="110">
        <f>'Sep 2026'!F53</f>
      </c>
      <c r="K11" s="1"/>
    </row>
    <row r="12">
      <c r="A12" s="1"/>
      <c r="B12" s="0" t="inlineStr">
        <is>
          <t xml:space="preserve">Oct 2026</t>
        </is>
      </c>
      <c r="C12" s="110">
        <f>'Oct 2026'!D6+'Oct 2026'!H6</f>
      </c>
      <c r="D12" s="110">
        <f>'Oct 2026'!D9</f>
      </c>
      <c r="E12" s="110">
        <f>'Oct 2026'!H8</f>
      </c>
      <c r="F12" s="110">
        <f>'Oct 2026'!D64</f>
      </c>
      <c r="G12" s="110">
        <f>'Oct 2026'!D54</f>
      </c>
      <c r="H12" s="110">
        <f>'Oct 2026'!D53</f>
      </c>
      <c r="I12" s="110">
        <f>'Oct 2026'!D65</f>
      </c>
      <c r="J12" s="110">
        <f>'Oct 2026'!F53</f>
      </c>
      <c r="K12" s="1"/>
    </row>
    <row r="13">
      <c r="A13" s="1"/>
      <c r="B13" s="0" t="inlineStr">
        <is>
          <t xml:space="preserve">Nov 2026</t>
        </is>
      </c>
      <c r="C13" s="110">
        <f>'Nov 2026'!D6+'Nov 2026'!H6</f>
      </c>
      <c r="D13" s="110">
        <f>'Nov 2026'!D9</f>
      </c>
      <c r="E13" s="110">
        <f>'Nov 2026'!H8</f>
      </c>
      <c r="F13" s="110">
        <f>'Nov 2026'!D64</f>
      </c>
      <c r="G13" s="110">
        <f>'Nov 2026'!D54</f>
      </c>
      <c r="H13" s="110">
        <f>'Nov 2026'!D53</f>
      </c>
      <c r="I13" s="110">
        <f>'Nov 2026'!D65</f>
      </c>
      <c r="J13" s="110">
        <f>'Nov 2026'!F53</f>
      </c>
      <c r="K13" s="1"/>
    </row>
    <row r="14">
      <c r="A14" s="1"/>
      <c r="B14" s="0" t="inlineStr">
        <is>
          <t xml:space="preserve">Dec 2026</t>
        </is>
      </c>
      <c r="C14" s="110">
        <f>'Dec 2026'!D6+'Dec 2026'!H6</f>
      </c>
      <c r="D14" s="110">
        <f>'Dec 2026'!D9</f>
      </c>
      <c r="E14" s="110">
        <f>'Dec 2026'!H8</f>
      </c>
      <c r="F14" s="110">
        <f>'Dec 2026'!D64</f>
      </c>
      <c r="G14" s="110">
        <f>'Dec 2026'!D54</f>
      </c>
      <c r="H14" s="110">
        <f>'Dec 2026'!D53</f>
      </c>
      <c r="I14" s="110">
        <f>'Dec 2026'!D65</f>
      </c>
      <c r="J14" s="110">
        <f>'Dec 2026'!F53</f>
      </c>
      <c r="K14" s="1"/>
    </row>
    <row r="15" ht="18" customHeight="1">
      <c r="A15" s="1"/>
      <c r="B15" s="87" t="inlineStr">
        <is>
          <t xml:space="preserve">  2026 Total</t>
        </is>
      </c>
      <c r="C15" s="110">
        <f>SUM(C7:C14)</f>
      </c>
      <c r="D15" s="1"/>
      <c r="E15" s="110">
        <f>SUM(E7:E14)</f>
      </c>
      <c r="F15" s="110">
        <f>SUM(F7:F14)</f>
      </c>
      <c r="G15" s="110">
        <f>SUM(G7:G14)</f>
      </c>
      <c r="H15" s="110">
        <f>SUM(H7:H14)</f>
      </c>
      <c r="I15" s="110">
        <f>SUM(I7:I14)</f>
      </c>
      <c r="J15" s="110">
        <f>MAX(J7:J14)</f>
      </c>
      <c r="K15" s="1"/>
    </row>
    <row r="17" ht="18" customHeight="1">
      <c r="A17" s="1"/>
      <c r="B17" s="8" t="inlineStr">
        <is>
          <t xml:space="preserve">  ── 2027  (Full Year)  ──</t>
        </is>
      </c>
      <c r="C17" s="8"/>
      <c r="D17" s="8"/>
      <c r="E17" s="8"/>
      <c r="F17" s="8"/>
      <c r="G17" s="8"/>
      <c r="H17" s="8"/>
      <c r="I17" s="8"/>
      <c r="J17" s="8"/>
      <c r="K17" s="8"/>
    </row>
    <row r="18">
      <c r="A18" s="1"/>
      <c r="B18" s="0" t="inlineStr">
        <is>
          <t xml:space="preserve">Jan 2027</t>
        </is>
      </c>
      <c r="C18" s="110">
        <f>'Jan 2027'!D6+'Jan 2027'!H6</f>
      </c>
      <c r="D18" s="110">
        <f>'Jan 2027'!D9</f>
      </c>
      <c r="E18" s="110">
        <f>'Jan 2027'!H8</f>
      </c>
      <c r="F18" s="110">
        <f>'Jan 2027'!D64</f>
      </c>
      <c r="G18" s="110">
        <f>'Jan 2027'!D54</f>
      </c>
      <c r="H18" s="110">
        <f>'Jan 2027'!D53</f>
      </c>
      <c r="I18" s="110">
        <f>'Jan 2027'!D65</f>
      </c>
      <c r="J18" s="110">
        <f>'Jan 2027'!F53</f>
      </c>
      <c r="K18" s="1"/>
    </row>
    <row r="19">
      <c r="A19" s="1"/>
      <c r="B19" s="0" t="inlineStr">
        <is>
          <t xml:space="preserve">Feb 2027</t>
        </is>
      </c>
      <c r="C19" s="110">
        <f>'Feb 2027'!D6+'Feb 2027'!H6</f>
      </c>
      <c r="D19" s="110">
        <f>'Feb 2027'!D9</f>
      </c>
      <c r="E19" s="110">
        <f>'Feb 2027'!H8</f>
      </c>
      <c r="F19" s="110">
        <f>'Feb 2027'!D64</f>
      </c>
      <c r="G19" s="110">
        <f>'Feb 2027'!D54</f>
      </c>
      <c r="H19" s="110">
        <f>'Feb 2027'!D53</f>
      </c>
      <c r="I19" s="110">
        <f>'Feb 2027'!D65</f>
      </c>
      <c r="J19" s="110">
        <f>'Feb 2027'!F53</f>
      </c>
      <c r="K19" s="1"/>
    </row>
    <row r="20">
      <c r="A20" s="1"/>
      <c r="B20" s="0" t="inlineStr">
        <is>
          <t xml:space="preserve">Mar 2027</t>
        </is>
      </c>
      <c r="C20" s="110">
        <f>'Mar 2027'!D6+'Mar 2027'!H6</f>
      </c>
      <c r="D20" s="110">
        <f>'Mar 2027'!D9</f>
      </c>
      <c r="E20" s="110">
        <f>'Mar 2027'!H8</f>
      </c>
      <c r="F20" s="110">
        <f>'Mar 2027'!D64</f>
      </c>
      <c r="G20" s="110">
        <f>'Mar 2027'!D54</f>
      </c>
      <c r="H20" s="110">
        <f>'Mar 2027'!D53</f>
      </c>
      <c r="I20" s="110">
        <f>'Mar 2027'!D65</f>
      </c>
      <c r="J20" s="110">
        <f>'Mar 2027'!F53</f>
      </c>
      <c r="K20" s="1"/>
    </row>
    <row r="21">
      <c r="A21" s="1"/>
      <c r="B21" s="0" t="inlineStr">
        <is>
          <t xml:space="preserve">Apr 2027</t>
        </is>
      </c>
      <c r="C21" s="110">
        <f>'Apr 2027'!D6+'Apr 2027'!H6</f>
      </c>
      <c r="D21" s="110">
        <f>'Apr 2027'!D9</f>
      </c>
      <c r="E21" s="110">
        <f>'Apr 2027'!H8</f>
      </c>
      <c r="F21" s="110">
        <f>'Apr 2027'!D64</f>
      </c>
      <c r="G21" s="110">
        <f>'Apr 2027'!D54</f>
      </c>
      <c r="H21" s="110">
        <f>'Apr 2027'!D53</f>
      </c>
      <c r="I21" s="110">
        <f>'Apr 2027'!D65</f>
      </c>
      <c r="J21" s="110">
        <f>'Apr 2027'!F53</f>
      </c>
      <c r="K21" s="1"/>
    </row>
    <row r="22">
      <c r="A22" s="1"/>
      <c r="B22" s="0" t="inlineStr">
        <is>
          <t xml:space="preserve">May 2027</t>
        </is>
      </c>
      <c r="C22" s="110">
        <f>'May 2027'!D6+'May 2027'!H6</f>
      </c>
      <c r="D22" s="110">
        <f>'May 2027'!D9</f>
      </c>
      <c r="E22" s="110">
        <f>'May 2027'!H8</f>
      </c>
      <c r="F22" s="110">
        <f>'May 2027'!D64</f>
      </c>
      <c r="G22" s="110">
        <f>'May 2027'!D54</f>
      </c>
      <c r="H22" s="110">
        <f>'May 2027'!D53</f>
      </c>
      <c r="I22" s="110">
        <f>'May 2027'!D65</f>
      </c>
      <c r="J22" s="110">
        <f>'May 2027'!F53</f>
      </c>
      <c r="K22" s="1"/>
    </row>
    <row r="23">
      <c r="A23" s="1"/>
      <c r="B23" s="0" t="inlineStr">
        <is>
          <t xml:space="preserve">Jun 2027</t>
        </is>
      </c>
      <c r="C23" s="110">
        <f>'Jun 2027'!D6+'Jun 2027'!H6</f>
      </c>
      <c r="D23" s="110">
        <f>'Jun 2027'!D9</f>
      </c>
      <c r="E23" s="110">
        <f>'Jun 2027'!H8</f>
      </c>
      <c r="F23" s="110">
        <f>'Jun 2027'!D64</f>
      </c>
      <c r="G23" s="110">
        <f>'Jun 2027'!D54</f>
      </c>
      <c r="H23" s="110">
        <f>'Jun 2027'!D53</f>
      </c>
      <c r="I23" s="110">
        <f>'Jun 2027'!D65</f>
      </c>
      <c r="J23" s="110">
        <f>'Jun 2027'!F53</f>
      </c>
      <c r="K23" s="1"/>
    </row>
    <row r="24">
      <c r="A24" s="1"/>
      <c r="B24" s="0" t="inlineStr">
        <is>
          <t xml:space="preserve">Jul 2027</t>
        </is>
      </c>
      <c r="C24" s="110">
        <f>'Jul 2027'!D6+'Jul 2027'!H6</f>
      </c>
      <c r="D24" s="110">
        <f>'Jul 2027'!D9</f>
      </c>
      <c r="E24" s="110">
        <f>'Jul 2027'!H8</f>
      </c>
      <c r="F24" s="110">
        <f>'Jul 2027'!D64</f>
      </c>
      <c r="G24" s="110">
        <f>'Jul 2027'!D54</f>
      </c>
      <c r="H24" s="110">
        <f>'Jul 2027'!D53</f>
      </c>
      <c r="I24" s="110">
        <f>'Jul 2027'!D65</f>
      </c>
      <c r="J24" s="110">
        <f>'Jul 2027'!F53</f>
      </c>
      <c r="K24" s="1"/>
    </row>
    <row r="25">
      <c r="A25" s="1"/>
      <c r="B25" s="0" t="inlineStr">
        <is>
          <t xml:space="preserve">Aug 2027</t>
        </is>
      </c>
      <c r="C25" s="110">
        <f>'Aug 2027'!D6+'Aug 2027'!H6</f>
      </c>
      <c r="D25" s="110">
        <f>'Aug 2027'!D9</f>
      </c>
      <c r="E25" s="110">
        <f>'Aug 2027'!H8</f>
      </c>
      <c r="F25" s="110">
        <f>'Aug 2027'!D64</f>
      </c>
      <c r="G25" s="110">
        <f>'Aug 2027'!D54</f>
      </c>
      <c r="H25" s="110">
        <f>'Aug 2027'!D53</f>
      </c>
      <c r="I25" s="110">
        <f>'Aug 2027'!D65</f>
      </c>
      <c r="J25" s="110">
        <f>'Aug 2027'!F53</f>
      </c>
      <c r="K25" s="1"/>
    </row>
    <row r="26">
      <c r="A26" s="1"/>
      <c r="B26" s="0" t="inlineStr">
        <is>
          <t xml:space="preserve">Sep 2027</t>
        </is>
      </c>
      <c r="C26" s="110">
        <f>'Sep 2027'!D6+'Sep 2027'!H6</f>
      </c>
      <c r="D26" s="110">
        <f>'Sep 2027'!D9</f>
      </c>
      <c r="E26" s="110">
        <f>'Sep 2027'!H8</f>
      </c>
      <c r="F26" s="110">
        <f>'Sep 2027'!D64</f>
      </c>
      <c r="G26" s="110">
        <f>'Sep 2027'!D54</f>
      </c>
      <c r="H26" s="110">
        <f>'Sep 2027'!D53</f>
      </c>
      <c r="I26" s="110">
        <f>'Sep 2027'!D65</f>
      </c>
      <c r="J26" s="110">
        <f>'Sep 2027'!F53</f>
      </c>
      <c r="K26" s="1"/>
    </row>
    <row r="27">
      <c r="A27" s="1"/>
      <c r="B27" s="0" t="inlineStr">
        <is>
          <t xml:space="preserve">Oct 2027</t>
        </is>
      </c>
      <c r="C27" s="110">
        <f>'Oct 2027'!D6+'Oct 2027'!H6</f>
      </c>
      <c r="D27" s="110">
        <f>'Oct 2027'!D9</f>
      </c>
      <c r="E27" s="110">
        <f>'Oct 2027'!H8</f>
      </c>
      <c r="F27" s="110">
        <f>'Oct 2027'!D64</f>
      </c>
      <c r="G27" s="110">
        <f>'Oct 2027'!D54</f>
      </c>
      <c r="H27" s="110">
        <f>'Oct 2027'!D53</f>
      </c>
      <c r="I27" s="110">
        <f>'Oct 2027'!D65</f>
      </c>
      <c r="J27" s="110">
        <f>'Oct 2027'!F53</f>
      </c>
      <c r="K27" s="1"/>
    </row>
    <row r="28">
      <c r="A28" s="1"/>
      <c r="B28" s="0" t="inlineStr">
        <is>
          <t xml:space="preserve">Nov 2027</t>
        </is>
      </c>
      <c r="C28" s="110">
        <f>'Nov 2027'!D6+'Nov 2027'!H6</f>
      </c>
      <c r="D28" s="110">
        <f>'Nov 2027'!D9</f>
      </c>
      <c r="E28" s="110">
        <f>'Nov 2027'!H8</f>
      </c>
      <c r="F28" s="110">
        <f>'Nov 2027'!D64</f>
      </c>
      <c r="G28" s="110">
        <f>'Nov 2027'!D54</f>
      </c>
      <c r="H28" s="110">
        <f>'Nov 2027'!D53</f>
      </c>
      <c r="I28" s="110">
        <f>'Nov 2027'!D65</f>
      </c>
      <c r="J28" s="110">
        <f>'Nov 2027'!F53</f>
      </c>
      <c r="K28" s="1"/>
    </row>
    <row r="29">
      <c r="A29" s="1"/>
      <c r="B29" s="0" t="inlineStr">
        <is>
          <t xml:space="preserve">Dec 2027</t>
        </is>
      </c>
      <c r="C29" s="110">
        <f>'Dec 2027'!D6+'Dec 2027'!H6</f>
      </c>
      <c r="D29" s="110">
        <f>'Dec 2027'!D9</f>
      </c>
      <c r="E29" s="110">
        <f>'Dec 2027'!H8</f>
      </c>
      <c r="F29" s="110">
        <f>'Dec 2027'!D64</f>
      </c>
      <c r="G29" s="110">
        <f>'Dec 2027'!D54</f>
      </c>
      <c r="H29" s="110">
        <f>'Dec 2027'!D53</f>
      </c>
      <c r="I29" s="110">
        <f>'Dec 2027'!D65</f>
      </c>
      <c r="J29" s="110">
        <f>'Dec 2027'!F53</f>
      </c>
      <c r="K29" s="1"/>
    </row>
    <row r="30" ht="18" customHeight="1">
      <c r="A30" s="1"/>
      <c r="B30" s="87" t="inlineStr">
        <is>
          <t xml:space="preserve">  2027 Total</t>
        </is>
      </c>
      <c r="C30" s="110">
        <f>SUM(C18:C29)</f>
      </c>
      <c r="D30" s="1"/>
      <c r="E30" s="110">
        <f>SUM(E18:E29)</f>
      </c>
      <c r="F30" s="110">
        <f>SUM(F18:F29)</f>
      </c>
      <c r="G30" s="110">
        <f>SUM(G18:G29)</f>
      </c>
      <c r="H30" s="110">
        <f>SUM(H18:H29)</f>
      </c>
      <c r="I30" s="110">
        <f>SUM(I18:I29)</f>
      </c>
      <c r="J30" s="110">
        <f>MAX(J18:J29)</f>
      </c>
      <c r="K30" s="1"/>
    </row>
    <row r="32" ht="18" customHeight="1">
      <c r="A32" s="1"/>
      <c r="B32" s="8" t="inlineStr">
        <is>
          <t xml:space="preserve">  ── 2028  (Jan – Jun)  ──</t>
        </is>
      </c>
      <c r="C32" s="8"/>
      <c r="D32" s="8"/>
      <c r="E32" s="8"/>
      <c r="F32" s="8"/>
      <c r="G32" s="8"/>
      <c r="H32" s="8"/>
      <c r="I32" s="8"/>
      <c r="J32" s="8"/>
      <c r="K32" s="8"/>
    </row>
    <row r="33">
      <c r="A33" s="1"/>
      <c r="B33" s="0" t="inlineStr">
        <is>
          <t xml:space="preserve">Jan 2028</t>
        </is>
      </c>
      <c r="C33" s="110">
        <f>'Jan 2028'!D6+'Jan 2028'!H6</f>
      </c>
      <c r="D33" s="110">
        <f>'Jan 2028'!D9</f>
      </c>
      <c r="E33" s="110">
        <f>'Jan 2028'!H8</f>
      </c>
      <c r="F33" s="110">
        <f>'Jan 2028'!D64</f>
      </c>
      <c r="G33" s="110">
        <f>'Jan 2028'!D54</f>
      </c>
      <c r="H33" s="110">
        <f>'Jan 2028'!D53</f>
      </c>
      <c r="I33" s="110">
        <f>'Jan 2028'!D65</f>
      </c>
      <c r="J33" s="110">
        <f>'Jan 2028'!F53</f>
      </c>
      <c r="K33" s="1"/>
    </row>
    <row r="34">
      <c r="A34" s="1"/>
      <c r="B34" s="0" t="inlineStr">
        <is>
          <t xml:space="preserve">Feb 2028</t>
        </is>
      </c>
      <c r="C34" s="110">
        <f>'Feb 2028'!D6+'Feb 2028'!H6</f>
      </c>
      <c r="D34" s="110">
        <f>'Feb 2028'!D9</f>
      </c>
      <c r="E34" s="110">
        <f>'Feb 2028'!H8</f>
      </c>
      <c r="F34" s="110">
        <f>'Feb 2028'!D64</f>
      </c>
      <c r="G34" s="110">
        <f>'Feb 2028'!D54</f>
      </c>
      <c r="H34" s="110">
        <f>'Feb 2028'!D53</f>
      </c>
      <c r="I34" s="110">
        <f>'Feb 2028'!D65</f>
      </c>
      <c r="J34" s="110">
        <f>'Feb 2028'!F53</f>
      </c>
      <c r="K34" s="1"/>
    </row>
    <row r="35">
      <c r="A35" s="1"/>
      <c r="B35" s="0" t="inlineStr">
        <is>
          <t xml:space="preserve">Mar 2028</t>
        </is>
      </c>
      <c r="C35" s="110">
        <f>'Mar 2028'!D6+'Mar 2028'!H6</f>
      </c>
      <c r="D35" s="110">
        <f>'Mar 2028'!D9</f>
      </c>
      <c r="E35" s="110">
        <f>'Mar 2028'!H8</f>
      </c>
      <c r="F35" s="110">
        <f>'Mar 2028'!D64</f>
      </c>
      <c r="G35" s="110">
        <f>'Mar 2028'!D54</f>
      </c>
      <c r="H35" s="110">
        <f>'Mar 2028'!D53</f>
      </c>
      <c r="I35" s="110">
        <f>'Mar 2028'!D65</f>
      </c>
      <c r="J35" s="110">
        <f>'Mar 2028'!F53</f>
      </c>
      <c r="K35" s="1"/>
    </row>
    <row r="36">
      <c r="A36" s="1"/>
      <c r="B36" s="0" t="inlineStr">
        <is>
          <t xml:space="preserve">Apr 2028</t>
        </is>
      </c>
      <c r="C36" s="110">
        <f>'Apr 2028'!D6+'Apr 2028'!H6</f>
      </c>
      <c r="D36" s="110">
        <f>'Apr 2028'!D9</f>
      </c>
      <c r="E36" s="110">
        <f>'Apr 2028'!H8</f>
      </c>
      <c r="F36" s="110">
        <f>'Apr 2028'!D64</f>
      </c>
      <c r="G36" s="110">
        <f>'Apr 2028'!D54</f>
      </c>
      <c r="H36" s="110">
        <f>'Apr 2028'!D53</f>
      </c>
      <c r="I36" s="110">
        <f>'Apr 2028'!D65</f>
      </c>
      <c r="J36" s="110">
        <f>'Apr 2028'!F53</f>
      </c>
      <c r="K36" s="1"/>
    </row>
    <row r="37">
      <c r="A37" s="1"/>
      <c r="B37" s="0" t="inlineStr">
        <is>
          <t xml:space="preserve">May 2028</t>
        </is>
      </c>
      <c r="C37" s="110">
        <f>'May 2028'!D6+'May 2028'!H6</f>
      </c>
      <c r="D37" s="110">
        <f>'May 2028'!D9</f>
      </c>
      <c r="E37" s="110">
        <f>'May 2028'!H8</f>
      </c>
      <c r="F37" s="110">
        <f>'May 2028'!D64</f>
      </c>
      <c r="G37" s="110">
        <f>'May 2028'!D54</f>
      </c>
      <c r="H37" s="110">
        <f>'May 2028'!D53</f>
      </c>
      <c r="I37" s="110">
        <f>'May 2028'!D65</f>
      </c>
      <c r="J37" s="110">
        <f>'May 2028'!F53</f>
      </c>
      <c r="K37" s="1"/>
    </row>
    <row r="38">
      <c r="A38" s="1"/>
      <c r="B38" s="0" t="inlineStr">
        <is>
          <t xml:space="preserve">Jun 2028</t>
        </is>
      </c>
      <c r="C38" s="110">
        <f>'Jun 2028'!D6+'Jun 2028'!H6</f>
      </c>
      <c r="D38" s="110">
        <f>'Jun 2028'!D9</f>
      </c>
      <c r="E38" s="110">
        <f>'Jun 2028'!H8</f>
      </c>
      <c r="F38" s="110">
        <f>'Jun 2028'!D64</f>
      </c>
      <c r="G38" s="110">
        <f>'Jun 2028'!D54</f>
      </c>
      <c r="H38" s="110">
        <f>'Jun 2028'!D53</f>
      </c>
      <c r="I38" s="110">
        <f>'Jun 2028'!D65</f>
      </c>
      <c r="J38" s="110">
        <f>'Jun 2028'!F53</f>
      </c>
      <c r="K38" s="1"/>
    </row>
    <row r="39" ht="18" customHeight="1">
      <c r="A39" s="1"/>
      <c r="B39" s="87" t="inlineStr">
        <is>
          <t xml:space="preserve">  2028 Total</t>
        </is>
      </c>
      <c r="C39" s="110">
        <f>SUM(C33:C38)</f>
      </c>
      <c r="D39" s="1"/>
      <c r="E39" s="110">
        <f>SUM(E33:E38)</f>
      </c>
      <c r="F39" s="110">
        <f>SUM(F33:F38)</f>
      </c>
      <c r="G39" s="110">
        <f>SUM(G33:G38)</f>
      </c>
      <c r="H39" s="110">
        <f>SUM(H33:H38)</f>
      </c>
      <c r="I39" s="110">
        <f>SUM(I33:I38)</f>
      </c>
      <c r="J39" s="110">
        <f>MAX(J33:J38)</f>
      </c>
      <c r="K39" s="1"/>
    </row>
    <row r="41" ht="20" customHeight="1">
      <c r="A41" s="1"/>
      <c r="B41" s="87" t="inlineStr">
        <is>
          <t xml:space="preserve">  All-Years Grand Total</t>
        </is>
      </c>
      <c r="C41" s="110">
        <f>SUM(C5:C39)</f>
      </c>
      <c r="D41" s="1"/>
      <c r="E41" s="110">
        <f>SUM(E5:E39)</f>
      </c>
      <c r="F41" s="110">
        <f>SUM(F5:F39)</f>
      </c>
      <c r="G41" s="110">
        <f>SUM(G5:G39)</f>
      </c>
      <c r="H41" s="110">
        <f>SUM(H5:H39)</f>
      </c>
      <c r="I41" s="110">
        <f>SUM(I5:I39)</f>
      </c>
      <c r="J41" s="1"/>
      <c r="K41" s="1"/>
    </row>
  </sheetData>
  <mergeCells count="2">
    <mergeCell ref="B1:J1"/>
    <mergeCell ref="B2:J2"/>
  </mergeCells>
  <printOptions/>
  <pageMargins bottom="1.0" footer="0.0" header="0.0" left="0.75" right="0.75" top="1.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30.0"/>
    <col customWidth="1" min="3" max="13" width="13.0"/>
  </cols>
  <sheetData>
    <row r="1" ht="30.0" customHeight="1">
      <c r="A1" s="1"/>
      <c r="B1" s="62" t="s">
        <v>64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5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7" t="s">
        <v>66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12</v>
      </c>
      <c r="L3" s="7" t="s">
        <v>67</v>
      </c>
      <c r="M3" s="7" t="s">
        <v>68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66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6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68" t="s">
        <v>69</v>
      </c>
      <c r="C5" s="20">
        <f>'May 2026'!D6+'May 2026'!H6</f>
        <v>4167.35</v>
      </c>
      <c r="D5" s="20">
        <f>'Jun 2026'!D6+'Jun 2026'!H6</f>
        <v>3959.1</v>
      </c>
      <c r="E5" s="20">
        <f>'Jul 2026'!D6+'Jul 2026'!H6</f>
        <v>4270.42</v>
      </c>
      <c r="F5" s="20">
        <f>'Aug 2026'!D6+'Aug 2026'!H6</f>
        <v>5000</v>
      </c>
      <c r="G5" s="20">
        <f>'Sep 2026'!D6+'Sep 2026'!H6</f>
        <v>5000</v>
      </c>
      <c r="H5" s="20">
        <f>'Oct 2026'!D6+'Oct 2026'!H6</f>
        <v>5000</v>
      </c>
      <c r="I5" s="20">
        <f>'Nov 2026'!D6+'Nov 2026'!H6</f>
        <v>5000</v>
      </c>
      <c r="J5" s="20">
        <f>'Dec 2026'!D6+'Dec 2026'!H6</f>
        <v>5000</v>
      </c>
      <c r="K5" s="20">
        <f t="shared" ref="K5:K7" si="1">IFERROR(AVERAGEIF(C5:J5,"&gt;0"),0)</f>
        <v>4674.60875</v>
      </c>
      <c r="L5" s="20">
        <f t="shared" ref="L5:L7" si="2">SUM(C5:J5)</f>
        <v>37396.87</v>
      </c>
      <c r="M5" s="2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31" t="s">
        <v>70</v>
      </c>
      <c r="C6" s="16">
        <f>'May 2026'!D9</f>
        <v>109.97</v>
      </c>
      <c r="D6" s="16">
        <f>'Jun 2026'!D9</f>
        <v>153.26</v>
      </c>
      <c r="E6" s="16">
        <f>'Jul 2026'!D9</f>
        <v>1989.775</v>
      </c>
      <c r="F6" s="16">
        <f>'Aug 2026'!D9</f>
        <v>4823.25</v>
      </c>
      <c r="G6" s="16">
        <f>'Sep 2026'!D9</f>
        <v>8202.305</v>
      </c>
      <c r="H6" s="16">
        <f>'Oct 2026'!D9</f>
        <v>11835.36</v>
      </c>
      <c r="I6" s="16">
        <f>'Nov 2026'!D9</f>
        <v>15383.415</v>
      </c>
      <c r="J6" s="16">
        <f>'Dec 2026'!D9</f>
        <v>19016.47</v>
      </c>
      <c r="K6" s="20">
        <f t="shared" si="1"/>
        <v>7689.225625</v>
      </c>
      <c r="L6" s="20">
        <f t="shared" si="2"/>
        <v>61513.805</v>
      </c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8" t="s">
        <v>71</v>
      </c>
      <c r="C7" s="20">
        <f>'May 2026'!H8</f>
        <v>4277.32</v>
      </c>
      <c r="D7" s="20">
        <f>'Jun 2026'!H8</f>
        <v>4112.36</v>
      </c>
      <c r="E7" s="20">
        <f>'Jul 2026'!H8</f>
        <v>6260.195</v>
      </c>
      <c r="F7" s="20">
        <f>'Aug 2026'!H8</f>
        <v>9823.25</v>
      </c>
      <c r="G7" s="20">
        <f>'Sep 2026'!H8</f>
        <v>13202.305</v>
      </c>
      <c r="H7" s="20">
        <f>'Oct 2026'!H8</f>
        <v>16835.36</v>
      </c>
      <c r="I7" s="20">
        <f>'Nov 2026'!H8</f>
        <v>20383.415</v>
      </c>
      <c r="J7" s="20">
        <f>'Dec 2026'!H8</f>
        <v>24016.47</v>
      </c>
      <c r="K7" s="20">
        <f t="shared" si="1"/>
        <v>12363.83438</v>
      </c>
      <c r="L7" s="20">
        <f t="shared" si="2"/>
        <v>98910.675</v>
      </c>
      <c r="M7" s="2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66" t="s">
        <v>72</v>
      </c>
      <c r="C9" s="3"/>
      <c r="D9" s="3"/>
      <c r="E9" s="3"/>
      <c r="F9" s="3"/>
      <c r="G9" s="3"/>
      <c r="H9" s="3"/>
      <c r="I9" s="3"/>
      <c r="J9" s="3"/>
      <c r="K9" s="3"/>
      <c r="L9" s="3"/>
      <c r="M9" s="6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5" t="s">
        <v>20</v>
      </c>
      <c r="C10" s="27">
        <f>'May 2026'!D12</f>
        <v>267.61</v>
      </c>
      <c r="D10" s="27">
        <f>'Jun 2026'!D12</f>
        <v>90.37</v>
      </c>
      <c r="E10" s="27">
        <f>'Jul 2026'!D12</f>
        <v>0</v>
      </c>
      <c r="F10" s="27">
        <f>'Aug 2026'!D12</f>
        <v>0</v>
      </c>
      <c r="G10" s="27">
        <f>'Sep 2026'!D12</f>
        <v>0</v>
      </c>
      <c r="H10" s="27">
        <f>'Oct 2026'!D12</f>
        <v>0</v>
      </c>
      <c r="I10" s="27">
        <f>'Nov 2026'!D12</f>
        <v>0</v>
      </c>
      <c r="J10" s="27">
        <f>'Dec 2026'!D12</f>
        <v>0</v>
      </c>
      <c r="K10" s="28">
        <f t="shared" ref="K10:K21" si="3">IFERROR(AVERAGEIF(C10:J10,"&gt;0"),0)</f>
        <v>178.99</v>
      </c>
      <c r="L10" s="27">
        <f t="shared" ref="L10:L21" si="4">SUM(C10:J10)</f>
        <v>357.98</v>
      </c>
      <c r="M10" s="27">
        <f>'Dec 2026'!D12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31" t="s">
        <v>21</v>
      </c>
      <c r="C11" s="16">
        <f>'May 2026'!D13</f>
        <v>21.185</v>
      </c>
      <c r="D11" s="16">
        <f>'Jun 2026'!D13</f>
        <v>120.625</v>
      </c>
      <c r="E11" s="16">
        <f>'Jul 2026'!D13</f>
        <v>20.625</v>
      </c>
      <c r="F11" s="16">
        <f>'Aug 2026'!D13</f>
        <v>105.625</v>
      </c>
      <c r="G11" s="16">
        <f>'Sep 2026'!D13</f>
        <v>20.625</v>
      </c>
      <c r="H11" s="16">
        <f>'Oct 2026'!D13</f>
        <v>105.625</v>
      </c>
      <c r="I11" s="16">
        <f>'Nov 2026'!D13</f>
        <v>20.625</v>
      </c>
      <c r="J11" s="16">
        <f>'Dec 2026'!D13</f>
        <v>105.625</v>
      </c>
      <c r="K11" s="28">
        <f t="shared" si="3"/>
        <v>65.07</v>
      </c>
      <c r="L11" s="27">
        <f t="shared" si="4"/>
        <v>520.56</v>
      </c>
      <c r="M11" s="16">
        <f>'Dec 2026'!D13</f>
        <v>105.625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5" t="s">
        <v>22</v>
      </c>
      <c r="C12" s="27">
        <f>'May 2026'!D14</f>
        <v>232.935</v>
      </c>
      <c r="D12" s="27">
        <f>'Jun 2026'!D14</f>
        <v>81.27</v>
      </c>
      <c r="E12" s="27">
        <f>'Jul 2026'!D14</f>
        <v>65</v>
      </c>
      <c r="F12" s="27">
        <f>'Aug 2026'!D14</f>
        <v>65</v>
      </c>
      <c r="G12" s="27">
        <f>'Sep 2026'!D14</f>
        <v>65</v>
      </c>
      <c r="H12" s="27">
        <f>'Oct 2026'!D14</f>
        <v>65</v>
      </c>
      <c r="I12" s="27">
        <f>'Nov 2026'!D14</f>
        <v>65</v>
      </c>
      <c r="J12" s="27">
        <f>'Dec 2026'!D14</f>
        <v>65</v>
      </c>
      <c r="K12" s="28">
        <f t="shared" si="3"/>
        <v>88.025625</v>
      </c>
      <c r="L12" s="27">
        <f t="shared" si="4"/>
        <v>704.205</v>
      </c>
      <c r="M12" s="27">
        <f>'Dec 2026'!D14</f>
        <v>65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31" t="s">
        <v>23</v>
      </c>
      <c r="C13" s="16">
        <f>'May 2026'!D15</f>
        <v>583.64</v>
      </c>
      <c r="D13" s="16">
        <f>'Jun 2026'!D15</f>
        <v>115.05</v>
      </c>
      <c r="E13" s="16">
        <f>'Jul 2026'!D15</f>
        <v>0</v>
      </c>
      <c r="F13" s="16">
        <f>'Aug 2026'!D15</f>
        <v>0</v>
      </c>
      <c r="G13" s="16">
        <f>'Sep 2026'!D15</f>
        <v>0</v>
      </c>
      <c r="H13" s="16">
        <f>'Oct 2026'!D15</f>
        <v>0</v>
      </c>
      <c r="I13" s="16">
        <f>'Nov 2026'!D15</f>
        <v>0</v>
      </c>
      <c r="J13" s="16">
        <f>'Dec 2026'!D15</f>
        <v>0</v>
      </c>
      <c r="K13" s="28">
        <f t="shared" si="3"/>
        <v>349.345</v>
      </c>
      <c r="L13" s="27">
        <f t="shared" si="4"/>
        <v>698.69</v>
      </c>
      <c r="M13" s="16">
        <f>'Dec 2026'!D15</f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5" t="s">
        <v>24</v>
      </c>
      <c r="C14" s="27">
        <f>'May 2026'!D16</f>
        <v>117</v>
      </c>
      <c r="D14" s="27">
        <f>'Jun 2026'!D16</f>
        <v>0</v>
      </c>
      <c r="E14" s="27">
        <f>'Jul 2026'!D16</f>
        <v>0</v>
      </c>
      <c r="F14" s="27">
        <f>'Aug 2026'!D16</f>
        <v>0</v>
      </c>
      <c r="G14" s="27">
        <f>'Sep 2026'!D16</f>
        <v>0</v>
      </c>
      <c r="H14" s="27">
        <f>'Oct 2026'!D16</f>
        <v>0</v>
      </c>
      <c r="I14" s="27">
        <f>'Nov 2026'!D16</f>
        <v>0</v>
      </c>
      <c r="J14" s="27">
        <f>'Dec 2026'!D16</f>
        <v>0</v>
      </c>
      <c r="K14" s="28">
        <f t="shared" si="3"/>
        <v>117</v>
      </c>
      <c r="L14" s="27">
        <f t="shared" si="4"/>
        <v>117</v>
      </c>
      <c r="M14" s="27">
        <f>'Dec 2026'!D16</f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31" t="s">
        <v>25</v>
      </c>
      <c r="C15" s="16">
        <f>'May 2026'!D17</f>
        <v>189.5</v>
      </c>
      <c r="D15" s="16">
        <f>'Jun 2026'!D17</f>
        <v>13</v>
      </c>
      <c r="E15" s="16">
        <f>'Jul 2026'!D17</f>
        <v>105</v>
      </c>
      <c r="F15" s="16">
        <f>'Aug 2026'!D17</f>
        <v>105</v>
      </c>
      <c r="G15" s="16">
        <f>'Sep 2026'!D17</f>
        <v>105</v>
      </c>
      <c r="H15" s="16">
        <f>'Oct 2026'!D17</f>
        <v>105</v>
      </c>
      <c r="I15" s="16">
        <f>'Nov 2026'!D17</f>
        <v>105</v>
      </c>
      <c r="J15" s="16">
        <f>'Dec 2026'!D17</f>
        <v>105</v>
      </c>
      <c r="K15" s="28">
        <f t="shared" si="3"/>
        <v>104.0625</v>
      </c>
      <c r="L15" s="27">
        <f t="shared" si="4"/>
        <v>832.5</v>
      </c>
      <c r="M15" s="16">
        <f>'Dec 2026'!D17</f>
        <v>105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5" t="s">
        <v>26</v>
      </c>
      <c r="C16" s="27">
        <f>'May 2026'!D18</f>
        <v>222.9125</v>
      </c>
      <c r="D16" s="27">
        <f>'Jun 2026'!D18</f>
        <v>0</v>
      </c>
      <c r="E16" s="27">
        <f>'Jul 2026'!D18</f>
        <v>0</v>
      </c>
      <c r="F16" s="27">
        <f>'Aug 2026'!D18</f>
        <v>0</v>
      </c>
      <c r="G16" s="27">
        <f>'Sep 2026'!D18</f>
        <v>0</v>
      </c>
      <c r="H16" s="27">
        <f>'Oct 2026'!D18</f>
        <v>0</v>
      </c>
      <c r="I16" s="27">
        <f>'Nov 2026'!D18</f>
        <v>0</v>
      </c>
      <c r="J16" s="27">
        <f>'Dec 2026'!D18</f>
        <v>0</v>
      </c>
      <c r="K16" s="28">
        <f t="shared" si="3"/>
        <v>222.9125</v>
      </c>
      <c r="L16" s="27">
        <f t="shared" si="4"/>
        <v>222.9125</v>
      </c>
      <c r="M16" s="27">
        <f>'Dec 2026'!D18</f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1" t="s">
        <v>27</v>
      </c>
      <c r="C17" s="16">
        <f>'May 2026'!D19</f>
        <v>71.57</v>
      </c>
      <c r="D17" s="16">
        <f>'Jun 2026'!D19</f>
        <v>71.57</v>
      </c>
      <c r="E17" s="16">
        <f>'Jul 2026'!D19</f>
        <v>65.62</v>
      </c>
      <c r="F17" s="16">
        <f>'Aug 2026'!D19</f>
        <v>65.62</v>
      </c>
      <c r="G17" s="16">
        <f>'Sep 2026'!D19</f>
        <v>65.62</v>
      </c>
      <c r="H17" s="16">
        <f>'Oct 2026'!D19</f>
        <v>65.62</v>
      </c>
      <c r="I17" s="16">
        <f>'Nov 2026'!D19</f>
        <v>65.62</v>
      </c>
      <c r="J17" s="16">
        <f>'Dec 2026'!D19</f>
        <v>65.62</v>
      </c>
      <c r="K17" s="28">
        <f t="shared" si="3"/>
        <v>67.1075</v>
      </c>
      <c r="L17" s="27">
        <f t="shared" si="4"/>
        <v>536.86</v>
      </c>
      <c r="M17" s="16">
        <f>'Dec 2026'!D19</f>
        <v>65.62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5" t="s">
        <v>28</v>
      </c>
      <c r="C18" s="27">
        <f>'May 2026'!D20</f>
        <v>140</v>
      </c>
      <c r="D18" s="27">
        <f>'Jun 2026'!D20</f>
        <v>0</v>
      </c>
      <c r="E18" s="27">
        <f>'Jul 2026'!D20</f>
        <v>0</v>
      </c>
      <c r="F18" s="27">
        <f>'Aug 2026'!D20</f>
        <v>0</v>
      </c>
      <c r="G18" s="27">
        <f>'Sep 2026'!D20</f>
        <v>0</v>
      </c>
      <c r="H18" s="27">
        <f>'Oct 2026'!D20</f>
        <v>0</v>
      </c>
      <c r="I18" s="27">
        <f>'Nov 2026'!D20</f>
        <v>0</v>
      </c>
      <c r="J18" s="27">
        <f>'Dec 2026'!D20</f>
        <v>0</v>
      </c>
      <c r="K18" s="28">
        <f t="shared" si="3"/>
        <v>140</v>
      </c>
      <c r="L18" s="27">
        <f t="shared" si="4"/>
        <v>140</v>
      </c>
      <c r="M18" s="27">
        <f>'Dec 2026'!D20</f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31" t="s">
        <v>29</v>
      </c>
      <c r="C19" s="16">
        <f>'May 2026'!D21</f>
        <v>11.75</v>
      </c>
      <c r="D19" s="16">
        <f>'Jun 2026'!D21</f>
        <v>40</v>
      </c>
      <c r="E19" s="16">
        <f>'Jul 2026'!D21</f>
        <v>0</v>
      </c>
      <c r="F19" s="16">
        <f>'Aug 2026'!D21</f>
        <v>0</v>
      </c>
      <c r="G19" s="16">
        <f>'Sep 2026'!D21</f>
        <v>0</v>
      </c>
      <c r="H19" s="16">
        <f>'Oct 2026'!D21</f>
        <v>0</v>
      </c>
      <c r="I19" s="16">
        <f>'Nov 2026'!D21</f>
        <v>0</v>
      </c>
      <c r="J19" s="16">
        <f>'Dec 2026'!D21</f>
        <v>0</v>
      </c>
      <c r="K19" s="28">
        <f t="shared" si="3"/>
        <v>25.875</v>
      </c>
      <c r="L19" s="27">
        <f t="shared" si="4"/>
        <v>51.75</v>
      </c>
      <c r="M19" s="16">
        <f>'Dec 2026'!D21</f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5" t="s">
        <v>30</v>
      </c>
      <c r="C20" s="27">
        <f>'May 2026'!D22</f>
        <v>0</v>
      </c>
      <c r="D20" s="27">
        <f>'Jun 2026'!D22</f>
        <v>179.99</v>
      </c>
      <c r="E20" s="27">
        <f>'Jul 2026'!D22</f>
        <v>70</v>
      </c>
      <c r="F20" s="27">
        <f>'Aug 2026'!D22</f>
        <v>169</v>
      </c>
      <c r="G20" s="27">
        <f>'Sep 2026'!D22</f>
        <v>0</v>
      </c>
      <c r="H20" s="27">
        <f>'Oct 2026'!D22</f>
        <v>0</v>
      </c>
      <c r="I20" s="27">
        <f>'Nov 2026'!D22</f>
        <v>0</v>
      </c>
      <c r="J20" s="27">
        <f>'Dec 2026'!D22</f>
        <v>0</v>
      </c>
      <c r="K20" s="28">
        <f t="shared" si="3"/>
        <v>139.6633333</v>
      </c>
      <c r="L20" s="27">
        <f t="shared" si="4"/>
        <v>418.99</v>
      </c>
      <c r="M20" s="27">
        <f>'Dec 2026'!D22</f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68" t="s">
        <v>31</v>
      </c>
      <c r="C21" s="16">
        <f>'May 2026'!D23</f>
        <v>334.69</v>
      </c>
      <c r="D21" s="16">
        <f>'Jun 2026'!D23</f>
        <v>0</v>
      </c>
      <c r="E21" s="16">
        <f>'Jul 2026'!D23</f>
        <v>0</v>
      </c>
      <c r="F21" s="16">
        <f>'Aug 2026'!D23</f>
        <v>0</v>
      </c>
      <c r="G21" s="16">
        <f>'Sep 2026'!D23</f>
        <v>0</v>
      </c>
      <c r="H21" s="16">
        <f>'Oct 2026'!D23</f>
        <v>0</v>
      </c>
      <c r="I21" s="16">
        <f>'Nov 2026'!D23</f>
        <v>0</v>
      </c>
      <c r="J21" s="16">
        <f>'Dec 2026'!D23</f>
        <v>0</v>
      </c>
      <c r="K21" s="28">
        <f t="shared" si="3"/>
        <v>334.69</v>
      </c>
      <c r="L21" s="27">
        <f t="shared" si="4"/>
        <v>334.69</v>
      </c>
      <c r="M21" s="69">
        <f>'Dec 2026'!D23</f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70" t="s">
        <v>73</v>
      </c>
      <c r="C22" s="20">
        <f>'May 2026'!D61</f>
        <v>867.78</v>
      </c>
      <c r="D22" s="20">
        <f>'Jun 2026'!D60</f>
        <v>1013.285</v>
      </c>
      <c r="E22" s="20">
        <f>'Jul 2026'!D60</f>
        <v>1090.075</v>
      </c>
      <c r="F22" s="20">
        <f>'Aug 2026'!D60</f>
        <v>1175.075</v>
      </c>
      <c r="G22" s="20">
        <f>'Sep 2026'!D60</f>
        <v>1090.075</v>
      </c>
      <c r="H22" s="20">
        <f>'Oct 2026'!D60</f>
        <v>1175.075</v>
      </c>
      <c r="I22" s="20">
        <f>'Nov 2026'!D60</f>
        <v>1090.075</v>
      </c>
      <c r="J22" s="20">
        <f>'Dec 2026'!D60</f>
        <v>1175.075</v>
      </c>
      <c r="K22" s="28">
        <f>SUM(C22:J22)</f>
        <v>8676.515</v>
      </c>
      <c r="L22" s="27">
        <f>IFERROR(AVERAGEIF(C22:J22,"&gt;0"),0)</f>
        <v>1084.564375</v>
      </c>
      <c r="M22" s="71" t="str">
        <f>'Dec 2026'!D61</f>
        <v/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68" t="s">
        <v>62</v>
      </c>
      <c r="C23" s="36">
        <f>'May 2026'!D63</f>
        <v>800</v>
      </c>
      <c r="D23" s="36">
        <f>'Jun 2026'!D63</f>
        <v>300</v>
      </c>
      <c r="E23" s="36">
        <f>'Jul 2026'!D63</f>
        <v>0</v>
      </c>
      <c r="F23" s="36">
        <f>'Aug 2026'!D63</f>
        <v>0</v>
      </c>
      <c r="G23" s="36">
        <f>'Sep 2026'!D63</f>
        <v>0</v>
      </c>
      <c r="H23" s="36">
        <f>'Oct 2026'!D63</f>
        <v>0</v>
      </c>
      <c r="I23" s="36">
        <f>'Nov 2026'!D63</f>
        <v>0</v>
      </c>
      <c r="J23" s="36">
        <f>'Dec 2026'!D63</f>
        <v>0</v>
      </c>
      <c r="K23" s="28">
        <f t="shared" ref="K23:K25" si="5">IFERROR(AVERAGEIF(C23:J23,"&gt;0"),0)</f>
        <v>550</v>
      </c>
      <c r="L23" s="27">
        <f t="shared" ref="L23:L25" si="6">SUM(C23:J23)</f>
        <v>1100</v>
      </c>
      <c r="M23" s="72">
        <f>'Dec 2026'!D63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73" t="s">
        <v>74</v>
      </c>
      <c r="C24" s="20">
        <f>'May 2026'!D65</f>
        <v>153.26</v>
      </c>
      <c r="D24" s="20">
        <f>'Jun 2026'!D65</f>
        <v>1989.775</v>
      </c>
      <c r="E24" s="20">
        <f>'Jul 2026'!D65</f>
        <v>4823.25</v>
      </c>
      <c r="F24" s="20">
        <f>'Aug 2026'!D65</f>
        <v>8202.305</v>
      </c>
      <c r="G24" s="20">
        <f>'Sep 2026'!D65</f>
        <v>11835.36</v>
      </c>
      <c r="H24" s="20">
        <f>'Oct 2026'!D65</f>
        <v>15383.415</v>
      </c>
      <c r="I24" s="20">
        <f>'Nov 2026'!D65</f>
        <v>19016.47</v>
      </c>
      <c r="J24" s="20">
        <f>'Dec 2026'!D65</f>
        <v>22564.525</v>
      </c>
      <c r="K24" s="28">
        <f t="shared" si="5"/>
        <v>10496.045</v>
      </c>
      <c r="L24" s="27">
        <f t="shared" si="6"/>
        <v>83968.36</v>
      </c>
      <c r="M24" s="74">
        <f>'Dec 2026'!D64</f>
        <v>1451.945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40">
        <f>'May 2026'!D65</f>
        <v>153.26</v>
      </c>
      <c r="D25" s="40">
        <f>'Jun 2026'!D65</f>
        <v>1989.775</v>
      </c>
      <c r="E25" s="40">
        <f>'Jul 2026'!D65</f>
        <v>4823.25</v>
      </c>
      <c r="F25" s="40">
        <f>'Aug 2026'!D65</f>
        <v>8202.305</v>
      </c>
      <c r="G25" s="40">
        <f>'Sep 2026'!D65</f>
        <v>11835.36</v>
      </c>
      <c r="H25" s="40">
        <f>'Oct 2026'!D65</f>
        <v>15383.415</v>
      </c>
      <c r="I25" s="40">
        <f>'Nov 2026'!D65</f>
        <v>19016.47</v>
      </c>
      <c r="J25" s="40">
        <f>'Dec 2026'!D65</f>
        <v>22564.525</v>
      </c>
      <c r="K25" s="28">
        <f t="shared" si="5"/>
        <v>10496.045</v>
      </c>
      <c r="L25" s="27">
        <f t="shared" si="6"/>
        <v>83968.36</v>
      </c>
      <c r="M25" s="75">
        <f>'Dec 2026'!D65</f>
        <v>22564.525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66" t="s">
        <v>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6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5" t="s">
        <v>76</v>
      </c>
      <c r="C27" s="27">
        <f>'May 2026'!D30</f>
        <v>94.11</v>
      </c>
      <c r="D27" s="27">
        <f>'Jun 2026'!D30</f>
        <v>54.98</v>
      </c>
      <c r="E27" s="27">
        <f>'Jul 2026'!D30</f>
        <v>15.98</v>
      </c>
      <c r="F27" s="27">
        <f>'Aug 2026'!D30</f>
        <v>15.98</v>
      </c>
      <c r="G27" s="27">
        <f>'Sep 2026'!D30</f>
        <v>15.98</v>
      </c>
      <c r="H27" s="27">
        <f>'Oct 2026'!D30</f>
        <v>15.98</v>
      </c>
      <c r="I27" s="27">
        <f>'Nov 2026'!D30</f>
        <v>15.98</v>
      </c>
      <c r="J27" s="27">
        <f>'Dec 2026'!D30</f>
        <v>15.98</v>
      </c>
      <c r="K27" s="28">
        <f t="shared" ref="K27:K37" si="7">IFERROR(AVERAGEIF(C27:J27,"&gt;0"),0)</f>
        <v>30.62125</v>
      </c>
      <c r="L27" s="27">
        <f t="shared" ref="L27:L38" si="8">IFERROR(AVERAGEIF(C27:J27,"&gt;0"),0)</f>
        <v>30.62125</v>
      </c>
      <c r="M27" s="2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31" t="s">
        <v>37</v>
      </c>
      <c r="C28" s="16">
        <f>'May 2026'!D31</f>
        <v>0</v>
      </c>
      <c r="D28" s="16">
        <f>'Jun 2026'!D31</f>
        <v>0</v>
      </c>
      <c r="E28" s="16">
        <f>'Jul 2026'!D31</f>
        <v>0</v>
      </c>
      <c r="F28" s="16">
        <f>'Aug 2026'!D31</f>
        <v>0</v>
      </c>
      <c r="G28" s="16">
        <f>'Sep 2026'!D31</f>
        <v>0</v>
      </c>
      <c r="H28" s="16">
        <f>'Oct 2026'!D31</f>
        <v>0</v>
      </c>
      <c r="I28" s="16">
        <f>'Nov 2026'!D31</f>
        <v>0</v>
      </c>
      <c r="J28" s="16">
        <f>'Dec 2026'!D31</f>
        <v>0</v>
      </c>
      <c r="K28" s="28">
        <f t="shared" si="7"/>
        <v>0</v>
      </c>
      <c r="L28" s="16">
        <f t="shared" si="8"/>
        <v>0</v>
      </c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5" t="s">
        <v>38</v>
      </c>
      <c r="C29" s="27">
        <f>'May 2026'!D32</f>
        <v>0</v>
      </c>
      <c r="D29" s="27">
        <f>'Jun 2026'!D32</f>
        <v>0</v>
      </c>
      <c r="E29" s="27">
        <f>'Jul 2026'!D32</f>
        <v>0</v>
      </c>
      <c r="F29" s="27">
        <f>'Aug 2026'!D32</f>
        <v>0</v>
      </c>
      <c r="G29" s="27">
        <f>'Sep 2026'!D32</f>
        <v>0</v>
      </c>
      <c r="H29" s="27">
        <f>'Oct 2026'!D32</f>
        <v>0</v>
      </c>
      <c r="I29" s="27">
        <f>'Nov 2026'!D32</f>
        <v>0</v>
      </c>
      <c r="J29" s="27">
        <f>'Dec 2026'!D32</f>
        <v>0</v>
      </c>
      <c r="K29" s="28">
        <f t="shared" si="7"/>
        <v>0</v>
      </c>
      <c r="L29" s="27">
        <f t="shared" si="8"/>
        <v>0</v>
      </c>
      <c r="M29" s="2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31" t="s">
        <v>39</v>
      </c>
      <c r="C30" s="16">
        <f>'May 2026'!D33</f>
        <v>736.26</v>
      </c>
      <c r="D30" s="16">
        <f>'Jun 2026'!D33</f>
        <v>77.35</v>
      </c>
      <c r="E30" s="16">
        <f>'Jul 2026'!D33</f>
        <v>41.25</v>
      </c>
      <c r="F30" s="16">
        <f>'Aug 2026'!D33</f>
        <v>41.25</v>
      </c>
      <c r="G30" s="16">
        <f>'Sep 2026'!D33</f>
        <v>41.25</v>
      </c>
      <c r="H30" s="16">
        <f>'Oct 2026'!D33</f>
        <v>41.25</v>
      </c>
      <c r="I30" s="16">
        <f>'Nov 2026'!D33</f>
        <v>41.25</v>
      </c>
      <c r="J30" s="16">
        <f>'Dec 2026'!D33</f>
        <v>41.25</v>
      </c>
      <c r="K30" s="28">
        <f t="shared" si="7"/>
        <v>132.63875</v>
      </c>
      <c r="L30" s="16">
        <f t="shared" si="8"/>
        <v>132.63875</v>
      </c>
      <c r="M30" s="1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5" t="s">
        <v>40</v>
      </c>
      <c r="C31" s="27">
        <f>'May 2026'!D34</f>
        <v>178.04</v>
      </c>
      <c r="D31" s="27">
        <f>'Jun 2026'!D34</f>
        <v>32.54</v>
      </c>
      <c r="E31" s="27">
        <f>'Jul 2026'!D34</f>
        <v>0</v>
      </c>
      <c r="F31" s="27">
        <f>'Aug 2026'!D34</f>
        <v>0</v>
      </c>
      <c r="G31" s="27">
        <f>'Sep 2026'!D34</f>
        <v>0</v>
      </c>
      <c r="H31" s="27">
        <f>'Oct 2026'!D34</f>
        <v>0</v>
      </c>
      <c r="I31" s="27">
        <f>'Nov 2026'!D34</f>
        <v>0</v>
      </c>
      <c r="J31" s="27">
        <f>'Dec 2026'!D34</f>
        <v>0</v>
      </c>
      <c r="K31" s="28">
        <f t="shared" si="7"/>
        <v>105.29</v>
      </c>
      <c r="L31" s="27">
        <f t="shared" si="8"/>
        <v>105.29</v>
      </c>
      <c r="M31" s="2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31" t="s">
        <v>41</v>
      </c>
      <c r="C32" s="16">
        <f>'May 2026'!D35</f>
        <v>231.88</v>
      </c>
      <c r="D32" s="16">
        <f>'Jun 2026'!D35</f>
        <v>85.56</v>
      </c>
      <c r="E32" s="16">
        <f>'Jul 2026'!D35</f>
        <v>21.99</v>
      </c>
      <c r="F32" s="16">
        <f>'Aug 2026'!D35</f>
        <v>21.99</v>
      </c>
      <c r="G32" s="16">
        <f>'Sep 2026'!D35</f>
        <v>21.99</v>
      </c>
      <c r="H32" s="16">
        <f>'Oct 2026'!D35</f>
        <v>21.99</v>
      </c>
      <c r="I32" s="16">
        <f>'Nov 2026'!D35</f>
        <v>21.99</v>
      </c>
      <c r="J32" s="16">
        <f>'Dec 2026'!D35</f>
        <v>21.99</v>
      </c>
      <c r="K32" s="28">
        <f t="shared" si="7"/>
        <v>56.1725</v>
      </c>
      <c r="L32" s="16">
        <f t="shared" si="8"/>
        <v>56.1725</v>
      </c>
      <c r="M32" s="1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5" t="s">
        <v>42</v>
      </c>
      <c r="C33" s="27">
        <f>'May 2026'!D36</f>
        <v>11.75</v>
      </c>
      <c r="D33" s="27">
        <f>'Jun 2026'!D36</f>
        <v>0</v>
      </c>
      <c r="E33" s="27">
        <f>'Jul 2026'!D36</f>
        <v>0</v>
      </c>
      <c r="F33" s="27">
        <f>'Aug 2026'!D36</f>
        <v>0</v>
      </c>
      <c r="G33" s="27">
        <f>'Sep 2026'!D36</f>
        <v>0</v>
      </c>
      <c r="H33" s="27">
        <f>'Oct 2026'!D36</f>
        <v>0</v>
      </c>
      <c r="I33" s="27">
        <f>'Nov 2026'!D36</f>
        <v>0</v>
      </c>
      <c r="J33" s="27">
        <f>'Dec 2026'!D36</f>
        <v>0</v>
      </c>
      <c r="K33" s="28">
        <f t="shared" si="7"/>
        <v>11.75</v>
      </c>
      <c r="L33" s="27">
        <f t="shared" si="8"/>
        <v>11.75</v>
      </c>
      <c r="M33" s="2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1" t="s">
        <v>43</v>
      </c>
      <c r="C34" s="16">
        <f>'May 2026'!D37</f>
        <v>7.65</v>
      </c>
      <c r="D34" s="16">
        <f>'Jun 2026'!D37</f>
        <v>7.65</v>
      </c>
      <c r="E34" s="16">
        <f>'Jul 2026'!D37</f>
        <v>7.65</v>
      </c>
      <c r="F34" s="16">
        <f>'Aug 2026'!D37</f>
        <v>7.65</v>
      </c>
      <c r="G34" s="16">
        <f>'Sep 2026'!D37</f>
        <v>7.65</v>
      </c>
      <c r="H34" s="16">
        <f>'Oct 2026'!D37</f>
        <v>7.65</v>
      </c>
      <c r="I34" s="16">
        <f>'Nov 2026'!D37</f>
        <v>7.65</v>
      </c>
      <c r="J34" s="16">
        <f>'Dec 2026'!D37</f>
        <v>7.65</v>
      </c>
      <c r="K34" s="28">
        <f t="shared" si="7"/>
        <v>7.65</v>
      </c>
      <c r="L34" s="16">
        <f t="shared" si="8"/>
        <v>7.65</v>
      </c>
      <c r="M34" s="1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5" t="s">
        <v>44</v>
      </c>
      <c r="C35" s="27">
        <f>'May 2026'!D38</f>
        <v>991.59</v>
      </c>
      <c r="D35" s="27">
        <f>'Jun 2026'!D38</f>
        <v>446.22</v>
      </c>
      <c r="E35" s="27">
        <f>'Jul 2026'!D38</f>
        <v>195</v>
      </c>
      <c r="F35" s="27">
        <f>'Aug 2026'!D38</f>
        <v>294</v>
      </c>
      <c r="G35" s="27">
        <f>'Sep 2026'!D38</f>
        <v>125</v>
      </c>
      <c r="H35" s="27">
        <f>'Oct 2026'!D38</f>
        <v>125</v>
      </c>
      <c r="I35" s="27">
        <f>'Nov 2026'!D38</f>
        <v>125</v>
      </c>
      <c r="J35" s="27">
        <f>'Dec 2026'!D38</f>
        <v>125</v>
      </c>
      <c r="K35" s="28">
        <f t="shared" si="7"/>
        <v>303.35125</v>
      </c>
      <c r="L35" s="27">
        <f t="shared" si="8"/>
        <v>303.35125</v>
      </c>
      <c r="M35" s="2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1" t="s">
        <v>28</v>
      </c>
      <c r="C36" s="16">
        <f>'May 2026'!D39</f>
        <v>205</v>
      </c>
      <c r="D36" s="16">
        <f>'Jun 2026'!D39</f>
        <v>105</v>
      </c>
      <c r="E36" s="16">
        <f>'Jul 2026'!D39</f>
        <v>65</v>
      </c>
      <c r="F36" s="16">
        <f>'Aug 2026'!D39</f>
        <v>65</v>
      </c>
      <c r="G36" s="16">
        <f>'Sep 2026'!D39</f>
        <v>65</v>
      </c>
      <c r="H36" s="16">
        <f>'Oct 2026'!D39</f>
        <v>65</v>
      </c>
      <c r="I36" s="16">
        <f>'Nov 2026'!D39</f>
        <v>65</v>
      </c>
      <c r="J36" s="16">
        <f>'Dec 2026'!D39</f>
        <v>65</v>
      </c>
      <c r="K36" s="28">
        <f t="shared" si="7"/>
        <v>87.5</v>
      </c>
      <c r="L36" s="16">
        <f t="shared" si="8"/>
        <v>87.5</v>
      </c>
      <c r="M36" s="1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5" t="s">
        <v>30</v>
      </c>
      <c r="C37" s="27">
        <f>'May 2026'!D40</f>
        <v>0</v>
      </c>
      <c r="D37" s="27">
        <f>'Jun 2026'!D40</f>
        <v>0</v>
      </c>
      <c r="E37" s="27">
        <f>'Jul 2026'!D40</f>
        <v>0</v>
      </c>
      <c r="F37" s="27">
        <f>'Aug 2026'!D40</f>
        <v>0</v>
      </c>
      <c r="G37" s="27">
        <f>'Sep 2026'!D40</f>
        <v>0</v>
      </c>
      <c r="H37" s="27">
        <f>'Oct 2026'!D40</f>
        <v>0</v>
      </c>
      <c r="I37" s="27">
        <f>'Nov 2026'!D40</f>
        <v>0</v>
      </c>
      <c r="J37" s="27">
        <f>'Dec 2026'!D40</f>
        <v>0</v>
      </c>
      <c r="K37" s="28">
        <f t="shared" si="7"/>
        <v>0</v>
      </c>
      <c r="L37" s="27">
        <f t="shared" si="8"/>
        <v>0</v>
      </c>
      <c r="M37" s="2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68" t="s">
        <v>45</v>
      </c>
      <c r="C38" s="52">
        <f>'May 2026'!D41</f>
        <v>2456.28</v>
      </c>
      <c r="D38" s="52">
        <f>'Jun 2026'!D41</f>
        <v>809.3</v>
      </c>
      <c r="E38" s="52">
        <f>'Jul 2026'!D41</f>
        <v>346.87</v>
      </c>
      <c r="F38" s="52">
        <f>'Aug 2026'!D41</f>
        <v>445.87</v>
      </c>
      <c r="G38" s="52">
        <f>'Sep 2026'!D41</f>
        <v>276.87</v>
      </c>
      <c r="H38" s="52">
        <f>'Oct 2026'!D41</f>
        <v>276.87</v>
      </c>
      <c r="I38" s="52">
        <f>'Nov 2026'!D41</f>
        <v>276.87</v>
      </c>
      <c r="J38" s="52">
        <f>'Dec 2026'!D41</f>
        <v>276.87</v>
      </c>
      <c r="K38" s="52">
        <f>SUM(C38:J38)</f>
        <v>5165.8</v>
      </c>
      <c r="L38" s="76">
        <f t="shared" si="8"/>
        <v>645.725</v>
      </c>
      <c r="M38" s="2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66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6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5" t="s">
        <v>78</v>
      </c>
      <c r="C41" s="27">
        <f>'May 2026'!D45</f>
        <v>300</v>
      </c>
      <c r="D41" s="27">
        <f>'Jun 2026'!D45</f>
        <v>300</v>
      </c>
      <c r="E41" s="27">
        <f>'Jul 2026'!D45</f>
        <v>0</v>
      </c>
      <c r="F41" s="27">
        <f>'Aug 2026'!D45</f>
        <v>0</v>
      </c>
      <c r="G41" s="27">
        <f>'Sep 2026'!D45</f>
        <v>0</v>
      </c>
      <c r="H41" s="27">
        <f>'Oct 2026'!D45</f>
        <v>0</v>
      </c>
      <c r="I41" s="27">
        <f>'Nov 2026'!D45</f>
        <v>0</v>
      </c>
      <c r="J41" s="27">
        <f>'Dec 2026'!D45</f>
        <v>0</v>
      </c>
      <c r="K41" s="28">
        <f t="shared" ref="K41:K51" si="9">IFERROR(AVERAGEIF(C41:J41,"&gt;0"),0)</f>
        <v>300</v>
      </c>
      <c r="L41" s="27">
        <f t="shared" ref="L41:L46" si="10">IFERROR(AVERAGEIF(C41:J41,"&gt;0"),0)</f>
        <v>300</v>
      </c>
      <c r="M41" s="2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1" t="s">
        <v>79</v>
      </c>
      <c r="C42" s="16">
        <f>'May 2026'!D46</f>
        <v>500</v>
      </c>
      <c r="D42" s="16">
        <f>'Jun 2026'!D46</f>
        <v>0</v>
      </c>
      <c r="E42" s="16">
        <f>'Jul 2026'!D46</f>
        <v>0</v>
      </c>
      <c r="F42" s="16">
        <f>'Aug 2026'!D46</f>
        <v>0</v>
      </c>
      <c r="G42" s="16">
        <f>'Sep 2026'!D46</f>
        <v>0</v>
      </c>
      <c r="H42" s="16">
        <f>'Oct 2026'!D46</f>
        <v>0</v>
      </c>
      <c r="I42" s="16">
        <f>'Nov 2026'!D46</f>
        <v>0</v>
      </c>
      <c r="J42" s="16">
        <f>'Dec 2026'!D46</f>
        <v>0</v>
      </c>
      <c r="K42" s="28">
        <f t="shared" si="9"/>
        <v>500</v>
      </c>
      <c r="L42" s="16">
        <f t="shared" si="10"/>
        <v>500</v>
      </c>
      <c r="M42" s="1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5" t="s">
        <v>80</v>
      </c>
      <c r="C43" s="27">
        <f>'May 2026'!D49</f>
        <v>120</v>
      </c>
      <c r="D43" s="27">
        <f>'Jun 2026'!D49</f>
        <v>120</v>
      </c>
      <c r="E43" s="27">
        <f>'Jul 2026'!D49</f>
        <v>120</v>
      </c>
      <c r="F43" s="27">
        <f>'Aug 2026'!D49</f>
        <v>120</v>
      </c>
      <c r="G43" s="27">
        <f>'Sep 2026'!D49</f>
        <v>120</v>
      </c>
      <c r="H43" s="27">
        <f>'Oct 2026'!D49</f>
        <v>120</v>
      </c>
      <c r="I43" s="27">
        <f>'Nov 2026'!D49</f>
        <v>120</v>
      </c>
      <c r="J43" s="27">
        <f>'Dec 2026'!D49</f>
        <v>120</v>
      </c>
      <c r="K43" s="28">
        <f t="shared" si="9"/>
        <v>120</v>
      </c>
      <c r="L43" s="27">
        <f t="shared" si="10"/>
        <v>120</v>
      </c>
      <c r="M43" s="2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1" t="s">
        <v>81</v>
      </c>
      <c r="C44" s="16">
        <f>'May 2026'!D50</f>
        <v>200</v>
      </c>
      <c r="D44" s="16">
        <f>'Jun 2026'!D50</f>
        <v>200</v>
      </c>
      <c r="E44" s="16">
        <f>'Jul 2026'!D50</f>
        <v>200</v>
      </c>
      <c r="F44" s="16">
        <f>'Aug 2026'!D50</f>
        <v>200</v>
      </c>
      <c r="G44" s="16">
        <f>'Sep 2026'!D50</f>
        <v>200</v>
      </c>
      <c r="H44" s="16">
        <f>'Oct 2026'!D50</f>
        <v>200</v>
      </c>
      <c r="I44" s="16">
        <f>'Nov 2026'!D50</f>
        <v>200</v>
      </c>
      <c r="J44" s="16">
        <f>'Dec 2026'!D50</f>
        <v>200</v>
      </c>
      <c r="K44" s="28">
        <f t="shared" si="9"/>
        <v>200</v>
      </c>
      <c r="L44" s="16">
        <f t="shared" si="10"/>
        <v>200</v>
      </c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5" t="s">
        <v>82</v>
      </c>
      <c r="C45" s="27">
        <f>'May 2026'!D51</f>
        <v>400</v>
      </c>
      <c r="D45" s="27">
        <f>'Jun 2026'!D51</f>
        <v>400</v>
      </c>
      <c r="E45" s="27">
        <f>'Jul 2026'!D51</f>
        <v>400</v>
      </c>
      <c r="F45" s="27">
        <f>'Aug 2026'!D51</f>
        <v>400</v>
      </c>
      <c r="G45" s="27">
        <f>'Sep 2026'!D51</f>
        <v>400</v>
      </c>
      <c r="H45" s="27">
        <f>'Oct 2026'!D51</f>
        <v>400</v>
      </c>
      <c r="I45" s="27">
        <f>'Nov 2026'!D51</f>
        <v>400</v>
      </c>
      <c r="J45" s="27">
        <f>'Dec 2026'!D51</f>
        <v>400</v>
      </c>
      <c r="K45" s="28">
        <f t="shared" si="9"/>
        <v>400</v>
      </c>
      <c r="L45" s="27">
        <f t="shared" si="10"/>
        <v>400</v>
      </c>
      <c r="M45" s="2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31" t="s">
        <v>83</v>
      </c>
      <c r="C46" s="16">
        <f>'May 2026'!D52</f>
        <v>140</v>
      </c>
      <c r="D46" s="16">
        <f>'Jun 2026'!D52</f>
        <v>140</v>
      </c>
      <c r="E46" s="16">
        <f>'Jul 2026'!D52</f>
        <v>140</v>
      </c>
      <c r="F46" s="16">
        <f>'Aug 2026'!D52</f>
        <v>140</v>
      </c>
      <c r="G46" s="16">
        <f>'Sep 2026'!D52</f>
        <v>140</v>
      </c>
      <c r="H46" s="16">
        <f>'Oct 2026'!D52</f>
        <v>140</v>
      </c>
      <c r="I46" s="16">
        <f>'Nov 2026'!D52</f>
        <v>140</v>
      </c>
      <c r="J46" s="16">
        <f>'Dec 2026'!D52</f>
        <v>140</v>
      </c>
      <c r="K46" s="28">
        <f t="shared" si="9"/>
        <v>140</v>
      </c>
      <c r="L46" s="16">
        <f t="shared" si="10"/>
        <v>140</v>
      </c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5" t="s">
        <v>84</v>
      </c>
      <c r="C47" s="27">
        <f>'May 2026'!F49</f>
        <v>3600</v>
      </c>
      <c r="D47" s="27">
        <f>'Jun 2026'!F49</f>
        <v>3720</v>
      </c>
      <c r="E47" s="27">
        <f>'Jul 2026'!F49</f>
        <v>3840</v>
      </c>
      <c r="F47" s="27">
        <f>'Aug 2026'!F49</f>
        <v>3960</v>
      </c>
      <c r="G47" s="27">
        <f>'Sep 2026'!F49</f>
        <v>4080</v>
      </c>
      <c r="H47" s="27">
        <f>'Oct 2026'!F49</f>
        <v>4200</v>
      </c>
      <c r="I47" s="27">
        <f>'Nov 2026'!F49</f>
        <v>4320</v>
      </c>
      <c r="J47" s="27">
        <f>'Dec 2026'!F49</f>
        <v>4440</v>
      </c>
      <c r="K47" s="28">
        <f t="shared" si="9"/>
        <v>4020</v>
      </c>
      <c r="L47" s="27">
        <f t="shared" ref="L47:L51" si="11">IFERROR(MAX(C47:J47),0)</f>
        <v>4440</v>
      </c>
      <c r="M47" s="2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31" t="s">
        <v>85</v>
      </c>
      <c r="C48" s="16">
        <f>'May 2026'!F50</f>
        <v>7650</v>
      </c>
      <c r="D48" s="16">
        <f>'Jun 2026'!F50</f>
        <v>7850</v>
      </c>
      <c r="E48" s="16">
        <f>'Jul 2026'!F50</f>
        <v>8050</v>
      </c>
      <c r="F48" s="16">
        <f>'Aug 2026'!F50</f>
        <v>8250</v>
      </c>
      <c r="G48" s="16">
        <f>'Sep 2026'!F50</f>
        <v>8450</v>
      </c>
      <c r="H48" s="16">
        <f>'Oct 2026'!F50</f>
        <v>8650</v>
      </c>
      <c r="I48" s="16">
        <f>'Nov 2026'!F50</f>
        <v>8850</v>
      </c>
      <c r="J48" s="16">
        <f>'Dec 2026'!F50</f>
        <v>9050</v>
      </c>
      <c r="K48" s="28">
        <f t="shared" si="9"/>
        <v>8350</v>
      </c>
      <c r="L48" s="16">
        <f t="shared" si="11"/>
        <v>9050</v>
      </c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5" t="s">
        <v>86</v>
      </c>
      <c r="C49" s="27">
        <f>'May 2026'!F51</f>
        <v>10000</v>
      </c>
      <c r="D49" s="27">
        <f>'Jun 2026'!F51</f>
        <v>10400</v>
      </c>
      <c r="E49" s="27">
        <f>'Jul 2026'!F51</f>
        <v>10800</v>
      </c>
      <c r="F49" s="27">
        <f>'Aug 2026'!F51</f>
        <v>11200</v>
      </c>
      <c r="G49" s="27">
        <f>'Sep 2026'!F51</f>
        <v>11600</v>
      </c>
      <c r="H49" s="27">
        <f>'Oct 2026'!F51</f>
        <v>12000</v>
      </c>
      <c r="I49" s="27">
        <f>'Nov 2026'!F51</f>
        <v>12400</v>
      </c>
      <c r="J49" s="27">
        <f>'Dec 2026'!F51</f>
        <v>12800</v>
      </c>
      <c r="K49" s="28">
        <f t="shared" si="9"/>
        <v>11400</v>
      </c>
      <c r="L49" s="27">
        <f t="shared" si="11"/>
        <v>12800</v>
      </c>
      <c r="M49" s="2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31" t="s">
        <v>87</v>
      </c>
      <c r="C50" s="16">
        <f>'May 2026'!F52</f>
        <v>6186.75</v>
      </c>
      <c r="D50" s="16">
        <f>'Jun 2026'!F52</f>
        <v>6326.75</v>
      </c>
      <c r="E50" s="16">
        <f>'Jul 2026'!F52</f>
        <v>6466.75</v>
      </c>
      <c r="F50" s="16">
        <f>'Aug 2026'!F52</f>
        <v>6606.75</v>
      </c>
      <c r="G50" s="16">
        <f>'Sep 2026'!F52</f>
        <v>6746.75</v>
      </c>
      <c r="H50" s="16">
        <f>'Oct 2026'!F52</f>
        <v>6886.75</v>
      </c>
      <c r="I50" s="16">
        <f>'Nov 2026'!F52</f>
        <v>7026.75</v>
      </c>
      <c r="J50" s="16">
        <f>'Dec 2026'!F52</f>
        <v>7166.75</v>
      </c>
      <c r="K50" s="28">
        <f t="shared" si="9"/>
        <v>6676.75</v>
      </c>
      <c r="L50" s="16">
        <f t="shared" si="11"/>
        <v>7166.75</v>
      </c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70" t="s">
        <v>60</v>
      </c>
      <c r="C51" s="36">
        <f>'May 2026'!F53</f>
        <v>27436.75</v>
      </c>
      <c r="D51" s="36">
        <f>'Jun 2026'!F53</f>
        <v>28296.75</v>
      </c>
      <c r="E51" s="36">
        <f>'Jul 2026'!F53</f>
        <v>29156.75</v>
      </c>
      <c r="F51" s="36">
        <f>'Aug 2026'!F53</f>
        <v>30016.75</v>
      </c>
      <c r="G51" s="36">
        <f>'Sep 2026'!F53</f>
        <v>30876.75</v>
      </c>
      <c r="H51" s="36">
        <f>'Oct 2026'!F53</f>
        <v>31736.75</v>
      </c>
      <c r="I51" s="36">
        <f>'Nov 2026'!F53</f>
        <v>32596.75</v>
      </c>
      <c r="J51" s="36">
        <f>'Dec 2026'!F53</f>
        <v>33456.75</v>
      </c>
      <c r="K51" s="28">
        <f t="shared" si="9"/>
        <v>30446.75</v>
      </c>
      <c r="L51" s="77">
        <f t="shared" si="11"/>
        <v>33456.75</v>
      </c>
      <c r="M51" s="3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66" t="s">
        <v>88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6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78" t="s">
        <v>89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5" t="s">
        <v>90</v>
      </c>
      <c r="C55" s="27">
        <f>'May 2026'!D12-'May 2026'!F12</f>
        <v>-32.39</v>
      </c>
      <c r="D55" s="27">
        <f>'Jun 2026'!D12-'May 2026'!F12</f>
        <v>-209.63</v>
      </c>
      <c r="E55" s="27">
        <f>'Jul 2026'!D12-'May 2026'!F12</f>
        <v>-300</v>
      </c>
      <c r="F55" s="27">
        <f>'Aug 2026'!D12-'May 2026'!F12</f>
        <v>-300</v>
      </c>
      <c r="G55" s="27">
        <f>'Sep 2026'!D12-'May 2026'!F12</f>
        <v>-300</v>
      </c>
      <c r="H55" s="27">
        <f>'Oct 2026'!D12-'May 2026'!F12</f>
        <v>-300</v>
      </c>
      <c r="I55" s="27">
        <f>'Nov 2026'!D12-'May 2026'!F12</f>
        <v>-300</v>
      </c>
      <c r="J55" s="27">
        <f>'Dec 2026'!D12-'May 2026'!F12</f>
        <v>-300</v>
      </c>
      <c r="K55" s="27">
        <f t="shared" ref="K55:K65" si="12">AVERAGEIF(C55:J55,"&lt;&gt;0")</f>
        <v>-255.2525</v>
      </c>
      <c r="L55" s="27">
        <f t="shared" ref="L55:L65" si="13">SUM(C55:J55)</f>
        <v>-2042.02</v>
      </c>
      <c r="M55" s="27">
        <f>'May 2026'!F12</f>
        <v>300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31" t="s">
        <v>91</v>
      </c>
      <c r="C56" s="16">
        <f>'May 2026'!D13-'May 2026'!F13</f>
        <v>-28.815</v>
      </c>
      <c r="D56" s="16">
        <f>'Jun 2026'!D13-'May 2026'!F13</f>
        <v>70.625</v>
      </c>
      <c r="E56" s="16">
        <f>'Jul 2026'!D13-'May 2026'!F13</f>
        <v>-29.375</v>
      </c>
      <c r="F56" s="16">
        <f>'Aug 2026'!D13-'May 2026'!F13</f>
        <v>55.625</v>
      </c>
      <c r="G56" s="16">
        <f>'Sep 2026'!D13-'May 2026'!F13</f>
        <v>-29.375</v>
      </c>
      <c r="H56" s="16">
        <f>'Oct 2026'!D13-'May 2026'!F13</f>
        <v>55.625</v>
      </c>
      <c r="I56" s="16">
        <f>'Nov 2026'!D13-'May 2026'!F13</f>
        <v>-29.375</v>
      </c>
      <c r="J56" s="16">
        <f>'Dec 2026'!D13-'May 2026'!F13</f>
        <v>55.625</v>
      </c>
      <c r="K56" s="16">
        <f t="shared" si="12"/>
        <v>15.07</v>
      </c>
      <c r="L56" s="27">
        <f t="shared" si="13"/>
        <v>120.56</v>
      </c>
      <c r="M56" s="16">
        <f>'May 2026'!F13</f>
        <v>50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5" t="s">
        <v>92</v>
      </c>
      <c r="C57" s="27">
        <f>'May 2026'!D14-'May 2026'!F14</f>
        <v>-17.065</v>
      </c>
      <c r="D57" s="27">
        <f>'Jun 2026'!D14-'May 2026'!F14</f>
        <v>-168.73</v>
      </c>
      <c r="E57" s="27">
        <f>'Jul 2026'!D14-'May 2026'!F14</f>
        <v>-185</v>
      </c>
      <c r="F57" s="27">
        <f>'Aug 2026'!D14-'May 2026'!F14</f>
        <v>-185</v>
      </c>
      <c r="G57" s="27">
        <f>'Sep 2026'!D14-'May 2026'!F14</f>
        <v>-185</v>
      </c>
      <c r="H57" s="27">
        <f>'Oct 2026'!D14-'May 2026'!F14</f>
        <v>-185</v>
      </c>
      <c r="I57" s="27">
        <f>'Nov 2026'!D14-'May 2026'!F14</f>
        <v>-185</v>
      </c>
      <c r="J57" s="27">
        <f>'Dec 2026'!D14-'May 2026'!F14</f>
        <v>-185</v>
      </c>
      <c r="K57" s="27">
        <f t="shared" si="12"/>
        <v>-161.974375</v>
      </c>
      <c r="L57" s="27">
        <f t="shared" si="13"/>
        <v>-1295.795</v>
      </c>
      <c r="M57" s="27">
        <f>'May 2026'!F14</f>
        <v>250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31" t="s">
        <v>93</v>
      </c>
      <c r="C58" s="16">
        <f>'May 2026'!D15-'May 2026'!F15</f>
        <v>283.64</v>
      </c>
      <c r="D58" s="16">
        <f>'Jun 2026'!D15-'May 2026'!F15</f>
        <v>-184.95</v>
      </c>
      <c r="E58" s="16">
        <f>'Jul 2026'!D15-'May 2026'!F15</f>
        <v>-300</v>
      </c>
      <c r="F58" s="16">
        <f>'Aug 2026'!D15-'May 2026'!F15</f>
        <v>-300</v>
      </c>
      <c r="G58" s="16">
        <f>'Sep 2026'!D15-'May 2026'!F15</f>
        <v>-300</v>
      </c>
      <c r="H58" s="16">
        <f>'Oct 2026'!D15-'May 2026'!F15</f>
        <v>-300</v>
      </c>
      <c r="I58" s="16">
        <f>'Nov 2026'!D15-'May 2026'!F15</f>
        <v>-300</v>
      </c>
      <c r="J58" s="16">
        <f>'Dec 2026'!D15-'May 2026'!F15</f>
        <v>-300</v>
      </c>
      <c r="K58" s="16">
        <f t="shared" si="12"/>
        <v>-212.66375</v>
      </c>
      <c r="L58" s="27">
        <f t="shared" si="13"/>
        <v>-1701.31</v>
      </c>
      <c r="M58" s="16">
        <f>'May 2026'!F15</f>
        <v>300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5" t="s">
        <v>94</v>
      </c>
      <c r="C59" s="27">
        <f>'May 2026'!D16-'May 2026'!F16</f>
        <v>-33</v>
      </c>
      <c r="D59" s="27">
        <f>'Jun 2026'!D16-'May 2026'!F16</f>
        <v>-150</v>
      </c>
      <c r="E59" s="27">
        <f>'Jul 2026'!D16-'May 2026'!F16</f>
        <v>-150</v>
      </c>
      <c r="F59" s="27">
        <f>'Aug 2026'!D16-'May 2026'!F16</f>
        <v>-150</v>
      </c>
      <c r="G59" s="27">
        <f>'Sep 2026'!D16-'May 2026'!F16</f>
        <v>-150</v>
      </c>
      <c r="H59" s="27">
        <f>'Oct 2026'!D16-'May 2026'!F16</f>
        <v>-150</v>
      </c>
      <c r="I59" s="27">
        <f>'Nov 2026'!D16-'May 2026'!F16</f>
        <v>-150</v>
      </c>
      <c r="J59" s="27">
        <f>'Dec 2026'!D16-'May 2026'!F16</f>
        <v>-150</v>
      </c>
      <c r="K59" s="27">
        <f t="shared" si="12"/>
        <v>-135.375</v>
      </c>
      <c r="L59" s="27">
        <f t="shared" si="13"/>
        <v>-1083</v>
      </c>
      <c r="M59" s="27">
        <f>'May 2026'!F16</f>
        <v>150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31" t="s">
        <v>95</v>
      </c>
      <c r="C60" s="16">
        <f>'May 2026'!D17-'May 2026'!F17</f>
        <v>-10.5</v>
      </c>
      <c r="D60" s="16">
        <f>'Jun 2026'!D17-'May 2026'!F17</f>
        <v>-187</v>
      </c>
      <c r="E60" s="16">
        <f>'Jul 2026'!D17-'May 2026'!F17</f>
        <v>-95</v>
      </c>
      <c r="F60" s="16">
        <f>'Aug 2026'!D17-'May 2026'!F17</f>
        <v>-95</v>
      </c>
      <c r="G60" s="16">
        <f>'Sep 2026'!D17-'May 2026'!F17</f>
        <v>-95</v>
      </c>
      <c r="H60" s="16">
        <f>'Oct 2026'!D17-'May 2026'!F17</f>
        <v>-95</v>
      </c>
      <c r="I60" s="16">
        <f>'Nov 2026'!D17-'May 2026'!F17</f>
        <v>-95</v>
      </c>
      <c r="J60" s="16">
        <f>'Dec 2026'!D17-'May 2026'!F17</f>
        <v>-95</v>
      </c>
      <c r="K60" s="16">
        <f t="shared" si="12"/>
        <v>-95.9375</v>
      </c>
      <c r="L60" s="27">
        <f t="shared" si="13"/>
        <v>-767.5</v>
      </c>
      <c r="M60" s="16">
        <f>'May 2026'!F17</f>
        <v>200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5" t="s">
        <v>96</v>
      </c>
      <c r="C61" s="27">
        <f>'May 2026'!D18-'May 2026'!F18</f>
        <v>22.9125</v>
      </c>
      <c r="D61" s="27">
        <f>'Jun 2026'!D18-'May 2026'!F18</f>
        <v>-200</v>
      </c>
      <c r="E61" s="27">
        <f>'Jul 2026'!D18-'May 2026'!F18</f>
        <v>-200</v>
      </c>
      <c r="F61" s="27">
        <f>'Aug 2026'!D18-'May 2026'!F18</f>
        <v>-200</v>
      </c>
      <c r="G61" s="27">
        <f>'Sep 2026'!D18-'May 2026'!F18</f>
        <v>-200</v>
      </c>
      <c r="H61" s="27">
        <f>'Oct 2026'!D18-'May 2026'!F18</f>
        <v>-200</v>
      </c>
      <c r="I61" s="27">
        <f>'Nov 2026'!D18-'May 2026'!F18</f>
        <v>-200</v>
      </c>
      <c r="J61" s="27">
        <f>'Dec 2026'!D18-'May 2026'!F18</f>
        <v>-200</v>
      </c>
      <c r="K61" s="27">
        <f t="shared" si="12"/>
        <v>-172.1359375</v>
      </c>
      <c r="L61" s="27">
        <f t="shared" si="13"/>
        <v>-1377.0875</v>
      </c>
      <c r="M61" s="27">
        <f>'May 2026'!F18</f>
        <v>200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31" t="s">
        <v>97</v>
      </c>
      <c r="C62" s="16">
        <f>'May 2026'!D19-'May 2026'!F19</f>
        <v>-28.43</v>
      </c>
      <c r="D62" s="16">
        <f>'Jun 2026'!D19-'May 2026'!F19</f>
        <v>-28.43</v>
      </c>
      <c r="E62" s="16">
        <f>'Jul 2026'!D19-'May 2026'!F19</f>
        <v>-34.38</v>
      </c>
      <c r="F62" s="16">
        <f>'Aug 2026'!D19-'May 2026'!F19</f>
        <v>-34.38</v>
      </c>
      <c r="G62" s="16">
        <f>'Sep 2026'!D19-'May 2026'!F19</f>
        <v>-34.38</v>
      </c>
      <c r="H62" s="16">
        <f>'Oct 2026'!D19-'May 2026'!F19</f>
        <v>-34.38</v>
      </c>
      <c r="I62" s="16">
        <f>'Nov 2026'!D19-'May 2026'!F19</f>
        <v>-34.38</v>
      </c>
      <c r="J62" s="16">
        <f>'Dec 2026'!D19-'May 2026'!F19</f>
        <v>-34.38</v>
      </c>
      <c r="K62" s="16">
        <f t="shared" si="12"/>
        <v>-32.8925</v>
      </c>
      <c r="L62" s="27">
        <f t="shared" si="13"/>
        <v>-263.14</v>
      </c>
      <c r="M62" s="16">
        <f>'May 2026'!F19</f>
        <v>100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5" t="s">
        <v>98</v>
      </c>
      <c r="C63" s="27">
        <f>'May 2026'!D20-'May 2026'!F20</f>
        <v>-10</v>
      </c>
      <c r="D63" s="27">
        <f>'Jun 2026'!D20-'May 2026'!F20</f>
        <v>-150</v>
      </c>
      <c r="E63" s="27">
        <f>'Jul 2026'!D20-'May 2026'!F20</f>
        <v>-150</v>
      </c>
      <c r="F63" s="27">
        <f>'Aug 2026'!D20-'May 2026'!F20</f>
        <v>-150</v>
      </c>
      <c r="G63" s="27">
        <f>'Sep 2026'!D20-'May 2026'!F20</f>
        <v>-150</v>
      </c>
      <c r="H63" s="27">
        <f>'Oct 2026'!D20-'May 2026'!F20</f>
        <v>-150</v>
      </c>
      <c r="I63" s="27">
        <f>'Nov 2026'!D20-'May 2026'!F20</f>
        <v>-150</v>
      </c>
      <c r="J63" s="27">
        <f>'Dec 2026'!D20-'May 2026'!F20</f>
        <v>-150</v>
      </c>
      <c r="K63" s="27">
        <f t="shared" si="12"/>
        <v>-132.5</v>
      </c>
      <c r="L63" s="27">
        <f t="shared" si="13"/>
        <v>-1060</v>
      </c>
      <c r="M63" s="27">
        <f>'May 2026'!F20</f>
        <v>150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31" t="s">
        <v>99</v>
      </c>
      <c r="C64" s="16">
        <f>'May 2026'!D21-'May 2026'!F21</f>
        <v>-38.25</v>
      </c>
      <c r="D64" s="16">
        <f>'Jun 2026'!D21-'May 2026'!F21</f>
        <v>-10</v>
      </c>
      <c r="E64" s="16">
        <f>'Jul 2026'!D21-'May 2026'!F21</f>
        <v>-50</v>
      </c>
      <c r="F64" s="16">
        <f>'Aug 2026'!D21-'May 2026'!F21</f>
        <v>-50</v>
      </c>
      <c r="G64" s="16">
        <f>'Sep 2026'!D21-'May 2026'!F21</f>
        <v>-50</v>
      </c>
      <c r="H64" s="16">
        <f>'Oct 2026'!D21-'May 2026'!F21</f>
        <v>-50</v>
      </c>
      <c r="I64" s="16">
        <f>'Nov 2026'!D21-'May 2026'!F21</f>
        <v>-50</v>
      </c>
      <c r="J64" s="16">
        <f>'Dec 2026'!D21-'May 2026'!F21</f>
        <v>-50</v>
      </c>
      <c r="K64" s="16">
        <f t="shared" si="12"/>
        <v>-43.53125</v>
      </c>
      <c r="L64" s="27">
        <f t="shared" si="13"/>
        <v>-348.25</v>
      </c>
      <c r="M64" s="16">
        <f>'May 2026'!F21</f>
        <v>50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5" t="s">
        <v>100</v>
      </c>
      <c r="C65" s="27">
        <f>'May 2026'!D22-'May 2026'!F22</f>
        <v>-350</v>
      </c>
      <c r="D65" s="27">
        <f>'Jun 2026'!D22-'May 2026'!F22</f>
        <v>-170.01</v>
      </c>
      <c r="E65" s="27">
        <f>'Jul 2026'!D22-'May 2026'!F22</f>
        <v>-280</v>
      </c>
      <c r="F65" s="27">
        <f>'Aug 2026'!D22-'May 2026'!F22</f>
        <v>-181</v>
      </c>
      <c r="G65" s="27">
        <f>'Sep 2026'!D22-'May 2026'!F22</f>
        <v>-350</v>
      </c>
      <c r="H65" s="27">
        <f>'Oct 2026'!D22-'May 2026'!F22</f>
        <v>-350</v>
      </c>
      <c r="I65" s="27">
        <f>'Nov 2026'!D22-'May 2026'!F22</f>
        <v>-350</v>
      </c>
      <c r="J65" s="27">
        <f>'Dec 2026'!D22-'May 2026'!F22</f>
        <v>-350</v>
      </c>
      <c r="K65" s="27">
        <f t="shared" si="12"/>
        <v>-297.62625</v>
      </c>
      <c r="L65" s="27">
        <f t="shared" si="13"/>
        <v>-2381.01</v>
      </c>
      <c r="M65" s="27">
        <f>'May 2026'!F22</f>
        <v>350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8">
    <mergeCell ref="B1:M1"/>
    <mergeCell ref="B2:M2"/>
    <mergeCell ref="B4:M4"/>
    <mergeCell ref="B9:M9"/>
    <mergeCell ref="B26:M26"/>
    <mergeCell ref="B40:M40"/>
    <mergeCell ref="B53:M53"/>
    <mergeCell ref="B54:M5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9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8.57"/>
    <col customWidth="1" min="14" max="14" width="17.86"/>
    <col customWidth="1" min="15" max="15" width="11.0"/>
    <col customWidth="1" min="16" max="16" width="8.0"/>
    <col customWidth="1" min="17" max="17" width="11.0"/>
    <col customWidth="1" min="18" max="18" width="17.43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101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21.75" customHeight="1">
      <c r="A6" s="1"/>
      <c r="B6" s="81" t="s">
        <v>104</v>
      </c>
      <c r="C6" s="82"/>
      <c r="D6" s="83">
        <v>2135.21</v>
      </c>
      <c r="E6" s="49"/>
      <c r="F6" s="81" t="s">
        <v>105</v>
      </c>
      <c r="G6" s="82"/>
      <c r="H6" s="84">
        <v>2032.14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21.75" customHeight="1">
      <c r="A7" s="1"/>
      <c r="B7" s="81" t="s">
        <v>106</v>
      </c>
      <c r="C7" s="82"/>
      <c r="D7" s="83">
        <v>2221.4</v>
      </c>
      <c r="E7" s="49"/>
      <c r="F7" s="81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32.25" customHeight="1">
      <c r="A8" s="1"/>
      <c r="B8" s="81" t="s">
        <v>108</v>
      </c>
      <c r="C8" s="82"/>
      <c r="D8" s="83">
        <v>500.0</v>
      </c>
      <c r="E8" s="49"/>
      <c r="F8" s="86" t="s">
        <v>15</v>
      </c>
      <c r="G8" s="87"/>
      <c r="H8" s="88">
        <f>D6+H6+D9</f>
        <v>4277.32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84">
        <v>109.97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267.61</v>
      </c>
      <c r="E12" s="94">
        <f>IFERROR(D12/(H8),0)</f>
        <v>0.06256487707</v>
      </c>
      <c r="F12" s="84">
        <v>300.0</v>
      </c>
      <c r="G12" s="93">
        <f t="shared" ref="G12:G23" si="1">IF(D12=0,"",D12-F12)</f>
        <v>-32.39</v>
      </c>
      <c r="H12" s="90"/>
      <c r="I12" s="95"/>
      <c r="J12" s="96">
        <v>1.0</v>
      </c>
      <c r="K12" s="97">
        <v>46143.0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55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21.185</v>
      </c>
      <c r="E13" s="106">
        <f>IFERROR(D13/(H8),0)</f>
        <v>0.004952867684</v>
      </c>
      <c r="F13" s="84">
        <v>50.0</v>
      </c>
      <c r="G13" s="105">
        <f t="shared" si="1"/>
        <v>-28.815</v>
      </c>
      <c r="H13" s="90"/>
      <c r="I13" s="95"/>
      <c r="J13" s="96">
        <v>2.0</v>
      </c>
      <c r="K13" s="97">
        <v>46143.0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232.935</v>
      </c>
      <c r="E14" s="94">
        <f>IFERROR(D14/(H8),0)</f>
        <v>0.05445816539</v>
      </c>
      <c r="F14" s="84">
        <v>250.0</v>
      </c>
      <c r="G14" s="93">
        <f t="shared" si="1"/>
        <v>-17.065</v>
      </c>
      <c r="H14" s="90"/>
      <c r="I14" s="95"/>
      <c r="J14" s="96">
        <v>3.0</v>
      </c>
      <c r="K14" s="97">
        <v>46143.0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583.64</v>
      </c>
      <c r="E15" s="106">
        <f>IFERROR(D15/(H8),0)</f>
        <v>0.1364499266</v>
      </c>
      <c r="F15" s="84">
        <v>300.0</v>
      </c>
      <c r="G15" s="105">
        <f t="shared" si="1"/>
        <v>283.64</v>
      </c>
      <c r="H15" s="90"/>
      <c r="I15" s="95"/>
      <c r="J15" s="96">
        <v>4.0</v>
      </c>
      <c r="K15" s="97">
        <v>46143.0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117</v>
      </c>
      <c r="E16" s="94">
        <f>IFERROR(D16/(H8),0)</f>
        <v>0.02735357654</v>
      </c>
      <c r="F16" s="84">
        <v>150.0</v>
      </c>
      <c r="G16" s="93">
        <f t="shared" si="1"/>
        <v>-33</v>
      </c>
      <c r="H16" s="90"/>
      <c r="I16" s="95"/>
      <c r="J16" s="96">
        <v>5.0</v>
      </c>
      <c r="K16" s="97">
        <v>46143.0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189.5</v>
      </c>
      <c r="E17" s="106">
        <f>IFERROR(D17/(H8),0)</f>
        <v>0.04430344234</v>
      </c>
      <c r="F17" s="84">
        <v>200.0</v>
      </c>
      <c r="G17" s="105">
        <f t="shared" si="1"/>
        <v>-10.5</v>
      </c>
      <c r="H17" s="90"/>
      <c r="I17" s="95"/>
      <c r="J17" s="96">
        <v>6.0</v>
      </c>
      <c r="K17" s="97">
        <v>46143.0</v>
      </c>
      <c r="L17" s="98" t="s">
        <v>132</v>
      </c>
      <c r="M17" s="98" t="s">
        <v>21</v>
      </c>
      <c r="N17" s="98"/>
      <c r="O17" s="99"/>
      <c r="P17" s="100">
        <v>0.5</v>
      </c>
      <c r="Q17" s="101">
        <f t="shared" si="2"/>
        <v>0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222.9125</v>
      </c>
      <c r="E18" s="94">
        <f>IFERROR(D18/(H8),0)</f>
        <v>0.05211499257</v>
      </c>
      <c r="F18" s="84">
        <v>200.0</v>
      </c>
      <c r="G18" s="93">
        <f t="shared" si="1"/>
        <v>22.9125</v>
      </c>
      <c r="H18" s="90"/>
      <c r="I18" s="95"/>
      <c r="J18" s="96">
        <v>7.0</v>
      </c>
      <c r="K18" s="97">
        <v>46143.0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71.57</v>
      </c>
      <c r="E19" s="106">
        <f>IFERROR(D19/(H8),0)</f>
        <v>0.01673243994</v>
      </c>
      <c r="F19" s="84">
        <v>100.0</v>
      </c>
      <c r="G19" s="105">
        <f t="shared" si="1"/>
        <v>-28.43</v>
      </c>
      <c r="H19" s="90"/>
      <c r="I19" s="95"/>
      <c r="J19" s="96">
        <v>8.0</v>
      </c>
      <c r="K19" s="97">
        <v>46143.0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140</v>
      </c>
      <c r="E20" s="94">
        <f>IFERROR(D20/(H8),0)</f>
        <v>0.03273077535</v>
      </c>
      <c r="F20" s="84">
        <v>150.0</v>
      </c>
      <c r="G20" s="93">
        <f t="shared" si="1"/>
        <v>-10</v>
      </c>
      <c r="H20" s="90"/>
      <c r="I20" s="107"/>
      <c r="J20" s="96">
        <v>9.0</v>
      </c>
      <c r="K20" s="97">
        <v>46143.0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11.75</v>
      </c>
      <c r="E21" s="106">
        <f>IFERROR(D21/(H8),0)</f>
        <v>0.002747047216</v>
      </c>
      <c r="F21" s="84">
        <v>50.0</v>
      </c>
      <c r="G21" s="105">
        <f t="shared" si="1"/>
        <v>-38.25</v>
      </c>
      <c r="H21" s="90"/>
      <c r="I21" s="95"/>
      <c r="J21" s="96">
        <v>10.0</v>
      </c>
      <c r="K21" s="108">
        <v>46143.0</v>
      </c>
      <c r="L21" s="109" t="s">
        <v>137</v>
      </c>
      <c r="M21" s="109" t="s">
        <v>22</v>
      </c>
      <c r="N21" s="109" t="s">
        <v>40</v>
      </c>
      <c r="O21" s="110">
        <v>65.59</v>
      </c>
      <c r="P21" s="111">
        <v>1.0</v>
      </c>
      <c r="Q21" s="27">
        <f t="shared" si="2"/>
        <v>65.59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114">
        <v>350.0</v>
      </c>
      <c r="G22" s="105" t="str">
        <f t="shared" si="1"/>
        <v/>
      </c>
      <c r="H22" s="90"/>
      <c r="I22" s="95"/>
      <c r="J22" s="96">
        <v>11.0</v>
      </c>
      <c r="K22" s="115">
        <v>46148.0</v>
      </c>
      <c r="L22" s="116" t="s">
        <v>138</v>
      </c>
      <c r="M22" s="116" t="s">
        <v>22</v>
      </c>
      <c r="N22" s="116" t="s">
        <v>40</v>
      </c>
      <c r="O22" s="117">
        <v>27.47</v>
      </c>
      <c r="P22" s="118">
        <v>0.5</v>
      </c>
      <c r="Q22" s="27">
        <f t="shared" si="2"/>
        <v>13.735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334.69</v>
      </c>
      <c r="E23" s="106">
        <f>IFERROR(D23/(H8),0)</f>
        <v>0.07824759429</v>
      </c>
      <c r="F23" s="84">
        <v>150.0</v>
      </c>
      <c r="G23" s="105">
        <f t="shared" si="1"/>
        <v>184.69</v>
      </c>
      <c r="H23" s="1"/>
      <c r="I23" s="1"/>
      <c r="J23" s="96">
        <v>12.0</v>
      </c>
      <c r="K23" s="108">
        <v>46144.0</v>
      </c>
      <c r="L23" s="109" t="s">
        <v>139</v>
      </c>
      <c r="M23" s="109" t="s">
        <v>20</v>
      </c>
      <c r="N23" s="109" t="s">
        <v>76</v>
      </c>
      <c r="O23" s="110">
        <v>23.95</v>
      </c>
      <c r="P23" s="119">
        <v>0.5</v>
      </c>
      <c r="Q23" s="27">
        <f t="shared" si="2"/>
        <v>11.975</v>
      </c>
      <c r="R23" s="112"/>
      <c r="S23" s="113"/>
      <c r="T23" s="95"/>
    </row>
    <row r="24" ht="18.0" customHeight="1">
      <c r="A24" s="1"/>
      <c r="B24" s="120" t="s">
        <v>140</v>
      </c>
      <c r="C24" s="121"/>
      <c r="D24" s="122">
        <f>D61</f>
        <v>867.78</v>
      </c>
      <c r="E24" s="123">
        <f>IFERROR(D24/(H8),0)</f>
        <v>0.2028793731</v>
      </c>
      <c r="F24" s="124"/>
      <c r="G24" s="49"/>
      <c r="H24" s="90"/>
      <c r="I24" s="95"/>
      <c r="J24" s="96">
        <v>13.0</v>
      </c>
      <c r="K24" s="115">
        <v>46144.0</v>
      </c>
      <c r="L24" s="116" t="s">
        <v>141</v>
      </c>
      <c r="M24" s="116" t="s">
        <v>20</v>
      </c>
      <c r="N24" s="116" t="s">
        <v>44</v>
      </c>
      <c r="O24" s="117">
        <v>76.07</v>
      </c>
      <c r="P24" s="118">
        <v>0.5</v>
      </c>
      <c r="Q24" s="27">
        <f t="shared" si="2"/>
        <v>38.035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800</v>
      </c>
      <c r="E25" s="128">
        <f>IFERROR(D25/(H8),0)</f>
        <v>0.187033002</v>
      </c>
      <c r="F25" s="124"/>
      <c r="G25" s="124"/>
      <c r="H25" s="90"/>
      <c r="I25" s="95"/>
      <c r="J25" s="96">
        <v>14.0</v>
      </c>
      <c r="K25" s="108">
        <v>46148.0</v>
      </c>
      <c r="L25" s="109" t="s">
        <v>142</v>
      </c>
      <c r="M25" s="109" t="s">
        <v>20</v>
      </c>
      <c r="N25" s="109" t="s">
        <v>41</v>
      </c>
      <c r="O25" s="110">
        <v>15.26</v>
      </c>
      <c r="P25" s="111">
        <v>0.5</v>
      </c>
      <c r="Q25" s="27">
        <f t="shared" si="2"/>
        <v>7.63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4124.06</v>
      </c>
      <c r="E26" s="123">
        <f>IFERROR(D26/(H8),0)</f>
        <v>0.9641691526</v>
      </c>
      <c r="F26" s="129"/>
      <c r="G26" s="129"/>
      <c r="H26" s="90"/>
      <c r="I26" s="95"/>
      <c r="J26" s="96">
        <v>15.0</v>
      </c>
      <c r="K26" s="115">
        <v>46151.0</v>
      </c>
      <c r="L26" s="116" t="s">
        <v>144</v>
      </c>
      <c r="M26" s="116" t="s">
        <v>20</v>
      </c>
      <c r="N26" s="116"/>
      <c r="O26" s="117">
        <v>13.96</v>
      </c>
      <c r="P26" s="118">
        <v>0.5</v>
      </c>
      <c r="Q26" s="27">
        <f t="shared" si="2"/>
        <v>6.98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153.26</v>
      </c>
      <c r="E27" s="133">
        <f>IFERROR(D27/(H8),0)</f>
        <v>0.03583084735</v>
      </c>
      <c r="F27" s="129"/>
      <c r="G27" s="87"/>
      <c r="H27" s="90"/>
      <c r="I27" s="95"/>
      <c r="J27" s="96">
        <v>16.0</v>
      </c>
      <c r="K27" s="108">
        <v>46154.0</v>
      </c>
      <c r="L27" s="109" t="s">
        <v>145</v>
      </c>
      <c r="M27" s="109" t="s">
        <v>20</v>
      </c>
      <c r="N27" s="109" t="s">
        <v>44</v>
      </c>
      <c r="O27" s="110">
        <v>51.3</v>
      </c>
      <c r="P27" s="111">
        <v>0.5</v>
      </c>
      <c r="Q27" s="27">
        <f t="shared" si="2"/>
        <v>25.65</v>
      </c>
      <c r="R27" s="112"/>
      <c r="S27" s="113"/>
      <c r="T27" s="95"/>
      <c r="U27" s="1"/>
      <c r="V27" s="1"/>
      <c r="W27" s="1"/>
      <c r="X27" s="1"/>
      <c r="Y27" s="1"/>
      <c r="Z27" s="1"/>
    </row>
    <row r="28" ht="15.0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>
        <v>46154.0</v>
      </c>
      <c r="L28" s="116" t="s">
        <v>146</v>
      </c>
      <c r="M28" s="116" t="s">
        <v>20</v>
      </c>
      <c r="N28" s="116" t="s">
        <v>41</v>
      </c>
      <c r="O28" s="117">
        <v>6.98</v>
      </c>
      <c r="P28" s="118">
        <v>0.5</v>
      </c>
      <c r="Q28" s="27">
        <f t="shared" si="2"/>
        <v>3.49</v>
      </c>
      <c r="R28" s="112"/>
      <c r="S28" s="96"/>
      <c r="T28" s="95"/>
      <c r="U28" s="1"/>
      <c r="V28" s="1"/>
      <c r="W28" s="1"/>
      <c r="X28" s="1"/>
      <c r="Y28" s="1"/>
      <c r="Z28" s="1"/>
    </row>
    <row r="29" ht="21.7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>
        <v>46152.0</v>
      </c>
      <c r="L29" s="109" t="s">
        <v>148</v>
      </c>
      <c r="M29" s="109" t="s">
        <v>20</v>
      </c>
      <c r="N29" s="109"/>
      <c r="O29" s="110">
        <v>10.77</v>
      </c>
      <c r="P29" s="111">
        <v>0.5</v>
      </c>
      <c r="Q29" s="27">
        <f t="shared" si="2"/>
        <v>5.385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94.11</v>
      </c>
      <c r="E30" s="95"/>
      <c r="F30" s="1"/>
      <c r="G30" s="1"/>
      <c r="H30" s="90"/>
      <c r="I30" s="95"/>
      <c r="J30" s="96">
        <v>19.0</v>
      </c>
      <c r="K30" s="115">
        <v>46154.0</v>
      </c>
      <c r="L30" s="116" t="s">
        <v>149</v>
      </c>
      <c r="M30" s="116" t="s">
        <v>20</v>
      </c>
      <c r="N30" s="116" t="s">
        <v>44</v>
      </c>
      <c r="O30" s="117">
        <v>13.81</v>
      </c>
      <c r="P30" s="118">
        <v>0.5</v>
      </c>
      <c r="Q30" s="27">
        <f t="shared" si="2"/>
        <v>6.905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>
        <v>46155.0</v>
      </c>
      <c r="L31" s="109" t="s">
        <v>150</v>
      </c>
      <c r="M31" s="109" t="s">
        <v>20</v>
      </c>
      <c r="N31" s="109" t="s">
        <v>41</v>
      </c>
      <c r="O31" s="110">
        <v>9.25</v>
      </c>
      <c r="P31" s="111">
        <v>0.5</v>
      </c>
      <c r="Q31" s="27">
        <f t="shared" si="2"/>
        <v>4.625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>
        <v>46144.0</v>
      </c>
      <c r="L32" s="116" t="s">
        <v>151</v>
      </c>
      <c r="M32" s="116" t="s">
        <v>23</v>
      </c>
      <c r="N32" s="116" t="s">
        <v>39</v>
      </c>
      <c r="O32" s="117">
        <v>59.19</v>
      </c>
      <c r="P32" s="118">
        <v>0.5</v>
      </c>
      <c r="Q32" s="27">
        <f t="shared" si="2"/>
        <v>29.595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736.26</v>
      </c>
      <c r="E33" s="95"/>
      <c r="F33" s="1"/>
      <c r="G33" s="1"/>
      <c r="H33" s="90"/>
      <c r="I33" s="95"/>
      <c r="J33" s="96">
        <v>22.0</v>
      </c>
      <c r="K33" s="108">
        <v>46144.0</v>
      </c>
      <c r="L33" s="109" t="s">
        <v>152</v>
      </c>
      <c r="M33" s="109" t="s">
        <v>23</v>
      </c>
      <c r="N33" s="109"/>
      <c r="O33" s="110">
        <f>(5+11.21+6+13)</f>
        <v>35.21</v>
      </c>
      <c r="P33" s="111">
        <v>0.5</v>
      </c>
      <c r="Q33" s="27">
        <f t="shared" si="2"/>
        <v>17.605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178.04</v>
      </c>
      <c r="E34" s="95"/>
      <c r="F34" s="1"/>
      <c r="G34" s="1"/>
      <c r="H34" s="90"/>
      <c r="I34" s="95"/>
      <c r="J34" s="96">
        <v>23.0</v>
      </c>
      <c r="K34" s="115">
        <v>46147.0</v>
      </c>
      <c r="L34" s="116" t="s">
        <v>153</v>
      </c>
      <c r="M34" s="116" t="s">
        <v>23</v>
      </c>
      <c r="N34" s="116" t="s">
        <v>39</v>
      </c>
      <c r="O34" s="117">
        <v>100.32</v>
      </c>
      <c r="P34" s="118">
        <v>0.5</v>
      </c>
      <c r="Q34" s="27">
        <f t="shared" si="2"/>
        <v>50.16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231.88</v>
      </c>
      <c r="E35" s="95"/>
      <c r="F35" s="1"/>
      <c r="G35" s="1"/>
      <c r="H35" s="90"/>
      <c r="I35" s="95"/>
      <c r="J35" s="96">
        <v>24.0</v>
      </c>
      <c r="K35" s="108">
        <v>46149.0</v>
      </c>
      <c r="L35" s="109" t="s">
        <v>154</v>
      </c>
      <c r="M35" s="109" t="s">
        <v>23</v>
      </c>
      <c r="N35" s="109" t="s">
        <v>39</v>
      </c>
      <c r="O35" s="110">
        <v>12.8</v>
      </c>
      <c r="P35" s="111">
        <v>1.0</v>
      </c>
      <c r="Q35" s="27">
        <f t="shared" si="2"/>
        <v>12.8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11.75</v>
      </c>
      <c r="E36" s="95"/>
      <c r="F36" s="1"/>
      <c r="G36" s="1"/>
      <c r="H36" s="90"/>
      <c r="I36" s="95"/>
      <c r="J36" s="96">
        <v>25.0</v>
      </c>
      <c r="K36" s="115">
        <v>46150.0</v>
      </c>
      <c r="L36" s="116" t="s">
        <v>155</v>
      </c>
      <c r="M36" s="116" t="s">
        <v>23</v>
      </c>
      <c r="N36" s="116" t="s">
        <v>39</v>
      </c>
      <c r="O36" s="117">
        <v>13.17</v>
      </c>
      <c r="P36" s="118">
        <v>0.5</v>
      </c>
      <c r="Q36" s="27">
        <f t="shared" si="2"/>
        <v>6.585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>
        <v>46150.0</v>
      </c>
      <c r="L37" s="109" t="s">
        <v>156</v>
      </c>
      <c r="M37" s="109" t="s">
        <v>23</v>
      </c>
      <c r="N37" s="109" t="s">
        <v>39</v>
      </c>
      <c r="O37" s="110">
        <v>52.0</v>
      </c>
      <c r="P37" s="111">
        <v>0.5</v>
      </c>
      <c r="Q37" s="27">
        <f t="shared" si="2"/>
        <v>26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991.59</v>
      </c>
      <c r="E38" s="95"/>
      <c r="F38" s="1"/>
      <c r="G38" s="1"/>
      <c r="H38" s="90"/>
      <c r="I38" s="95"/>
      <c r="J38" s="96">
        <v>27.0</v>
      </c>
      <c r="K38" s="115">
        <v>46151.0</v>
      </c>
      <c r="L38" s="116" t="s">
        <v>157</v>
      </c>
      <c r="M38" s="116" t="s">
        <v>23</v>
      </c>
      <c r="N38" s="116" t="s">
        <v>39</v>
      </c>
      <c r="O38" s="117">
        <v>36.55</v>
      </c>
      <c r="P38" s="118">
        <v>0.5</v>
      </c>
      <c r="Q38" s="27">
        <f t="shared" si="2"/>
        <v>18.275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205</v>
      </c>
      <c r="E39" s="95"/>
      <c r="F39" s="1"/>
      <c r="G39" s="1"/>
      <c r="H39" s="90"/>
      <c r="I39" s="95"/>
      <c r="J39" s="96">
        <v>28.0</v>
      </c>
      <c r="K39" s="108">
        <v>46151.0</v>
      </c>
      <c r="L39" s="109" t="s">
        <v>158</v>
      </c>
      <c r="M39" s="109" t="s">
        <v>23</v>
      </c>
      <c r="N39" s="109" t="s">
        <v>39</v>
      </c>
      <c r="O39" s="110">
        <v>107.87</v>
      </c>
      <c r="P39" s="111">
        <v>0.5</v>
      </c>
      <c r="Q39" s="27">
        <f t="shared" si="2"/>
        <v>53.935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>
        <v>46152.0</v>
      </c>
      <c r="L40" s="116" t="s">
        <v>159</v>
      </c>
      <c r="M40" s="116" t="s">
        <v>23</v>
      </c>
      <c r="N40" s="116" t="s">
        <v>39</v>
      </c>
      <c r="O40" s="117">
        <v>8.25</v>
      </c>
      <c r="P40" s="118">
        <v>1.0</v>
      </c>
      <c r="Q40" s="27">
        <f t="shared" si="2"/>
        <v>8.25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2456.28</v>
      </c>
      <c r="E41" s="95"/>
      <c r="F41" s="1"/>
      <c r="G41" s="1"/>
      <c r="H41" s="90"/>
      <c r="I41" s="95"/>
      <c r="J41" s="96">
        <v>30.0</v>
      </c>
      <c r="K41" s="108">
        <v>46152.0</v>
      </c>
      <c r="L41" s="109" t="s">
        <v>160</v>
      </c>
      <c r="M41" s="109" t="s">
        <v>23</v>
      </c>
      <c r="N41" s="109" t="s">
        <v>39</v>
      </c>
      <c r="O41" s="110">
        <v>12.16</v>
      </c>
      <c r="P41" s="111">
        <v>0.5</v>
      </c>
      <c r="Q41" s="27">
        <f t="shared" si="2"/>
        <v>6.08</v>
      </c>
      <c r="R41" s="112"/>
      <c r="S41" s="113"/>
      <c r="T41" s="95"/>
      <c r="U41" s="1"/>
      <c r="V41" s="1"/>
      <c r="W41" s="1"/>
      <c r="X41" s="1"/>
      <c r="Y41" s="1"/>
      <c r="Z41" s="1"/>
    </row>
    <row r="42" ht="15.0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>
        <v>46152.0</v>
      </c>
      <c r="L42" s="116" t="s">
        <v>161</v>
      </c>
      <c r="M42" s="116" t="s">
        <v>23</v>
      </c>
      <c r="N42" s="116"/>
      <c r="O42" s="117">
        <v>16.15</v>
      </c>
      <c r="P42" s="118">
        <v>0.5</v>
      </c>
      <c r="Q42" s="27">
        <f t="shared" si="2"/>
        <v>8.075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>
        <v>46154.0</v>
      </c>
      <c r="L43" s="109" t="s">
        <v>162</v>
      </c>
      <c r="M43" s="109" t="s">
        <v>23</v>
      </c>
      <c r="N43" s="109" t="s">
        <v>39</v>
      </c>
      <c r="O43" s="110">
        <v>15.02</v>
      </c>
      <c r="P43" s="111">
        <v>0.5</v>
      </c>
      <c r="Q43" s="27">
        <f t="shared" si="2"/>
        <v>7.51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>
        <v>46143.0</v>
      </c>
      <c r="L44" s="116" t="s">
        <v>166</v>
      </c>
      <c r="M44" s="116" t="s">
        <v>23</v>
      </c>
      <c r="N44" s="116" t="s">
        <v>44</v>
      </c>
      <c r="O44" s="117">
        <v>52.11</v>
      </c>
      <c r="P44" s="118">
        <v>1.0</v>
      </c>
      <c r="Q44" s="27">
        <f t="shared" si="2"/>
        <v>52.11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300.0</v>
      </c>
      <c r="E45" s="95"/>
      <c r="F45" s="84">
        <v>0.0</v>
      </c>
      <c r="G45" s="49"/>
      <c r="H45" s="90"/>
      <c r="I45" s="95"/>
      <c r="J45" s="96">
        <v>34.0</v>
      </c>
      <c r="K45" s="108">
        <v>46147.0</v>
      </c>
      <c r="L45" s="109" t="s">
        <v>167</v>
      </c>
      <c r="M45" s="109" t="s">
        <v>26</v>
      </c>
      <c r="N45" s="109" t="s">
        <v>76</v>
      </c>
      <c r="O45" s="110">
        <v>27.43</v>
      </c>
      <c r="P45" s="111">
        <v>1.0</v>
      </c>
      <c r="Q45" s="27">
        <f t="shared" si="2"/>
        <v>27.43</v>
      </c>
      <c r="R45" s="112"/>
      <c r="S45" s="113"/>
      <c r="T45" s="95"/>
      <c r="U45" s="1"/>
      <c r="V45" s="1"/>
      <c r="W45" s="1"/>
      <c r="X45" s="1"/>
      <c r="Y45" s="1"/>
      <c r="Z45" s="1"/>
    </row>
    <row r="46">
      <c r="A46" s="1"/>
      <c r="B46" s="145" t="s">
        <v>48</v>
      </c>
      <c r="C46" s="49"/>
      <c r="D46" s="84">
        <v>500.0</v>
      </c>
      <c r="E46" s="95"/>
      <c r="F46" s="82"/>
      <c r="G46" s="49"/>
      <c r="H46" s="90"/>
      <c r="I46" s="95"/>
      <c r="J46" s="96">
        <v>35.0</v>
      </c>
      <c r="K46" s="115">
        <v>46144.0</v>
      </c>
      <c r="L46" s="116" t="s">
        <v>168</v>
      </c>
      <c r="M46" s="116" t="s">
        <v>27</v>
      </c>
      <c r="N46" s="116" t="s">
        <v>44</v>
      </c>
      <c r="O46" s="117">
        <v>5.95</v>
      </c>
      <c r="P46" s="118">
        <v>1.0</v>
      </c>
      <c r="Q46" s="27">
        <f t="shared" si="2"/>
        <v>5.95</v>
      </c>
      <c r="R46" s="112"/>
      <c r="S46" s="96"/>
      <c r="T46" s="95"/>
      <c r="U46" s="1"/>
      <c r="V46" s="1"/>
      <c r="W46" s="1"/>
      <c r="X46" s="1"/>
      <c r="Y46" s="1"/>
      <c r="Z46" s="1"/>
    </row>
    <row r="47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>
        <v>46147.0</v>
      </c>
      <c r="L47" s="109" t="s">
        <v>170</v>
      </c>
      <c r="M47" s="109" t="s">
        <v>26</v>
      </c>
      <c r="N47" s="109" t="s">
        <v>41</v>
      </c>
      <c r="O47" s="110">
        <v>21.95</v>
      </c>
      <c r="P47" s="111">
        <v>1.0</v>
      </c>
      <c r="Q47" s="27">
        <f t="shared" si="2"/>
        <v>21.95</v>
      </c>
      <c r="R47" s="112"/>
      <c r="S47" s="113"/>
      <c r="T47" s="95"/>
      <c r="U47" s="1"/>
      <c r="V47" s="1"/>
      <c r="W47" s="1"/>
      <c r="X47" s="1"/>
      <c r="Y47" s="1"/>
      <c r="Z47" s="1"/>
    </row>
    <row r="48" ht="21.7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>
        <v>46144.0</v>
      </c>
      <c r="L48" s="116" t="s">
        <v>173</v>
      </c>
      <c r="M48" s="116" t="s">
        <v>26</v>
      </c>
      <c r="N48" s="116" t="s">
        <v>44</v>
      </c>
      <c r="O48" s="117">
        <v>4.95</v>
      </c>
      <c r="P48" s="118">
        <v>1.0</v>
      </c>
      <c r="Q48" s="27">
        <f t="shared" si="2"/>
        <v>4.95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84">
        <v>3600.0</v>
      </c>
      <c r="G49" s="49"/>
      <c r="H49" s="90"/>
      <c r="I49" s="95"/>
      <c r="J49" s="96">
        <v>38.0</v>
      </c>
      <c r="K49" s="108">
        <v>46149.0</v>
      </c>
      <c r="L49" s="109" t="s">
        <v>175</v>
      </c>
      <c r="M49" s="109" t="s">
        <v>26</v>
      </c>
      <c r="N49" s="109" t="s">
        <v>76</v>
      </c>
      <c r="O49" s="110">
        <v>26.75</v>
      </c>
      <c r="P49" s="111">
        <v>0.79</v>
      </c>
      <c r="Q49" s="27">
        <f t="shared" si="2"/>
        <v>21.1325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84">
        <v>7650.0</v>
      </c>
      <c r="G50" s="18"/>
      <c r="H50" s="90"/>
      <c r="I50" s="95"/>
      <c r="J50" s="96">
        <v>39.0</v>
      </c>
      <c r="K50" s="115">
        <v>46153.0</v>
      </c>
      <c r="L50" s="116" t="s">
        <v>177</v>
      </c>
      <c r="M50" s="116" t="s">
        <v>24</v>
      </c>
      <c r="N50" s="116"/>
      <c r="O50" s="117">
        <v>234.0</v>
      </c>
      <c r="P50" s="118">
        <v>0.5</v>
      </c>
      <c r="Q50" s="27">
        <f t="shared" si="2"/>
        <v>117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84">
        <v>10000.0</v>
      </c>
      <c r="G51" s="49"/>
      <c r="H51" s="90"/>
      <c r="I51" s="95"/>
      <c r="J51" s="96">
        <v>40.0</v>
      </c>
      <c r="K51" s="108">
        <v>46150.0</v>
      </c>
      <c r="L51" s="109" t="s">
        <v>179</v>
      </c>
      <c r="M51" s="109" t="s">
        <v>25</v>
      </c>
      <c r="N51" s="109" t="s">
        <v>44</v>
      </c>
      <c r="O51" s="110">
        <v>22.0</v>
      </c>
      <c r="P51" s="111">
        <v>1.0</v>
      </c>
      <c r="Q51" s="27">
        <f t="shared" si="2"/>
        <v>22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84">
        <f>6116.51+70.24</f>
        <v>6186.75</v>
      </c>
      <c r="G52" s="18"/>
      <c r="H52" s="90"/>
      <c r="I52" s="95"/>
      <c r="J52" s="96">
        <v>41.0</v>
      </c>
      <c r="K52" s="115">
        <v>46152.0</v>
      </c>
      <c r="L52" s="116" t="s">
        <v>181</v>
      </c>
      <c r="M52" s="116" t="s">
        <v>22</v>
      </c>
      <c r="N52" s="116"/>
      <c r="O52" s="117">
        <v>40.0</v>
      </c>
      <c r="P52" s="118">
        <v>0.5</v>
      </c>
      <c r="Q52" s="27">
        <f t="shared" si="2"/>
        <v>20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27436.75</v>
      </c>
      <c r="G53" s="149"/>
      <c r="H53" s="90"/>
      <c r="I53" s="95"/>
      <c r="J53" s="96">
        <v>42.0</v>
      </c>
      <c r="K53" s="108">
        <v>46155.0</v>
      </c>
      <c r="L53" s="109" t="s">
        <v>183</v>
      </c>
      <c r="M53" s="109" t="s">
        <v>26</v>
      </c>
      <c r="N53" s="109" t="s">
        <v>44</v>
      </c>
      <c r="O53" s="110">
        <v>85.6</v>
      </c>
      <c r="P53" s="111">
        <v>1.0</v>
      </c>
      <c r="Q53" s="27">
        <f t="shared" si="2"/>
        <v>85.6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800</v>
      </c>
      <c r="E54" s="95"/>
      <c r="F54" s="149"/>
      <c r="G54" s="149"/>
      <c r="H54" s="90"/>
      <c r="I54" s="95"/>
      <c r="J54" s="96">
        <v>43.0</v>
      </c>
      <c r="K54" s="115">
        <v>46157.0</v>
      </c>
      <c r="L54" s="116" t="s">
        <v>142</v>
      </c>
      <c r="M54" s="116" t="s">
        <v>20</v>
      </c>
      <c r="N54" s="116" t="s">
        <v>41</v>
      </c>
      <c r="O54" s="117">
        <v>26.38</v>
      </c>
      <c r="P54" s="118">
        <v>0.5</v>
      </c>
      <c r="Q54" s="27">
        <f t="shared" si="2"/>
        <v>13.19</v>
      </c>
      <c r="R54" s="112"/>
      <c r="S54" s="96"/>
      <c r="T54" s="95"/>
      <c r="U54" s="1"/>
      <c r="V54" s="1"/>
      <c r="W54" s="1"/>
      <c r="X54" s="1"/>
      <c r="Y54" s="1"/>
      <c r="Z54" s="1"/>
    </row>
    <row r="55" ht="15.0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>
        <v>46157.0</v>
      </c>
      <c r="L55" s="109" t="s">
        <v>184</v>
      </c>
      <c r="M55" s="109" t="s">
        <v>23</v>
      </c>
      <c r="N55" s="109"/>
      <c r="O55" s="110">
        <v>19.54</v>
      </c>
      <c r="P55" s="111">
        <v>0.5</v>
      </c>
      <c r="Q55" s="27">
        <f t="shared" si="2"/>
        <v>9.77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>
        <v>46159.0</v>
      </c>
      <c r="L56" s="116" t="s">
        <v>186</v>
      </c>
      <c r="M56" s="116" t="s">
        <v>23</v>
      </c>
      <c r="N56" s="116" t="s">
        <v>39</v>
      </c>
      <c r="O56" s="117">
        <v>60.68</v>
      </c>
      <c r="P56" s="118">
        <v>0.5</v>
      </c>
      <c r="Q56" s="27">
        <f>O55*P55</f>
        <v>9.77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4277.32</v>
      </c>
      <c r="E57" s="95"/>
      <c r="F57" s="1"/>
      <c r="G57" s="1"/>
      <c r="H57" s="90"/>
      <c r="I57" s="95"/>
      <c r="J57" s="96">
        <v>46.0</v>
      </c>
      <c r="K57" s="108">
        <v>46159.0</v>
      </c>
      <c r="L57" s="109" t="s">
        <v>187</v>
      </c>
      <c r="M57" s="109" t="s">
        <v>20</v>
      </c>
      <c r="N57" s="109"/>
      <c r="O57" s="110">
        <v>13.6</v>
      </c>
      <c r="P57" s="111">
        <v>0.5</v>
      </c>
      <c r="Q57" s="27">
        <v>6.8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>
        <v>46160.0</v>
      </c>
      <c r="L58" s="116" t="s">
        <v>188</v>
      </c>
      <c r="M58" s="116" t="s">
        <v>22</v>
      </c>
      <c r="N58" s="116" t="s">
        <v>40</v>
      </c>
      <c r="O58" s="117">
        <v>52.23</v>
      </c>
      <c r="P58" s="118">
        <v>1.0</v>
      </c>
      <c r="Q58" s="27">
        <v>52.23</v>
      </c>
      <c r="R58" s="112"/>
      <c r="S58" s="96"/>
      <c r="T58" s="95"/>
      <c r="U58" s="1"/>
      <c r="V58" s="1"/>
      <c r="W58" s="1"/>
      <c r="X58" s="1"/>
      <c r="Y58" s="1"/>
      <c r="Z58" s="1"/>
    </row>
    <row r="59" ht="21.75" customHeight="1">
      <c r="A59" s="1"/>
      <c r="B59" s="92" t="s">
        <v>189</v>
      </c>
      <c r="C59" s="49"/>
      <c r="D59" s="93">
        <f>SUMPRODUCT((N12:N131&lt;&gt;"")*O12:O131*(1-P12:P131))</f>
        <v>615.645</v>
      </c>
      <c r="E59" s="95"/>
      <c r="F59" s="1"/>
      <c r="G59" s="1"/>
      <c r="H59" s="90"/>
      <c r="I59" s="95"/>
      <c r="J59" s="96">
        <v>48.0</v>
      </c>
      <c r="K59" s="108">
        <v>46160.0</v>
      </c>
      <c r="L59" s="109" t="s">
        <v>190</v>
      </c>
      <c r="M59" s="109" t="s">
        <v>22</v>
      </c>
      <c r="N59" s="109" t="s">
        <v>40</v>
      </c>
      <c r="O59" s="110">
        <v>32.75</v>
      </c>
      <c r="P59" s="111">
        <v>0.5</v>
      </c>
      <c r="Q59" s="27">
        <v>16.38</v>
      </c>
      <c r="R59" s="112"/>
      <c r="S59" s="113"/>
      <c r="T59" s="95"/>
      <c r="U59" s="1"/>
      <c r="V59" s="1"/>
      <c r="W59" s="1"/>
      <c r="X59" s="1"/>
      <c r="Y59" s="1"/>
      <c r="Z59" s="1"/>
    </row>
    <row r="60" ht="15.0" customHeight="1">
      <c r="A60" s="1"/>
      <c r="B60" s="134"/>
      <c r="C60" s="90"/>
      <c r="D60" s="156"/>
      <c r="E60" s="90"/>
      <c r="F60" s="90"/>
      <c r="G60" s="90"/>
      <c r="H60" s="90"/>
      <c r="I60" s="95"/>
      <c r="J60" s="96">
        <v>49.0</v>
      </c>
      <c r="K60" s="115">
        <v>46158.0</v>
      </c>
      <c r="L60" s="116" t="s">
        <v>191</v>
      </c>
      <c r="M60" s="116" t="s">
        <v>29</v>
      </c>
      <c r="N60" s="116" t="s">
        <v>42</v>
      </c>
      <c r="O60" s="117">
        <v>11.75</v>
      </c>
      <c r="P60" s="118">
        <v>1.0</v>
      </c>
      <c r="Q60" s="27">
        <v>11.75</v>
      </c>
      <c r="R60" s="112"/>
      <c r="S60" s="96"/>
      <c r="T60" s="95"/>
      <c r="U60" s="1"/>
      <c r="V60" s="1"/>
      <c r="W60" s="1"/>
      <c r="X60" s="1"/>
      <c r="Y60" s="1"/>
      <c r="Z60" s="1"/>
    </row>
    <row r="61" ht="19.5" customHeight="1">
      <c r="A61" s="1"/>
      <c r="B61" s="157" t="s">
        <v>192</v>
      </c>
      <c r="C61" s="158"/>
      <c r="D61" s="159">
        <f>MAX(D7*H7-SUMPRODUCT((N12:N131&lt;&gt;"")*O12:O131*(1-P12:P131))+SUMPRODUCT((N12:N131="")*(O12:O131&gt;0)*Q12:Q131),0)</f>
        <v>867.78</v>
      </c>
      <c r="E61" s="95"/>
      <c r="F61" s="1"/>
      <c r="G61" s="1"/>
      <c r="H61" s="90"/>
      <c r="I61" s="95"/>
      <c r="J61" s="96">
        <v>50.0</v>
      </c>
      <c r="K61" s="108">
        <v>46161.0</v>
      </c>
      <c r="L61" s="109" t="s">
        <v>193</v>
      </c>
      <c r="M61" s="109" t="s">
        <v>28</v>
      </c>
      <c r="N61" s="109" t="s">
        <v>28</v>
      </c>
      <c r="O61" s="110">
        <v>100.0</v>
      </c>
      <c r="P61" s="111">
        <v>1.0</v>
      </c>
      <c r="Q61" s="27">
        <v>100.0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2456.28</v>
      </c>
      <c r="E62" s="95"/>
      <c r="F62" s="1"/>
      <c r="G62" s="1"/>
      <c r="H62" s="90"/>
      <c r="I62" s="95"/>
      <c r="J62" s="96">
        <v>51.0</v>
      </c>
      <c r="K62" s="115">
        <v>46161.0</v>
      </c>
      <c r="L62" s="116" t="s">
        <v>195</v>
      </c>
      <c r="M62" s="116" t="s">
        <v>20</v>
      </c>
      <c r="N62" s="116" t="s">
        <v>44</v>
      </c>
      <c r="O62" s="117">
        <v>113.84</v>
      </c>
      <c r="P62" s="118">
        <v>0.5</v>
      </c>
      <c r="Q62" s="27">
        <v>56.92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800</v>
      </c>
      <c r="E63" s="95"/>
      <c r="F63" s="1"/>
      <c r="G63" s="1"/>
      <c r="H63" s="90"/>
      <c r="I63" s="95"/>
      <c r="J63" s="96">
        <v>52.0</v>
      </c>
      <c r="K63" s="108">
        <v>46162.0</v>
      </c>
      <c r="L63" s="109" t="s">
        <v>196</v>
      </c>
      <c r="M63" s="109" t="s">
        <v>20</v>
      </c>
      <c r="N63" s="109" t="s">
        <v>41</v>
      </c>
      <c r="O63" s="110">
        <v>23.38</v>
      </c>
      <c r="P63" s="111">
        <v>0.5</v>
      </c>
      <c r="Q63" s="27">
        <v>11.69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D61+D62+D63</f>
        <v>4124.06</v>
      </c>
      <c r="E64" s="95"/>
      <c r="F64" s="1"/>
      <c r="G64" s="1"/>
      <c r="H64" s="90"/>
      <c r="I64" s="95"/>
      <c r="J64" s="96">
        <v>53.0</v>
      </c>
      <c r="K64" s="115">
        <v>46164.0</v>
      </c>
      <c r="L64" s="116" t="s">
        <v>197</v>
      </c>
      <c r="M64" s="116" t="s">
        <v>23</v>
      </c>
      <c r="N64" s="116"/>
      <c r="O64" s="117">
        <v>44.0</v>
      </c>
      <c r="P64" s="118">
        <v>0.5</v>
      </c>
      <c r="Q64" s="27">
        <v>22.0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153.26</v>
      </c>
      <c r="E65" s="95"/>
      <c r="F65" s="1"/>
      <c r="G65" s="1"/>
      <c r="H65" s="90"/>
      <c r="I65" s="95"/>
      <c r="J65" s="96">
        <v>54.0</v>
      </c>
      <c r="K65" s="108">
        <v>46164.0</v>
      </c>
      <c r="L65" s="109" t="s">
        <v>198</v>
      </c>
      <c r="M65" s="109" t="s">
        <v>23</v>
      </c>
      <c r="N65" s="109" t="s">
        <v>44</v>
      </c>
      <c r="O65" s="110">
        <v>11.43</v>
      </c>
      <c r="P65" s="111">
        <v>0.75</v>
      </c>
      <c r="Q65" s="27">
        <v>8.57</v>
      </c>
      <c r="R65" s="112"/>
      <c r="S65" s="113"/>
      <c r="T65" s="95"/>
      <c r="U65" s="1"/>
      <c r="V65" s="1"/>
      <c r="W65" s="1"/>
      <c r="X65" s="1"/>
      <c r="Y65" s="1"/>
      <c r="Z65" s="1"/>
    </row>
    <row r="66" ht="15.0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>
        <v>46165.0</v>
      </c>
      <c r="L66" s="116" t="s">
        <v>199</v>
      </c>
      <c r="M66" s="116" t="s">
        <v>25</v>
      </c>
      <c r="N66" s="116"/>
      <c r="O66" s="117">
        <v>125.0</v>
      </c>
      <c r="P66" s="118">
        <v>0.5</v>
      </c>
      <c r="Q66" s="27">
        <v>62.5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>
        <v>46165.0</v>
      </c>
      <c r="L67" s="109" t="s">
        <v>201</v>
      </c>
      <c r="M67" s="109" t="s">
        <v>23</v>
      </c>
      <c r="N67" s="109"/>
      <c r="O67" s="110">
        <v>84.0</v>
      </c>
      <c r="P67" s="111">
        <v>0.5</v>
      </c>
      <c r="Q67" s="27">
        <v>42.0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>
        <v>46165.0</v>
      </c>
      <c r="L68" s="116" t="s">
        <v>203</v>
      </c>
      <c r="M68" s="116" t="s">
        <v>23</v>
      </c>
      <c r="N68" s="116"/>
      <c r="O68" s="117">
        <v>23.0</v>
      </c>
      <c r="P68" s="118">
        <v>0.35</v>
      </c>
      <c r="Q68" s="27">
        <v>8.05</v>
      </c>
      <c r="R68" s="112"/>
      <c r="S68" s="96"/>
      <c r="T68" s="95"/>
      <c r="U68" s="1"/>
      <c r="V68" s="1"/>
      <c r="W68" s="1"/>
      <c r="X68" s="1"/>
      <c r="Y68" s="1"/>
      <c r="Z68" s="1"/>
    </row>
    <row r="69" ht="21.75" customHeight="1">
      <c r="A69" s="1"/>
      <c r="B69" s="92" t="s">
        <v>204</v>
      </c>
      <c r="C69" s="49"/>
      <c r="D69" s="93">
        <f>SUMPRODUCT((N12:N131="")*(O12:O131&gt;0)*Q12:Q131)</f>
        <v>372.725</v>
      </c>
      <c r="E69" s="95"/>
      <c r="F69" s="1"/>
      <c r="G69" s="1"/>
      <c r="H69" s="90"/>
      <c r="I69" s="95"/>
      <c r="J69" s="96">
        <v>58.0</v>
      </c>
      <c r="K69" s="108">
        <v>46165.0</v>
      </c>
      <c r="L69" s="109" t="s">
        <v>205</v>
      </c>
      <c r="M69" s="109" t="s">
        <v>26</v>
      </c>
      <c r="N69" s="109" t="s">
        <v>44</v>
      </c>
      <c r="O69" s="110">
        <f>26.41+1.1</f>
        <v>27.51</v>
      </c>
      <c r="P69" s="111">
        <v>1.0</v>
      </c>
      <c r="Q69" s="27">
        <v>27.51</v>
      </c>
      <c r="R69" s="112" t="s">
        <v>206</v>
      </c>
      <c r="S69" s="113"/>
      <c r="T69" s="95"/>
      <c r="U69" s="1"/>
      <c r="V69" s="1"/>
      <c r="W69" s="1"/>
      <c r="X69" s="1"/>
      <c r="Y69" s="1"/>
      <c r="Z69" s="1"/>
    </row>
    <row r="70">
      <c r="A70" s="1"/>
      <c r="B70" s="92" t="s">
        <v>189</v>
      </c>
      <c r="C70" s="49"/>
      <c r="D70" s="93">
        <f>SUMPRODUCT((N12:N131&lt;&gt;"")*O12:O131*(1-P12:P131))</f>
        <v>615.645</v>
      </c>
      <c r="E70" s="95"/>
      <c r="F70" s="1"/>
      <c r="G70" s="1"/>
      <c r="H70" s="90"/>
      <c r="I70" s="95"/>
      <c r="J70" s="96">
        <v>59.0</v>
      </c>
      <c r="K70" s="115">
        <v>46165.0</v>
      </c>
      <c r="L70" s="116" t="s">
        <v>207</v>
      </c>
      <c r="M70" s="116" t="s">
        <v>26</v>
      </c>
      <c r="N70" s="116" t="s">
        <v>44</v>
      </c>
      <c r="O70" s="117">
        <v>19.99</v>
      </c>
      <c r="P70" s="118">
        <v>1.0</v>
      </c>
      <c r="Q70" s="27">
        <v>19.99</v>
      </c>
      <c r="R70" s="112" t="s">
        <v>208</v>
      </c>
      <c r="S70" s="96"/>
      <c r="T70" s="95"/>
      <c r="U70" s="1"/>
      <c r="V70" s="1"/>
      <c r="W70" s="1"/>
      <c r="X70" s="1"/>
      <c r="Y70" s="1"/>
      <c r="Z70" s="1"/>
    </row>
    <row r="7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1353.62</v>
      </c>
      <c r="E71" s="95"/>
      <c r="F71" s="1"/>
      <c r="G71" s="1"/>
      <c r="H71" s="90"/>
      <c r="I71" s="95"/>
      <c r="J71" s="96">
        <v>60.0</v>
      </c>
      <c r="K71" s="108">
        <v>46166.0</v>
      </c>
      <c r="L71" s="109" t="s">
        <v>210</v>
      </c>
      <c r="M71" s="109" t="s">
        <v>20</v>
      </c>
      <c r="N71" s="109" t="s">
        <v>41</v>
      </c>
      <c r="O71" s="110">
        <v>34.32</v>
      </c>
      <c r="P71" s="111">
        <v>0.5</v>
      </c>
      <c r="Q71" s="27">
        <v>17.16</v>
      </c>
      <c r="R71" s="112"/>
      <c r="S71" s="113"/>
      <c r="T71" s="95"/>
      <c r="U71" s="1"/>
      <c r="V71" s="1"/>
      <c r="W71" s="1"/>
      <c r="X71" s="1"/>
      <c r="Y71" s="1"/>
      <c r="Z71" s="1"/>
    </row>
    <row r="72" ht="21.75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>
        <v>46166.0</v>
      </c>
      <c r="L72" s="116" t="s">
        <v>212</v>
      </c>
      <c r="M72" s="116" t="s">
        <v>23</v>
      </c>
      <c r="N72" s="116" t="s">
        <v>39</v>
      </c>
      <c r="O72" s="117">
        <v>37.0</v>
      </c>
      <c r="P72" s="118">
        <v>0.5</v>
      </c>
      <c r="Q72" s="27">
        <f>IFERROR(IF(O72="",0,O72*P72),0)</f>
        <v>18.5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>
        <v>46167.0</v>
      </c>
      <c r="L73" s="109" t="s">
        <v>213</v>
      </c>
      <c r="M73" s="109" t="s">
        <v>23</v>
      </c>
      <c r="N73" s="109"/>
      <c r="O73" s="110">
        <v>82.0</v>
      </c>
      <c r="P73" s="111">
        <v>0.5</v>
      </c>
      <c r="Q73" s="27">
        <v>41.0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>
        <v>46167.0</v>
      </c>
      <c r="L74" s="116" t="s">
        <v>214</v>
      </c>
      <c r="M74" s="116" t="s">
        <v>20</v>
      </c>
      <c r="N74" s="116" t="s">
        <v>41</v>
      </c>
      <c r="O74" s="117">
        <f>42.16+9</f>
        <v>51.16</v>
      </c>
      <c r="P74" s="118">
        <v>0.5</v>
      </c>
      <c r="Q74" s="27">
        <f t="shared" ref="Q74:Q77" si="4">IFERROR(IF(O74="",0,O74*P74),0)</f>
        <v>25.58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>
        <v>46166.0</v>
      </c>
      <c r="L75" s="109" t="s">
        <v>215</v>
      </c>
      <c r="M75" s="109" t="s">
        <v>20</v>
      </c>
      <c r="N75" s="109" t="s">
        <v>41</v>
      </c>
      <c r="O75" s="110">
        <v>8.0</v>
      </c>
      <c r="P75" s="111">
        <v>1.0</v>
      </c>
      <c r="Q75" s="27">
        <f t="shared" si="4"/>
        <v>8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>
        <v>46168.0</v>
      </c>
      <c r="L76" s="116" t="s">
        <v>216</v>
      </c>
      <c r="M76" s="116" t="s">
        <v>20</v>
      </c>
      <c r="N76" s="116" t="s">
        <v>41</v>
      </c>
      <c r="O76" s="117">
        <v>13.21</v>
      </c>
      <c r="P76" s="118">
        <v>0.5</v>
      </c>
      <c r="Q76" s="27">
        <f t="shared" si="4"/>
        <v>6.605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>
        <v>46169.0</v>
      </c>
      <c r="L77" s="109" t="s">
        <v>217</v>
      </c>
      <c r="M77" s="109" t="s">
        <v>23</v>
      </c>
      <c r="N77" s="109"/>
      <c r="O77" s="110">
        <v>5.0</v>
      </c>
      <c r="P77" s="111">
        <v>1.0</v>
      </c>
      <c r="Q77" s="27">
        <f t="shared" si="4"/>
        <v>5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>
        <v>46170.0</v>
      </c>
      <c r="L78" s="116" t="s">
        <v>218</v>
      </c>
      <c r="M78" s="116" t="s">
        <v>20</v>
      </c>
      <c r="N78" s="116" t="s">
        <v>44</v>
      </c>
      <c r="O78" s="117">
        <v>10.99</v>
      </c>
      <c r="P78" s="118">
        <v>1.0</v>
      </c>
      <c r="Q78" s="27">
        <v>10.99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>
        <v>46171.0</v>
      </c>
      <c r="L79" s="109" t="s">
        <v>219</v>
      </c>
      <c r="M79" s="109" t="s">
        <v>23</v>
      </c>
      <c r="N79" s="109" t="s">
        <v>44</v>
      </c>
      <c r="O79" s="110">
        <v>22.0</v>
      </c>
      <c r="P79" s="111">
        <v>1.0</v>
      </c>
      <c r="Q79" s="27">
        <v>22.0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>
        <v>46171.0</v>
      </c>
      <c r="L80" s="116" t="s">
        <v>220</v>
      </c>
      <c r="M80" s="116" t="s">
        <v>26</v>
      </c>
      <c r="N80" s="116" t="s">
        <v>44</v>
      </c>
      <c r="O80" s="117">
        <v>14.35</v>
      </c>
      <c r="P80" s="118">
        <v>1.0</v>
      </c>
      <c r="Q80" s="27">
        <v>14.35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>
        <v>46171.0</v>
      </c>
      <c r="L81" s="109" t="s">
        <v>28</v>
      </c>
      <c r="M81" s="109" t="s">
        <v>28</v>
      </c>
      <c r="N81" s="109" t="s">
        <v>28</v>
      </c>
      <c r="O81" s="110">
        <v>40.0</v>
      </c>
      <c r="P81" s="111">
        <v>1.0</v>
      </c>
      <c r="Q81" s="27">
        <v>40.0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>
        <v>46171.0</v>
      </c>
      <c r="L82" s="116" t="s">
        <v>221</v>
      </c>
      <c r="M82" s="116" t="s">
        <v>23</v>
      </c>
      <c r="N82" s="116" t="s">
        <v>39</v>
      </c>
      <c r="O82" s="117">
        <v>160.0</v>
      </c>
      <c r="P82" s="118">
        <v>0.5</v>
      </c>
      <c r="Q82" s="27">
        <v>80.0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>
        <v>46172.0</v>
      </c>
      <c r="L83" s="109" t="s">
        <v>222</v>
      </c>
      <c r="M83" s="109" t="s">
        <v>23</v>
      </c>
      <c r="N83" s="109" t="s">
        <v>39</v>
      </c>
      <c r="O83" s="110">
        <v>20.0</v>
      </c>
      <c r="P83" s="111">
        <v>1.0</v>
      </c>
      <c r="Q83" s="27">
        <v>20.0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>
        <v>46173.0</v>
      </c>
      <c r="L84" s="116" t="s">
        <v>223</v>
      </c>
      <c r="M84" s="116" t="s">
        <v>31</v>
      </c>
      <c r="N84" s="116" t="s">
        <v>44</v>
      </c>
      <c r="O84" s="117">
        <v>334.69</v>
      </c>
      <c r="P84" s="118">
        <v>1.0</v>
      </c>
      <c r="Q84" s="27">
        <f>IFERROR(IF(O84="",0,O84*P84),0)</f>
        <v>334.69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>
        <v>46172.0</v>
      </c>
      <c r="L85" s="109" t="s">
        <v>224</v>
      </c>
      <c r="M85" s="109" t="s">
        <v>21</v>
      </c>
      <c r="N85" s="109"/>
      <c r="O85" s="110">
        <v>1.12</v>
      </c>
      <c r="P85" s="111">
        <v>0.5</v>
      </c>
      <c r="Q85" s="27">
        <v>0.56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ref="Q86:Q130" si="5">IFERROR(IF(O86="",0,O86*P86),0)</f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5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5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5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5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5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5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5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5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5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5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5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5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5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5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5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5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5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5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5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5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5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5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5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5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5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5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5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5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5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5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5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5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5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5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5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5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5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5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5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5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5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5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5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5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3203.63</v>
      </c>
      <c r="P132" s="166"/>
      <c r="Q132" s="168">
        <f>SUM(Q12:Q131)</f>
        <v>2192.7925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9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9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9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7.86"/>
    <col customWidth="1" min="14" max="14" width="17.71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5.0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21.75" customHeight="1">
      <c r="A6" s="1"/>
      <c r="B6" s="169" t="s">
        <v>104</v>
      </c>
      <c r="C6" s="82"/>
      <c r="D6" s="114">
        <v>1926.96</v>
      </c>
      <c r="E6" s="49"/>
      <c r="F6" s="169" t="s">
        <v>105</v>
      </c>
      <c r="G6" s="82"/>
      <c r="H6" s="84">
        <v>2032.14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21.75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32.25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4112.36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'May 2026'!D65</f>
        <v>153.26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90.37</v>
      </c>
      <c r="E12" s="94">
        <f>IFERROR(D12/(H8),0)</f>
        <v>0.02197521618</v>
      </c>
      <c r="F12" s="84">
        <v>300.0</v>
      </c>
      <c r="G12" s="93">
        <f t="shared" ref="G12:G23" si="1">IF(D12=0,"",D12-F12)</f>
        <v>-209.63</v>
      </c>
      <c r="H12" s="90"/>
      <c r="I12" s="95"/>
      <c r="J12" s="96">
        <v>1.0</v>
      </c>
      <c r="K12" s="97">
        <v>46174.0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120.625</v>
      </c>
      <c r="E13" s="106">
        <f>IFERROR(D13/(H8),0)</f>
        <v>0.02933230554</v>
      </c>
      <c r="F13" s="84">
        <v>150.0</v>
      </c>
      <c r="G13" s="105">
        <f t="shared" si="1"/>
        <v>-29.375</v>
      </c>
      <c r="H13" s="90"/>
      <c r="I13" s="95"/>
      <c r="J13" s="96">
        <v>2.0</v>
      </c>
      <c r="K13" s="171">
        <v>46174.0</v>
      </c>
      <c r="L13" s="172" t="s">
        <v>128</v>
      </c>
      <c r="M13" s="172" t="s">
        <v>25</v>
      </c>
      <c r="N13" s="172" t="s">
        <v>44</v>
      </c>
      <c r="O13" s="173">
        <v>13.0</v>
      </c>
      <c r="P13" s="174">
        <v>1.0</v>
      </c>
      <c r="Q13" s="175">
        <v>13.0</v>
      </c>
      <c r="R13" s="176" t="s">
        <v>126</v>
      </c>
      <c r="S13" s="103"/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81.27</v>
      </c>
      <c r="E14" s="94">
        <f>IFERROR(D14/(H8),0)</f>
        <v>0.01976237489</v>
      </c>
      <c r="F14" s="84">
        <v>200.0</v>
      </c>
      <c r="G14" s="93">
        <f t="shared" si="1"/>
        <v>-118.73</v>
      </c>
      <c r="H14" s="90"/>
      <c r="I14" s="95"/>
      <c r="J14" s="96">
        <v>3.0</v>
      </c>
      <c r="K14" s="97">
        <v>46174.0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ref="Q14:Q20" si="2">IFERROR(IF(O14="",0,O14*P14),0)</f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115.05</v>
      </c>
      <c r="E15" s="106">
        <f>IFERROR(D15/(H8),0)</f>
        <v>0.02797663629</v>
      </c>
      <c r="F15" s="84">
        <v>300.0</v>
      </c>
      <c r="G15" s="105">
        <f t="shared" si="1"/>
        <v>-184.95</v>
      </c>
      <c r="H15" s="90"/>
      <c r="I15" s="95"/>
      <c r="J15" s="96">
        <v>4.0</v>
      </c>
      <c r="K15" s="97">
        <v>46174.0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46174.0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13</v>
      </c>
      <c r="E17" s="106">
        <f>IFERROR(D17/(H8),0)</f>
        <v>0.00316120184</v>
      </c>
      <c r="F17" s="84">
        <v>200.0</v>
      </c>
      <c r="G17" s="105">
        <f t="shared" si="1"/>
        <v>-187</v>
      </c>
      <c r="H17" s="90"/>
      <c r="I17" s="95"/>
      <c r="J17" s="96">
        <v>6.0</v>
      </c>
      <c r="K17" s="97">
        <v>46174.0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46174.0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71.57</v>
      </c>
      <c r="E19" s="106">
        <f>IFERROR(D19/(H8),0)</f>
        <v>0.01740363198</v>
      </c>
      <c r="F19" s="84">
        <v>100.0</v>
      </c>
      <c r="G19" s="105">
        <f t="shared" si="1"/>
        <v>-28.43</v>
      </c>
      <c r="H19" s="90"/>
      <c r="I19" s="95"/>
      <c r="J19" s="96">
        <v>8.0</v>
      </c>
      <c r="K19" s="97">
        <v>46174.0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46174.0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40</v>
      </c>
      <c r="E21" s="106">
        <f>IFERROR(D21/(H8),0)</f>
        <v>0.009726774893</v>
      </c>
      <c r="F21" s="84">
        <v>50.0</v>
      </c>
      <c r="G21" s="105">
        <f t="shared" si="1"/>
        <v>-10</v>
      </c>
      <c r="H21" s="90"/>
      <c r="I21" s="95"/>
      <c r="J21" s="96">
        <v>10.0</v>
      </c>
      <c r="K21" s="108">
        <v>46175.0</v>
      </c>
      <c r="L21" s="109" t="s">
        <v>227</v>
      </c>
      <c r="M21" s="109" t="s">
        <v>21</v>
      </c>
      <c r="N21" s="109" t="s">
        <v>44</v>
      </c>
      <c r="O21" s="110">
        <v>15.0</v>
      </c>
      <c r="P21" s="111">
        <v>1.0</v>
      </c>
      <c r="Q21" s="27">
        <v>15.0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179.99</v>
      </c>
      <c r="E22" s="94">
        <f>IFERROR(D22/(H8),0)</f>
        <v>0.04376805533</v>
      </c>
      <c r="F22" s="114">
        <v>700.0</v>
      </c>
      <c r="G22" s="93">
        <f t="shared" si="1"/>
        <v>-520.01</v>
      </c>
      <c r="H22" s="90"/>
      <c r="I22" s="95"/>
      <c r="J22" s="96">
        <v>11.0</v>
      </c>
      <c r="K22" s="115">
        <v>46176.0</v>
      </c>
      <c r="L22" s="116" t="s">
        <v>228</v>
      </c>
      <c r="M22" s="116" t="s">
        <v>22</v>
      </c>
      <c r="N22" s="116" t="s">
        <v>40</v>
      </c>
      <c r="O22" s="117">
        <v>32.54</v>
      </c>
      <c r="P22" s="118">
        <v>0.5</v>
      </c>
      <c r="Q22" s="27">
        <v>16.27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84">
        <v>100.0</v>
      </c>
      <c r="G23" s="93" t="str">
        <f t="shared" si="1"/>
        <v/>
      </c>
      <c r="H23" s="1"/>
      <c r="I23" s="1"/>
      <c r="J23" s="96">
        <v>12.0</v>
      </c>
      <c r="K23" s="177">
        <v>46176.0</v>
      </c>
      <c r="L23" s="178" t="s">
        <v>229</v>
      </c>
      <c r="M23" s="178" t="s">
        <v>23</v>
      </c>
      <c r="N23" s="109"/>
      <c r="O23" s="179">
        <v>32.0</v>
      </c>
      <c r="P23" s="119">
        <v>0.5</v>
      </c>
      <c r="Q23" s="27">
        <f>IFERROR(IF(O23="",0,O23*P23),0)</f>
        <v>16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1013.285</v>
      </c>
      <c r="E24" s="123">
        <f>IFERROR(D24/(H8),0)</f>
        <v>0.2463998774</v>
      </c>
      <c r="F24" s="124"/>
      <c r="G24" s="49"/>
      <c r="H24" s="90"/>
      <c r="I24" s="95"/>
      <c r="J24" s="96">
        <v>13.0</v>
      </c>
      <c r="K24" s="180">
        <v>46174.0</v>
      </c>
      <c r="L24" s="181" t="s">
        <v>230</v>
      </c>
      <c r="M24" s="181" t="s">
        <v>23</v>
      </c>
      <c r="N24" s="116"/>
      <c r="O24" s="182">
        <v>24.0</v>
      </c>
      <c r="P24" s="183">
        <v>0.5</v>
      </c>
      <c r="Q24" s="184">
        <v>12.0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300</v>
      </c>
      <c r="E25" s="128">
        <f>IFERROR(D25/(H8),0)</f>
        <v>0.0729508117</v>
      </c>
      <c r="F25" s="124"/>
      <c r="G25" s="124"/>
      <c r="H25" s="90"/>
      <c r="I25" s="95"/>
      <c r="J25" s="96">
        <v>14.0</v>
      </c>
      <c r="K25" s="177">
        <v>46185.0</v>
      </c>
      <c r="L25" s="178" t="s">
        <v>231</v>
      </c>
      <c r="M25" s="178" t="s">
        <v>29</v>
      </c>
      <c r="N25" s="178" t="s">
        <v>28</v>
      </c>
      <c r="O25" s="179">
        <v>40.0</v>
      </c>
      <c r="P25" s="119">
        <v>1.0</v>
      </c>
      <c r="Q25" s="184">
        <v>40.0</v>
      </c>
      <c r="R25" s="112"/>
      <c r="S25" s="185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2122.585</v>
      </c>
      <c r="E26" s="123">
        <f>IFERROR(D26/(H8),0)</f>
        <v>0.5161476622</v>
      </c>
      <c r="F26" s="129"/>
      <c r="G26" s="129"/>
      <c r="H26" s="90"/>
      <c r="I26" s="95"/>
      <c r="J26" s="96">
        <v>15.0</v>
      </c>
      <c r="K26" s="180">
        <v>46175.0</v>
      </c>
      <c r="L26" s="116" t="s">
        <v>168</v>
      </c>
      <c r="M26" s="116" t="s">
        <v>27</v>
      </c>
      <c r="N26" s="116" t="s">
        <v>44</v>
      </c>
      <c r="O26" s="117">
        <v>5.95</v>
      </c>
      <c r="P26" s="118">
        <v>1.0</v>
      </c>
      <c r="Q26" s="27">
        <f>IFERROR(IF(O26="",0,O26*P26),0)</f>
        <v>5.95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1989.775</v>
      </c>
      <c r="E27" s="133">
        <f>IFERROR(D27/(H8),0)</f>
        <v>0.4838523378</v>
      </c>
      <c r="F27" s="129"/>
      <c r="G27" s="87"/>
      <c r="H27" s="90"/>
      <c r="I27" s="95"/>
      <c r="J27" s="96">
        <v>16.0</v>
      </c>
      <c r="K27" s="177">
        <v>46176.0</v>
      </c>
      <c r="L27" s="178" t="s">
        <v>232</v>
      </c>
      <c r="M27" s="178" t="s">
        <v>23</v>
      </c>
      <c r="N27" s="178" t="s">
        <v>76</v>
      </c>
      <c r="O27" s="179">
        <v>39.0</v>
      </c>
      <c r="P27" s="119">
        <v>1.0</v>
      </c>
      <c r="Q27" s="184">
        <v>39.0</v>
      </c>
      <c r="R27" s="112"/>
      <c r="S27" s="113"/>
      <c r="T27" s="95"/>
      <c r="U27" s="1"/>
      <c r="V27" s="1"/>
      <c r="W27" s="1"/>
      <c r="X27" s="1"/>
      <c r="Y27" s="1"/>
      <c r="Z27" s="1"/>
    </row>
    <row r="28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80">
        <v>46178.0</v>
      </c>
      <c r="L28" s="181" t="s">
        <v>233</v>
      </c>
      <c r="M28" s="181" t="s">
        <v>23</v>
      </c>
      <c r="N28" s="181" t="s">
        <v>39</v>
      </c>
      <c r="O28" s="182">
        <v>25.68</v>
      </c>
      <c r="P28" s="183">
        <v>1.0</v>
      </c>
      <c r="Q28" s="184">
        <v>25.68</v>
      </c>
      <c r="R28" s="186" t="s">
        <v>234</v>
      </c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77">
        <v>46191.0</v>
      </c>
      <c r="L29" s="178" t="s">
        <v>235</v>
      </c>
      <c r="M29" s="178" t="s">
        <v>30</v>
      </c>
      <c r="N29" s="178" t="s">
        <v>44</v>
      </c>
      <c r="O29" s="179">
        <v>95.0</v>
      </c>
      <c r="P29" s="119">
        <v>1.0</v>
      </c>
      <c r="Q29" s="184">
        <v>95.0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54.98</v>
      </c>
      <c r="E30" s="95"/>
      <c r="F30" s="1"/>
      <c r="G30" s="1"/>
      <c r="H30" s="90"/>
      <c r="I30" s="95"/>
      <c r="J30" s="96">
        <v>19.0</v>
      </c>
      <c r="K30" s="180">
        <v>46179.0</v>
      </c>
      <c r="L30" s="181" t="s">
        <v>236</v>
      </c>
      <c r="M30" s="181" t="s">
        <v>21</v>
      </c>
      <c r="N30" s="181" t="s">
        <v>44</v>
      </c>
      <c r="O30" s="182">
        <v>10.0</v>
      </c>
      <c r="P30" s="183">
        <v>0.0</v>
      </c>
      <c r="Q30" s="184">
        <v>0.0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77">
        <v>46180.0</v>
      </c>
      <c r="L31" s="178" t="s">
        <v>237</v>
      </c>
      <c r="M31" s="178" t="s">
        <v>30</v>
      </c>
      <c r="N31" s="178" t="s">
        <v>44</v>
      </c>
      <c r="O31" s="179">
        <v>150.0</v>
      </c>
      <c r="P31" s="119">
        <v>0.5</v>
      </c>
      <c r="Q31" s="184">
        <v>75.0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80">
        <v>46180.0</v>
      </c>
      <c r="L32" s="181" t="s">
        <v>238</v>
      </c>
      <c r="M32" s="181" t="s">
        <v>20</v>
      </c>
      <c r="N32" s="181" t="s">
        <v>44</v>
      </c>
      <c r="O32" s="182">
        <v>113.22</v>
      </c>
      <c r="P32" s="183">
        <v>0.5</v>
      </c>
      <c r="Q32" s="184">
        <v>56.61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77.35</v>
      </c>
      <c r="E33" s="95"/>
      <c r="F33" s="1"/>
      <c r="G33" s="1"/>
      <c r="H33" s="90"/>
      <c r="I33" s="95"/>
      <c r="J33" s="96">
        <v>22.0</v>
      </c>
      <c r="K33" s="177">
        <v>46180.0</v>
      </c>
      <c r="L33" s="178" t="s">
        <v>239</v>
      </c>
      <c r="M33" s="178" t="s">
        <v>23</v>
      </c>
      <c r="N33" s="178" t="s">
        <v>44</v>
      </c>
      <c r="O33" s="179">
        <v>14.06</v>
      </c>
      <c r="P33" s="119">
        <v>0.85</v>
      </c>
      <c r="Q33" s="184">
        <v>11.95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32.54</v>
      </c>
      <c r="E34" s="95"/>
      <c r="F34" s="1"/>
      <c r="G34" s="1"/>
      <c r="H34" s="90"/>
      <c r="I34" s="95"/>
      <c r="J34" s="96">
        <v>23.0</v>
      </c>
      <c r="K34" s="180">
        <v>46181.0</v>
      </c>
      <c r="L34" s="181" t="s">
        <v>240</v>
      </c>
      <c r="M34" s="181" t="s">
        <v>20</v>
      </c>
      <c r="N34" s="181" t="s">
        <v>41</v>
      </c>
      <c r="O34" s="182">
        <v>19.84</v>
      </c>
      <c r="P34" s="183">
        <v>0.6</v>
      </c>
      <c r="Q34" s="184">
        <v>11.9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85.56</v>
      </c>
      <c r="E35" s="95"/>
      <c r="F35" s="1"/>
      <c r="G35" s="1"/>
      <c r="H35" s="90"/>
      <c r="I35" s="95"/>
      <c r="J35" s="96">
        <v>24.0</v>
      </c>
      <c r="K35" s="177">
        <v>46182.0</v>
      </c>
      <c r="L35" s="178" t="s">
        <v>241</v>
      </c>
      <c r="M35" s="178" t="s">
        <v>30</v>
      </c>
      <c r="N35" s="178" t="s">
        <v>44</v>
      </c>
      <c r="O35" s="179">
        <v>9.99</v>
      </c>
      <c r="P35" s="119">
        <v>1.0</v>
      </c>
      <c r="Q35" s="184">
        <v>9.99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80">
        <v>46183.0</v>
      </c>
      <c r="L36" s="181" t="s">
        <v>242</v>
      </c>
      <c r="M36" s="181" t="s">
        <v>23</v>
      </c>
      <c r="N36" s="181" t="s">
        <v>39</v>
      </c>
      <c r="O36" s="182">
        <v>10.42</v>
      </c>
      <c r="P36" s="183">
        <v>1.0</v>
      </c>
      <c r="Q36" s="184">
        <v>10.42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77">
        <v>46183.0</v>
      </c>
      <c r="L37" s="178" t="s">
        <v>243</v>
      </c>
      <c r="M37" s="178" t="s">
        <v>20</v>
      </c>
      <c r="N37" s="178" t="s">
        <v>41</v>
      </c>
      <c r="O37" s="179">
        <v>43.73</v>
      </c>
      <c r="P37" s="119">
        <v>0.5</v>
      </c>
      <c r="Q37" s="184">
        <v>21.86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446.22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ref="Q38:Q130" si="4">IFERROR(IF(O38="",0,O38*P38),0)</f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105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4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4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809.3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4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4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4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4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114">
        <v>300.0</v>
      </c>
      <c r="E45" s="95"/>
      <c r="F45" s="93">
        <f>'May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4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4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4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4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'May 2026'!F49+D49</f>
        <v>3720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4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'May 2026'!F50+D50</f>
        <v>7850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4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'May 2026'!F51+D51</f>
        <v>10400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4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'May 2026'!F52+D52</f>
        <v>6326.75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4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28296.75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4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300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4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4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4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4112.36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4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4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>
      <c r="A59" s="1"/>
      <c r="B59" s="92" t="s">
        <v>189</v>
      </c>
      <c r="C59" s="49"/>
      <c r="D59" s="93">
        <f>SUMPRODUCT((N12:N131&lt;&gt;"")*O12:O131*(1-P12:P131))</f>
        <v>210.415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4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1013.285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4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4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809.3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4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300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4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2122.585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4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1989.775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4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4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4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4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113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4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>
      <c r="A70" s="1"/>
      <c r="B70" s="92" t="s">
        <v>189</v>
      </c>
      <c r="C70" s="49"/>
      <c r="D70" s="93">
        <f>SUMPRODUCT((N12:N131&lt;&gt;"")*O12:O131*(1-P12:P131))</f>
        <v>210.415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4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1208.115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4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4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4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4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4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4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4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4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4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4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4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4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4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4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4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4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4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4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4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4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4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4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4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4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4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4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4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4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4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4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4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4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4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4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4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4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4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4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4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4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4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4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4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4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4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4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4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4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4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4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4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4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4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4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4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4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4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4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4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4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1035.3</v>
      </c>
      <c r="P132" s="166"/>
      <c r="Q132" s="168">
        <f>SUM(Q12:Q131)</f>
        <v>711.875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9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114">
        <v>2135.21</v>
      </c>
      <c r="E6" s="49"/>
      <c r="F6" s="169" t="s">
        <v>105</v>
      </c>
      <c r="G6" s="82"/>
      <c r="H6" s="114">
        <v>2135.21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6260.195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'Jun 2026'!D65</f>
        <v>1989.775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46204.0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2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20.625</v>
      </c>
      <c r="E13" s="106">
        <f>IFERROR(D13/(H8),0)</f>
        <v>0.003294625806</v>
      </c>
      <c r="F13" s="84">
        <v>50.0</v>
      </c>
      <c r="G13" s="105">
        <f t="shared" si="1"/>
        <v>-29.375</v>
      </c>
      <c r="H13" s="90"/>
      <c r="I13" s="95"/>
      <c r="J13" s="96">
        <v>2.0</v>
      </c>
      <c r="K13" s="97">
        <v>46204.0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0.01038306315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46204.0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46204.0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46204.0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0.01677264047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46204.0</v>
      </c>
      <c r="L17" s="98" t="s">
        <v>132</v>
      </c>
      <c r="M17" s="98" t="s">
        <v>21</v>
      </c>
      <c r="N17" s="98"/>
      <c r="O17" s="99"/>
      <c r="P17" s="100">
        <v>0.5</v>
      </c>
      <c r="Q17" s="101">
        <f t="shared" si="2"/>
        <v>0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46204.0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0.0104821016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46204.0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46204.0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77">
        <v>46213.0</v>
      </c>
      <c r="L21" s="178" t="s">
        <v>245</v>
      </c>
      <c r="M21" s="178" t="s">
        <v>30</v>
      </c>
      <c r="N21" s="178" t="s">
        <v>44</v>
      </c>
      <c r="O21" s="179">
        <v>70.0</v>
      </c>
      <c r="P21" s="119">
        <v>1.0</v>
      </c>
      <c r="Q21" s="184">
        <v>70.0</v>
      </c>
      <c r="R21" s="112"/>
      <c r="S21" s="185" t="b">
        <v>1</v>
      </c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70</v>
      </c>
      <c r="E22" s="94">
        <f>IFERROR(D22/(H8),0)</f>
        <v>0.01118176031</v>
      </c>
      <c r="F22" s="114">
        <v>300.0</v>
      </c>
      <c r="G22" s="93">
        <f t="shared" si="1"/>
        <v>-230</v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ref="Q22:Q130" si="3">IFERROR(IF(O22="",0,O22*P22),0)</f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3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1090.075</v>
      </c>
      <c r="E24" s="123">
        <f>IFERROR(D24/(H8),0)</f>
        <v>0.1741279625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3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4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3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4"/>
        <v>1436.945</v>
      </c>
      <c r="E26" s="123">
        <f>IFERROR(D26/(H8),0)</f>
        <v>0.2295367796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3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4"/>
        <v>4823.25</v>
      </c>
      <c r="E27" s="133">
        <f>IFERROR(D27/(H8),0)</f>
        <v>0.7704632204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3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3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3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3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3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3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3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3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3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3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3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195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3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3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3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346.87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3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3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3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3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'Jun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3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3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3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3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'Jun 2026'!F49+D49</f>
        <v>3840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3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'Jun 2026'!F50+D50</f>
        <v>8050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3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'Jun 2026'!F51+D51</f>
        <v>10800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3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'Jun 2026'!F52+D52</f>
        <v>6466.75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3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29156.75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3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3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3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3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6260.195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3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3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3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1090.075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3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3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346.87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3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3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1436.945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3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4823.25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3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3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3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3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0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3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3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1131.325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3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3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3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3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3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3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3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3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3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3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3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3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3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3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3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3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3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3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3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3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3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3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3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3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3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3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3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3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3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3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3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3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3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3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3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3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3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3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3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3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3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3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3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3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3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3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3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3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3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3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3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3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3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3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3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3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3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3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3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3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346.87</v>
      </c>
      <c r="P132" s="166"/>
      <c r="Q132" s="168">
        <f>SUM(Q12:Q131)</f>
        <v>326.245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9823.25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'Jul 2026'!D65</f>
        <v>4823.25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46235.0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2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0.01075255135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46235.0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0.006616954674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46235.0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46235.0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46235.0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0.01068892678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46235.0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46235.0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0.006680070242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46235.0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46235.0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77">
        <v>46241.0</v>
      </c>
      <c r="L21" s="178" t="s">
        <v>247</v>
      </c>
      <c r="M21" s="178" t="s">
        <v>30</v>
      </c>
      <c r="N21" s="178" t="s">
        <v>44</v>
      </c>
      <c r="O21" s="179">
        <v>169.0</v>
      </c>
      <c r="P21" s="119">
        <v>1.0</v>
      </c>
      <c r="Q21" s="184">
        <v>169.0</v>
      </c>
      <c r="R21" s="112"/>
      <c r="S21" s="185" t="b">
        <v>1</v>
      </c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169</v>
      </c>
      <c r="E22" s="94">
        <f>IFERROR(D22/(H8),0)</f>
        <v>0.01720408215</v>
      </c>
      <c r="F22" s="84">
        <v>50.0</v>
      </c>
      <c r="G22" s="93">
        <f t="shared" si="1"/>
        <v>119</v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ref="Q22:Q130" si="3">IFERROR(IF(O22="",0,O22*P22),0)</f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3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0.1196218156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3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4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3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4"/>
        <v>1620.945</v>
      </c>
      <c r="E26" s="123">
        <f>IFERROR(D26/(H8),0)</f>
        <v>0.1650110707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3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4"/>
        <v>8202.305</v>
      </c>
      <c r="E27" s="133">
        <f>IFERROR(D27/(H8),0)</f>
        <v>0.8349889293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3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3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3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3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3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3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3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3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3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3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3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294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3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3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3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445.87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3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3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3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3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'Jul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3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3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3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3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'Jul 2026'!F49+D49</f>
        <v>3960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3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'Jul 2026'!F50+D50</f>
        <v>8250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3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'Jul 2026'!F51+D51</f>
        <v>11200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3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'Jul 2026'!F52+D52</f>
        <v>6606.75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3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30016.75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3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3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3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3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9823.25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3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3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3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3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3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445.87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3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3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1620.945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3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8202.305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3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3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3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3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3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3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3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3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3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3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3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3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3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3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3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3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3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3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3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3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3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3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3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3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3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3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3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3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3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3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3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3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3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3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3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3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3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3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3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3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3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3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3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3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3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3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3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3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3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3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3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3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3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3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3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3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3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3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3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3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3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3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3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3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3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3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615.87</v>
      </c>
      <c r="P132" s="166"/>
      <c r="Q132" s="168">
        <f>SUM(Q12:Q131)</f>
        <v>510.245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13202.305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'Aug 2026'!D65</f>
        <v>8202.305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46266.0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20.625</v>
      </c>
      <c r="E13" s="106">
        <f>IFERROR(D13/(H8),0)</f>
        <v>0.001562227202</v>
      </c>
      <c r="F13" s="84">
        <v>50.0</v>
      </c>
      <c r="G13" s="105">
        <f t="shared" si="1"/>
        <v>-29.375</v>
      </c>
      <c r="H13" s="90"/>
      <c r="I13" s="95"/>
      <c r="J13" s="96">
        <v>2.0</v>
      </c>
      <c r="K13" s="97">
        <v>46266.0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0.004923382697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46266.0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46266.0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46266.0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0.007953156665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46266.0</v>
      </c>
      <c r="L17" s="98" t="s">
        <v>132</v>
      </c>
      <c r="M17" s="98" t="s">
        <v>21</v>
      </c>
      <c r="N17" s="98"/>
      <c r="O17" s="99"/>
      <c r="P17" s="100">
        <v>0.5</v>
      </c>
      <c r="Q17" s="101">
        <f t="shared" si="2"/>
        <v>0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46266.0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0.004970344194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46266.0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46266.0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1090.075</v>
      </c>
      <c r="E24" s="123">
        <f>IFERROR(D24/(H8),0)</f>
        <v>0.08256702144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1366.945</v>
      </c>
      <c r="E26" s="123">
        <f>IFERROR(D26/(H8),0)</f>
        <v>0.1035383594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11835.36</v>
      </c>
      <c r="E27" s="133">
        <f>IFERROR(D27/(H8),0)</f>
        <v>0.8964616406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'Aug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'Aug 2026'!F49+D49</f>
        <v>4080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'Aug 2026'!F50+D50</f>
        <v>8450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'Aug 2026'!F51+D51</f>
        <v>11600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'Aug 2026'!F52+D52</f>
        <v>6746.75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30876.75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13202.305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1090.075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1366.945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11835.36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0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1131.325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276.87</v>
      </c>
      <c r="P132" s="166"/>
      <c r="Q132" s="168">
        <f>SUM(Q12:Q131)</f>
        <v>256.245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2.0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16835.36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'Sep 2026'!D65</f>
        <v>11835.36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46296.0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0.006273997111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46296.0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0.003860921299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46296.0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46296.0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46296.0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0.006236872868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46296.0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46296.0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0.003897748548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46296.0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46296.0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0.06979803224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0.08624377501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15383.415</v>
      </c>
      <c r="E27" s="133">
        <f>IFERROR(D27/(H8),0)</f>
        <v>0.913756225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'Sep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'Sep 2026'!F49+D49</f>
        <v>4200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'Sep 2026'!F50+D50</f>
        <v>8650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'Sep 2026'!F51+D51</f>
        <v>12000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'Sep 2026'!F52+D52</f>
        <v>6886.75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31736.75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16835.36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15383.415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20383.415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'Oct 2026'!D65</f>
        <v>15383.415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46327.0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20.625</v>
      </c>
      <c r="E13" s="106">
        <f>IFERROR(D13/(H8),0)</f>
        <v>0.001011852038</v>
      </c>
      <c r="F13" s="84">
        <v>50.0</v>
      </c>
      <c r="G13" s="105">
        <f t="shared" si="1"/>
        <v>-29.375</v>
      </c>
      <c r="H13" s="90"/>
      <c r="I13" s="95"/>
      <c r="J13" s="96">
        <v>2.0</v>
      </c>
      <c r="K13" s="97">
        <v>46327.0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0.003188867027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46327.0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46327.0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46327.0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0.005151246737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46327.0</v>
      </c>
      <c r="L17" s="98" t="s">
        <v>132</v>
      </c>
      <c r="M17" s="98" t="s">
        <v>21</v>
      </c>
      <c r="N17" s="98"/>
      <c r="O17" s="99"/>
      <c r="P17" s="100">
        <v>0.5</v>
      </c>
      <c r="Q17" s="101">
        <f t="shared" si="2"/>
        <v>0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46327.0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0.003219283913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46327.0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46327.0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1090.075</v>
      </c>
      <c r="E24" s="123">
        <f>IFERROR(D24/(H8),0)</f>
        <v>0.05347852654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1366.945</v>
      </c>
      <c r="E26" s="123">
        <f>IFERROR(D26/(H8),0)</f>
        <v>0.06706162829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19016.47</v>
      </c>
      <c r="E27" s="133">
        <f>IFERROR(D27/(H8),0)</f>
        <v>0.9329383717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'Oct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'Oct 2026'!F49+D49</f>
        <v>4320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'Oct 2026'!F50+D50</f>
        <v>8850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'Oct 2026'!F51+D51</f>
        <v>12400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'Oct 2026'!F52+D52</f>
        <v>7026.75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32596.75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20383.415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1090.075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1366.945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19016.47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0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1131.325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276.87</v>
      </c>
      <c r="P132" s="166"/>
      <c r="Q132" s="168">
        <f>SUM(Q12:Q131)</f>
        <v>256.245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s">
        <v>251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'Nov 2026'!D65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46357.0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46357.0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46357.0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46357.0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46357.0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46357.0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46357.0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46357.0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46357.0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'Nov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'Nov 2026'!F49+D49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'Nov 2026'!F50+D50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'Nov 2026'!F51+D51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'Nov 2026'!F52+D52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Jan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'Dec 2026'!D65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46388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46388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46388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46388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46388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46388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46388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46388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46388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'Dec 2026'!F45+D45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'Dec 2026'!F49+D49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'Dec 2026'!F50+D50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'Dec 2026'!F51+D51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'Dec 2026'!F52+D52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Feb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'Jan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46419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46419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46419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46419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46419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46419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46419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46419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46419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'Jan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'Jan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'Jan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'Jan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'Jan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Mar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'Feb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46447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46447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46447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46447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46447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46447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46447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46447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46447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'Feb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'Feb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'Feb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'Feb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'Feb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Apr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'Mar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46478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46478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46478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46478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46478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46478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46478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46478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46478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'Mar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'Mar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'Mar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'Mar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'Mar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May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'Apr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46508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46508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46508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46508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46508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46508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46508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46508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46508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'Apr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'Apr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'Apr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'Apr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'Apr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Jun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'May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46539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46539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46539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46539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46539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46539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46539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46539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46539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'May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'May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'May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'May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'May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Jul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'Jun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46569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46569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46569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46569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46569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46569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46569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46569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46569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'Jun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'Jun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'Jun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'Jun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'Jun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Aug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'Jul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46600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46600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46600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46600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46600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46600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46600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46600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46600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'Jul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'Jul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'Jul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'Jul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'Jul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Sep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'Aug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46631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46631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46631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46631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46631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46631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46631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46631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46631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'Aug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'Aug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'Aug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'Aug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'Aug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Oct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'Sep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46661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46661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46661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46661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46661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46661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46661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46661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46661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'Sep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'Sep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'Sep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'Sep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'Sep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Nov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'Oct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46692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46692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46692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46692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46692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46692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46692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46692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46692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'Oct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'Oct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'Oct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'Oct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'Oct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Dec 2027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'Nov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46722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46722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46722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46722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46722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46722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46722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46722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46722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'Nov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'Nov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'Nov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'Nov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'Nov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Jan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'Dec 2027'!D65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46753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46753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46753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46753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46753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46753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46753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46753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46753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'Dec 2027'!F45+D45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'Dec 2027'!F49+D49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'Dec 2027'!F50+D50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'Dec 2027'!F51+D51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'Dec 2027'!F52+D52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Feb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'Jan 2028'!D65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46784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46784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46784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46784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46784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46784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46784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46784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46784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'Jan 2028'!F45+D45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'Jan 2028'!F49+D49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'Jan 2028'!F50+D50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'Jan 2028'!F51+D51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'Jan 2028'!F52+D52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Mar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'Feb 2028'!D65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46813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46813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46813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46813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46813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46813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46813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46813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46813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'Feb 2028'!F45+D45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'Feb 2028'!F49+D49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'Feb 2028'!F50+D50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'Feb 2028'!F51+D51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'Feb 2028'!F52+D52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Apr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'Mar 2028'!D65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46844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46844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46844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46844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46844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46844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46844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46844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46844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'Mar 2028'!F45+D45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'Mar 2028'!F49+D49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'Mar 2028'!F50+D50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'Mar 2028'!F51+D51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'Mar 2028'!F52+D52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May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'Apr 2028'!D65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46874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46874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46874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46874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46874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46874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46874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46874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46874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'Apr 2028'!F45+D45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'Apr 2028'!F49+D49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'Apr 2028'!F50+D50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'Apr 2028'!F51+D51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'Apr 2028'!F52+D52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6.0"/>
    <col customWidth="1" min="3" max="3" width="1.57"/>
    <col customWidth="1" min="4" max="4" width="13.0"/>
    <col customWidth="1" min="5" max="5" width="8.0"/>
    <col customWidth="1" min="6" max="7" width="11.0"/>
    <col customWidth="1" min="8" max="8" width="10.29"/>
    <col customWidth="1" min="9" max="9" width="1.57"/>
    <col customWidth="1" min="10" max="10" width="5.0"/>
    <col customWidth="1" min="11" max="11" width="10.0"/>
    <col customWidth="1" min="12" max="12" width="22.0"/>
    <col customWidth="1" min="13" max="13" width="15.0"/>
    <col customWidth="1" min="14" max="14" width="13.0"/>
    <col customWidth="1" min="15" max="15" width="11.0"/>
    <col customWidth="1" min="16" max="16" width="8.0"/>
    <col customWidth="1" min="17" max="18" width="11.0"/>
    <col customWidth="1" min="19" max="19" width="10.0"/>
    <col customWidth="1" min="20" max="20" width="1.57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79" t="inlineStr">
        <is>
          <t xml:space="preserve">  💰  Jun 2028  —  Expense Tracker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3.5" customHeight="1">
      <c r="A3" s="1"/>
      <c r="B3" s="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80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"/>
      <c r="V5" s="1"/>
      <c r="W5" s="1"/>
      <c r="X5" s="1"/>
      <c r="Y5" s="1"/>
      <c r="Z5" s="1"/>
    </row>
    <row r="6" ht="18.0" customHeight="1">
      <c r="A6" s="1"/>
      <c r="B6" s="169" t="s">
        <v>104</v>
      </c>
      <c r="C6" s="82"/>
      <c r="D6" s="84">
        <v>2500.0</v>
      </c>
      <c r="E6" s="49"/>
      <c r="F6" s="169" t="s">
        <v>105</v>
      </c>
      <c r="G6" s="82"/>
      <c r="H6" s="84">
        <v>2500.0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1"/>
      <c r="V6" s="1"/>
      <c r="W6" s="1"/>
      <c r="X6" s="1"/>
      <c r="Y6" s="1"/>
      <c r="Z6" s="1"/>
    </row>
    <row r="7" ht="18.0" customHeight="1">
      <c r="A7" s="1"/>
      <c r="B7" s="169" t="s">
        <v>106</v>
      </c>
      <c r="C7" s="82"/>
      <c r="D7" s="84">
        <v>2221.4</v>
      </c>
      <c r="E7" s="49"/>
      <c r="F7" s="169" t="s">
        <v>107</v>
      </c>
      <c r="G7" s="82"/>
      <c r="H7" s="85">
        <v>0.5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1"/>
      <c r="V7" s="1"/>
      <c r="W7" s="1"/>
      <c r="X7" s="1"/>
      <c r="Y7" s="1"/>
      <c r="Z7" s="1"/>
    </row>
    <row r="8" ht="18.0" customHeight="1">
      <c r="A8" s="1"/>
      <c r="B8" s="169" t="s">
        <v>108</v>
      </c>
      <c r="C8" s="82"/>
      <c r="D8" s="84">
        <v>500.0</v>
      </c>
      <c r="E8" s="49"/>
      <c r="F8" s="89" t="s">
        <v>15</v>
      </c>
      <c r="G8" s="87"/>
      <c r="H8" s="88">
        <f>D6+H6+D9</f>
        <v>24016.47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"/>
      <c r="V8" s="1"/>
      <c r="W8" s="1"/>
      <c r="X8" s="1"/>
      <c r="Y8" s="1"/>
      <c r="Z8" s="1"/>
    </row>
    <row r="9" ht="18.0" customHeight="1">
      <c r="A9" s="1"/>
      <c r="B9" s="89" t="s">
        <v>109</v>
      </c>
      <c r="C9" s="87"/>
      <c r="D9" s="170">
        <f>'May 2028'!D65</f>
        <v>19016.47</v>
      </c>
      <c r="E9" s="49"/>
      <c r="F9" s="49"/>
      <c r="G9" s="49"/>
      <c r="H9" s="9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" t="s">
        <v>110</v>
      </c>
      <c r="C10" s="9"/>
      <c r="D10" s="9"/>
      <c r="E10" s="10"/>
      <c r="F10" s="1"/>
      <c r="G10" s="1"/>
      <c r="H10" s="90"/>
      <c r="I10" s="1"/>
      <c r="J10" s="8" t="s">
        <v>111</v>
      </c>
      <c r="K10" s="9"/>
      <c r="L10" s="9"/>
      <c r="M10" s="9"/>
      <c r="N10" s="9"/>
      <c r="O10" s="9"/>
      <c r="P10" s="9"/>
      <c r="Q10" s="9"/>
      <c r="R10" s="9"/>
      <c r="S10" s="10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1" t="s">
        <v>112</v>
      </c>
      <c r="C11" s="91"/>
      <c r="D11" s="91" t="s">
        <v>113</v>
      </c>
      <c r="E11" s="91" t="s">
        <v>114</v>
      </c>
      <c r="F11" s="91" t="s">
        <v>115</v>
      </c>
      <c r="G11" s="91" t="s">
        <v>116</v>
      </c>
      <c r="H11" s="90"/>
      <c r="I11" s="1"/>
      <c r="J11" s="91" t="s">
        <v>117</v>
      </c>
      <c r="K11" s="91" t="s">
        <v>118</v>
      </c>
      <c r="L11" s="91" t="s">
        <v>119</v>
      </c>
      <c r="M11" s="91" t="s">
        <v>112</v>
      </c>
      <c r="N11" s="91" t="s">
        <v>120</v>
      </c>
      <c r="O11" s="91" t="s">
        <v>121</v>
      </c>
      <c r="P11" s="91" t="s">
        <v>122</v>
      </c>
      <c r="Q11" s="91" t="s">
        <v>113</v>
      </c>
      <c r="R11" s="91" t="s">
        <v>123</v>
      </c>
      <c r="S11" s="91" t="s">
        <v>124</v>
      </c>
      <c r="T11" s="1"/>
      <c r="U11" s="1"/>
      <c r="V11" s="1"/>
      <c r="W11" s="1"/>
      <c r="X11" s="1"/>
      <c r="Y11" s="1"/>
      <c r="Z11" s="1"/>
    </row>
    <row r="12" ht="18.0" customHeight="1">
      <c r="A12" s="1"/>
      <c r="B12" s="92" t="s">
        <v>20</v>
      </c>
      <c r="C12" s="49"/>
      <c r="D12" s="93">
        <f>SUMIF(M12:M131,B12,Q12:Q131)</f>
        <v>0</v>
      </c>
      <c r="E12" s="94">
        <f>IFERROR(D12/(H8),0)</f>
        <v>0</v>
      </c>
      <c r="F12" s="84">
        <v>300.0</v>
      </c>
      <c r="G12" s="93" t="str">
        <f t="shared" ref="G12:G22" si="1">IF(D12=0,"",D12-F12)</f>
        <v/>
      </c>
      <c r="H12" s="90"/>
      <c r="I12" s="95"/>
      <c r="J12" s="96">
        <v>1.0</v>
      </c>
      <c r="K12" s="97">
        <v>46905</v>
      </c>
      <c r="L12" s="98" t="s">
        <v>125</v>
      </c>
      <c r="M12" s="98" t="s">
        <v>22</v>
      </c>
      <c r="N12" s="98" t="s">
        <v>28</v>
      </c>
      <c r="O12" s="99">
        <v>65.0</v>
      </c>
      <c r="P12" s="100">
        <v>1.0</v>
      </c>
      <c r="Q12" s="101">
        <f t="shared" ref="Q12:Q130" si="2">IFERROR(IF(O12="",0,O12*P12),0)</f>
        <v>65</v>
      </c>
      <c r="R12" s="102" t="s">
        <v>126</v>
      </c>
      <c r="S12" s="103" t="s">
        <v>127</v>
      </c>
      <c r="T12" s="95"/>
      <c r="U12" s="1"/>
      <c r="V12" s="1"/>
      <c r="W12" s="1"/>
      <c r="X12" s="1"/>
      <c r="Y12" s="1"/>
      <c r="Z12" s="1"/>
    </row>
    <row r="13" ht="18.0" customHeight="1">
      <c r="A13" s="1"/>
      <c r="B13" s="104" t="s">
        <v>21</v>
      </c>
      <c r="C13" s="18"/>
      <c r="D13" s="105">
        <f>SUMIF(M12:M131,B13,Q12:Q131)</f>
        <v>105.625</v>
      </c>
      <c r="E13" s="106">
        <f>IFERROR(D13/(H8),0)</f>
        <v>0.004398023523</v>
      </c>
      <c r="F13" s="84">
        <v>50.0</v>
      </c>
      <c r="G13" s="105">
        <f t="shared" si="1"/>
        <v>55.625</v>
      </c>
      <c r="H13" s="90"/>
      <c r="I13" s="95"/>
      <c r="J13" s="96">
        <v>2.0</v>
      </c>
      <c r="K13" s="97">
        <v>46905</v>
      </c>
      <c r="L13" s="98" t="s">
        <v>128</v>
      </c>
      <c r="M13" s="98" t="s">
        <v>25</v>
      </c>
      <c r="N13" s="98" t="s">
        <v>44</v>
      </c>
      <c r="O13" s="99">
        <v>105.0</v>
      </c>
      <c r="P13" s="100">
        <v>1.0</v>
      </c>
      <c r="Q13" s="101">
        <f t="shared" si="2"/>
        <v>105</v>
      </c>
      <c r="R13" s="102" t="s">
        <v>126</v>
      </c>
      <c r="S13" s="103" t="s">
        <v>127</v>
      </c>
      <c r="T13" s="95"/>
      <c r="U13" s="1"/>
      <c r="V13" s="1"/>
      <c r="W13" s="1"/>
      <c r="X13" s="1"/>
      <c r="Y13" s="1"/>
      <c r="Z13" s="1"/>
    </row>
    <row r="14" ht="18.0" customHeight="1">
      <c r="A14" s="1"/>
      <c r="B14" s="92" t="s">
        <v>22</v>
      </c>
      <c r="C14" s="49"/>
      <c r="D14" s="93">
        <f>SUMIF(M12:M131,B14,Q12:Q131)</f>
        <v>65</v>
      </c>
      <c r="E14" s="94">
        <f>IFERROR(D14/(H8),0)</f>
        <v>0.002706476014</v>
      </c>
      <c r="F14" s="84">
        <v>200.0</v>
      </c>
      <c r="G14" s="93">
        <f t="shared" si="1"/>
        <v>-135</v>
      </c>
      <c r="H14" s="90"/>
      <c r="I14" s="95"/>
      <c r="J14" s="96">
        <v>3.0</v>
      </c>
      <c r="K14" s="97">
        <v>46905</v>
      </c>
      <c r="L14" s="98" t="s">
        <v>129</v>
      </c>
      <c r="M14" s="98" t="s">
        <v>21</v>
      </c>
      <c r="N14" s="98" t="s">
        <v>39</v>
      </c>
      <c r="O14" s="99">
        <v>41.25</v>
      </c>
      <c r="P14" s="100">
        <v>0.5</v>
      </c>
      <c r="Q14" s="101">
        <f t="shared" si="2"/>
        <v>20.625</v>
      </c>
      <c r="R14" s="102" t="s">
        <v>126</v>
      </c>
      <c r="S14" s="103" t="s">
        <v>127</v>
      </c>
      <c r="T14" s="95"/>
      <c r="U14" s="1"/>
      <c r="V14" s="1"/>
      <c r="W14" s="1"/>
      <c r="X14" s="1"/>
      <c r="Y14" s="1"/>
      <c r="Z14" s="1"/>
    </row>
    <row r="15" ht="18.0" customHeight="1">
      <c r="A15" s="1"/>
      <c r="B15" s="104" t="s">
        <v>23</v>
      </c>
      <c r="C15" s="18"/>
      <c r="D15" s="105">
        <f>SUMIF(M12:M131,B15,Q12:Q131)</f>
        <v>0</v>
      </c>
      <c r="E15" s="106">
        <f>IFERROR(D15/(H8),0)</f>
        <v>0</v>
      </c>
      <c r="F15" s="84">
        <v>300.0</v>
      </c>
      <c r="G15" s="105" t="str">
        <f t="shared" si="1"/>
        <v/>
      </c>
      <c r="H15" s="90"/>
      <c r="I15" s="95"/>
      <c r="J15" s="96">
        <v>4.0</v>
      </c>
      <c r="K15" s="97">
        <v>46905</v>
      </c>
      <c r="L15" s="98" t="s">
        <v>130</v>
      </c>
      <c r="M15" s="98" t="s">
        <v>27</v>
      </c>
      <c r="N15" s="98" t="s">
        <v>43</v>
      </c>
      <c r="O15" s="99">
        <v>7.65</v>
      </c>
      <c r="P15" s="100">
        <v>1.0</v>
      </c>
      <c r="Q15" s="101">
        <f t="shared" si="2"/>
        <v>7.65</v>
      </c>
      <c r="R15" s="102" t="s">
        <v>126</v>
      </c>
      <c r="S15" s="103" t="s">
        <v>127</v>
      </c>
      <c r="T15" s="95"/>
      <c r="U15" s="1"/>
      <c r="V15" s="1"/>
      <c r="W15" s="1"/>
      <c r="X15" s="1"/>
      <c r="Y15" s="1"/>
      <c r="Z15" s="1"/>
    </row>
    <row r="16" ht="18.0" customHeight="1">
      <c r="A16" s="1"/>
      <c r="B16" s="92" t="s">
        <v>24</v>
      </c>
      <c r="C16" s="49"/>
      <c r="D16" s="93">
        <f>SUMIF(M12:M131,B16,Q12:Q131)</f>
        <v>0</v>
      </c>
      <c r="E16" s="94">
        <f>IFERROR(D16/(H8),0)</f>
        <v>0</v>
      </c>
      <c r="F16" s="84">
        <v>150.0</v>
      </c>
      <c r="G16" s="93" t="str">
        <f t="shared" si="1"/>
        <v/>
      </c>
      <c r="H16" s="90"/>
      <c r="I16" s="95"/>
      <c r="J16" s="96">
        <v>5.0</v>
      </c>
      <c r="K16" s="97">
        <v>46905</v>
      </c>
      <c r="L16" s="98" t="s">
        <v>131</v>
      </c>
      <c r="M16" s="98" t="s">
        <v>27</v>
      </c>
      <c r="N16" s="98" t="s">
        <v>41</v>
      </c>
      <c r="O16" s="99">
        <v>21.99</v>
      </c>
      <c r="P16" s="100">
        <v>1.0</v>
      </c>
      <c r="Q16" s="101">
        <f t="shared" si="2"/>
        <v>21.99</v>
      </c>
      <c r="R16" s="102" t="s">
        <v>126</v>
      </c>
      <c r="S16" s="103" t="s">
        <v>127</v>
      </c>
      <c r="T16" s="95"/>
      <c r="U16" s="1"/>
      <c r="V16" s="1"/>
      <c r="W16" s="1"/>
      <c r="X16" s="1"/>
      <c r="Y16" s="1"/>
      <c r="Z16" s="1"/>
    </row>
    <row r="17" ht="18.0" customHeight="1">
      <c r="A17" s="1"/>
      <c r="B17" s="104" t="s">
        <v>25</v>
      </c>
      <c r="C17" s="18"/>
      <c r="D17" s="105">
        <f>SUMIF(M12:M131,B17,Q12:Q131)</f>
        <v>105</v>
      </c>
      <c r="E17" s="106">
        <f>IFERROR(D17/(H8),0)</f>
        <v>0.004371999715</v>
      </c>
      <c r="F17" s="84">
        <v>200.0</v>
      </c>
      <c r="G17" s="105">
        <f t="shared" si="1"/>
        <v>-95</v>
      </c>
      <c r="H17" s="90"/>
      <c r="I17" s="95"/>
      <c r="J17" s="96">
        <v>6.0</v>
      </c>
      <c r="K17" s="97">
        <v>46905</v>
      </c>
      <c r="L17" s="98" t="s">
        <v>132</v>
      </c>
      <c r="M17" s="98" t="s">
        <v>21</v>
      </c>
      <c r="N17" s="98"/>
      <c r="O17" s="99">
        <v>170.0</v>
      </c>
      <c r="P17" s="100">
        <v>0.5</v>
      </c>
      <c r="Q17" s="101">
        <f t="shared" si="2"/>
        <v>85</v>
      </c>
      <c r="R17" s="102" t="s">
        <v>133</v>
      </c>
      <c r="S17" s="103" t="s">
        <v>127</v>
      </c>
      <c r="T17" s="95"/>
      <c r="U17" s="1"/>
      <c r="V17" s="1"/>
      <c r="W17" s="1"/>
      <c r="X17" s="1"/>
      <c r="Y17" s="1"/>
      <c r="Z17" s="1"/>
    </row>
    <row r="18" ht="18.0" customHeight="1">
      <c r="A18" s="1"/>
      <c r="B18" s="92" t="s">
        <v>26</v>
      </c>
      <c r="C18" s="49"/>
      <c r="D18" s="93">
        <f>SUMIF(M12:M131,B18,Q12:Q131)</f>
        <v>0</v>
      </c>
      <c r="E18" s="94">
        <f>IFERROR(D18/(H8),0)</f>
        <v>0</v>
      </c>
      <c r="F18" s="84">
        <v>200.0</v>
      </c>
      <c r="G18" s="93" t="str">
        <f t="shared" si="1"/>
        <v/>
      </c>
      <c r="H18" s="90"/>
      <c r="I18" s="95"/>
      <c r="J18" s="96">
        <v>7.0</v>
      </c>
      <c r="K18" s="97">
        <v>46905</v>
      </c>
      <c r="L18" s="98" t="s">
        <v>134</v>
      </c>
      <c r="M18" s="98" t="s">
        <v>27</v>
      </c>
      <c r="N18" s="98" t="s">
        <v>76</v>
      </c>
      <c r="O18" s="99">
        <v>5.99</v>
      </c>
      <c r="P18" s="100">
        <v>1.0</v>
      </c>
      <c r="Q18" s="101">
        <f t="shared" si="2"/>
        <v>5.99</v>
      </c>
      <c r="R18" s="102" t="s">
        <v>126</v>
      </c>
      <c r="S18" s="103" t="s">
        <v>127</v>
      </c>
      <c r="T18" s="95"/>
      <c r="U18" s="1"/>
      <c r="V18" s="1"/>
      <c r="W18" s="1"/>
      <c r="X18" s="1"/>
      <c r="Y18" s="1"/>
      <c r="Z18" s="1"/>
    </row>
    <row r="19" ht="18.0" customHeight="1">
      <c r="A19" s="1"/>
      <c r="B19" s="104" t="s">
        <v>27</v>
      </c>
      <c r="C19" s="18"/>
      <c r="D19" s="105">
        <f>SUMIF(M12:M131,B19,Q12:Q131)</f>
        <v>65.62</v>
      </c>
      <c r="E19" s="106">
        <f>IFERROR(D19/(H8),0)</f>
        <v>0.002732291632</v>
      </c>
      <c r="F19" s="84">
        <v>100.0</v>
      </c>
      <c r="G19" s="105">
        <f t="shared" si="1"/>
        <v>-34.38</v>
      </c>
      <c r="H19" s="90"/>
      <c r="I19" s="95"/>
      <c r="J19" s="96">
        <v>8.0</v>
      </c>
      <c r="K19" s="97">
        <v>46905</v>
      </c>
      <c r="L19" s="98" t="s">
        <v>135</v>
      </c>
      <c r="M19" s="98" t="s">
        <v>27</v>
      </c>
      <c r="N19" s="98" t="s">
        <v>44</v>
      </c>
      <c r="O19" s="99">
        <v>20.0</v>
      </c>
      <c r="P19" s="100">
        <v>1.0</v>
      </c>
      <c r="Q19" s="101">
        <f t="shared" si="2"/>
        <v>20</v>
      </c>
      <c r="R19" s="102" t="s">
        <v>126</v>
      </c>
      <c r="S19" s="103" t="s">
        <v>127</v>
      </c>
      <c r="T19" s="95"/>
      <c r="U19" s="1"/>
      <c r="V19" s="1"/>
      <c r="W19" s="1"/>
      <c r="X19" s="1"/>
      <c r="Y19" s="1"/>
      <c r="Z19" s="1"/>
    </row>
    <row r="20" ht="18.0" customHeight="1">
      <c r="A20" s="1"/>
      <c r="B20" s="92" t="s">
        <v>28</v>
      </c>
      <c r="C20" s="49"/>
      <c r="D20" s="93">
        <f>SUMIF(M12:M131,B20,Q12:Q131)</f>
        <v>0</v>
      </c>
      <c r="E20" s="94">
        <f>IFERROR(D20/(H8),0)</f>
        <v>0</v>
      </c>
      <c r="F20" s="84">
        <v>100.0</v>
      </c>
      <c r="G20" s="93" t="str">
        <f t="shared" si="1"/>
        <v/>
      </c>
      <c r="H20" s="90"/>
      <c r="I20" s="107"/>
      <c r="J20" s="96">
        <v>9.0</v>
      </c>
      <c r="K20" s="97">
        <v>46905</v>
      </c>
      <c r="L20" s="98" t="s">
        <v>136</v>
      </c>
      <c r="M20" s="98" t="s">
        <v>27</v>
      </c>
      <c r="N20" s="98" t="s">
        <v>76</v>
      </c>
      <c r="O20" s="99">
        <v>9.99</v>
      </c>
      <c r="P20" s="100">
        <v>1.0</v>
      </c>
      <c r="Q20" s="101">
        <f t="shared" si="2"/>
        <v>9.99</v>
      </c>
      <c r="R20" s="102" t="s">
        <v>126</v>
      </c>
      <c r="S20" s="103" t="s">
        <v>127</v>
      </c>
      <c r="T20" s="95"/>
      <c r="U20" s="1"/>
      <c r="V20" s="1"/>
      <c r="W20" s="1"/>
      <c r="X20" s="1"/>
      <c r="Y20" s="1"/>
      <c r="Z20" s="1"/>
    </row>
    <row r="21" ht="18.0" customHeight="1">
      <c r="A21" s="1"/>
      <c r="B21" s="104" t="s">
        <v>29</v>
      </c>
      <c r="C21" s="18"/>
      <c r="D21" s="105">
        <f>SUMIF(M12:M131,B21,Q12:Q131)</f>
        <v>0</v>
      </c>
      <c r="E21" s="106">
        <f>IFERROR(D21/(H8),0)</f>
        <v>0</v>
      </c>
      <c r="F21" s="84">
        <v>50.0</v>
      </c>
      <c r="G21" s="105" t="str">
        <f t="shared" si="1"/>
        <v/>
      </c>
      <c r="H21" s="90"/>
      <c r="I21" s="95"/>
      <c r="J21" s="96">
        <v>10.0</v>
      </c>
      <c r="K21" s="108"/>
      <c r="L21" s="109"/>
      <c r="M21" s="109"/>
      <c r="N21" s="109"/>
      <c r="O21" s="110"/>
      <c r="P21" s="111">
        <v>1.0</v>
      </c>
      <c r="Q21" s="27">
        <f t="shared" si="2"/>
        <v>0</v>
      </c>
      <c r="R21" s="112"/>
      <c r="S21" s="113"/>
      <c r="T21" s="95"/>
      <c r="U21" s="1"/>
      <c r="V21" s="1"/>
      <c r="W21" s="1"/>
      <c r="X21" s="1"/>
      <c r="Y21" s="1"/>
      <c r="Z21" s="1"/>
    </row>
    <row r="22" ht="18.0" customHeight="1">
      <c r="A22" s="1"/>
      <c r="B22" s="92" t="s">
        <v>30</v>
      </c>
      <c r="C22" s="49"/>
      <c r="D22" s="93">
        <f>SUMIF(M12:M131,B22,Q12:Q131)</f>
        <v>0</v>
      </c>
      <c r="E22" s="94">
        <f>IFERROR(D22/(H8),0)</f>
        <v>0</v>
      </c>
      <c r="F22" s="84">
        <v>50.0</v>
      </c>
      <c r="G22" s="93" t="str">
        <f t="shared" si="1"/>
        <v/>
      </c>
      <c r="H22" s="90"/>
      <c r="I22" s="95"/>
      <c r="J22" s="96">
        <v>11.0</v>
      </c>
      <c r="K22" s="115"/>
      <c r="L22" s="116"/>
      <c r="M22" s="116"/>
      <c r="N22" s="116"/>
      <c r="O22" s="117"/>
      <c r="P22" s="118">
        <v>1.0</v>
      </c>
      <c r="Q22" s="27">
        <f t="shared" si="2"/>
        <v>0</v>
      </c>
      <c r="R22" s="112"/>
      <c r="S22" s="96"/>
      <c r="T22" s="95"/>
      <c r="U22" s="1"/>
      <c r="V22" s="1"/>
      <c r="W22" s="1"/>
      <c r="X22" s="1"/>
      <c r="Y22" s="1"/>
      <c r="Z22" s="1"/>
    </row>
    <row r="23" ht="18.0" customHeight="1">
      <c r="A23" s="1"/>
      <c r="B23" s="104" t="s">
        <v>31</v>
      </c>
      <c r="C23" s="104"/>
      <c r="D23" s="105">
        <f>SUMIF($M$12:$M$131,B23,$Q$12:$Q$131)</f>
        <v>0</v>
      </c>
      <c r="E23" s="106">
        <f>IFERROR(D23/(H8),0)</f>
        <v>0</v>
      </c>
      <c r="F23" s="1"/>
      <c r="G23" s="1"/>
      <c r="H23" s="1"/>
      <c r="I23" s="1"/>
      <c r="J23" s="96">
        <v>12.0</v>
      </c>
      <c r="K23" s="108"/>
      <c r="L23" s="109"/>
      <c r="M23" s="109"/>
      <c r="N23" s="109"/>
      <c r="O23" s="110"/>
      <c r="P23" s="111">
        <v>1.0</v>
      </c>
      <c r="Q23" s="27">
        <f t="shared" si="2"/>
        <v>0</v>
      </c>
      <c r="R23" s="112"/>
      <c r="S23" s="113"/>
      <c r="T23" s="34"/>
    </row>
    <row r="24" ht="18.0" customHeight="1">
      <c r="A24" s="1"/>
      <c r="B24" s="120" t="s">
        <v>140</v>
      </c>
      <c r="C24" s="121"/>
      <c r="D24" s="122">
        <f>D60</f>
        <v>1175.075</v>
      </c>
      <c r="E24" s="123">
        <f>IFERROR(D24/(H8),0)</f>
        <v>0.04892788157</v>
      </c>
      <c r="F24" s="124"/>
      <c r="G24" s="49"/>
      <c r="H24" s="90"/>
      <c r="I24" s="95"/>
      <c r="J24" s="96">
        <v>13.0</v>
      </c>
      <c r="K24" s="115"/>
      <c r="L24" s="116"/>
      <c r="M24" s="116"/>
      <c r="N24" s="116"/>
      <c r="O24" s="117"/>
      <c r="P24" s="118">
        <v>1.0</v>
      </c>
      <c r="Q24" s="27">
        <f t="shared" si="2"/>
        <v>0</v>
      </c>
      <c r="R24" s="112"/>
      <c r="S24" s="96"/>
      <c r="T24" s="95"/>
      <c r="U24" s="1"/>
      <c r="V24" s="1"/>
      <c r="W24" s="1"/>
      <c r="X24" s="1"/>
      <c r="Y24" s="1"/>
      <c r="Z24" s="1"/>
    </row>
    <row r="25" ht="19.5" customHeight="1">
      <c r="A25" s="1"/>
      <c r="B25" s="125" t="s">
        <v>33</v>
      </c>
      <c r="C25" s="126"/>
      <c r="D25" s="127">
        <f t="shared" ref="D25:D27" si="3">D63</f>
        <v>0</v>
      </c>
      <c r="E25" s="128">
        <f>IFERROR(D25/(H8),0)</f>
        <v>0</v>
      </c>
      <c r="F25" s="124"/>
      <c r="G25" s="124"/>
      <c r="H25" s="90"/>
      <c r="I25" s="95"/>
      <c r="J25" s="96">
        <v>14.0</v>
      </c>
      <c r="K25" s="108"/>
      <c r="L25" s="109"/>
      <c r="M25" s="109"/>
      <c r="N25" s="109"/>
      <c r="O25" s="110"/>
      <c r="P25" s="111">
        <v>1.0</v>
      </c>
      <c r="Q25" s="27">
        <f t="shared" si="2"/>
        <v>0</v>
      </c>
      <c r="R25" s="112"/>
      <c r="S25" s="113"/>
      <c r="T25" s="95"/>
      <c r="U25" s="1"/>
      <c r="V25" s="1"/>
      <c r="W25" s="1"/>
      <c r="X25" s="1"/>
      <c r="Y25" s="1"/>
      <c r="Z25" s="1"/>
    </row>
    <row r="26" ht="19.5" customHeight="1">
      <c r="A26" s="1"/>
      <c r="B26" s="120" t="s">
        <v>143</v>
      </c>
      <c r="C26" s="121"/>
      <c r="D26" s="122">
        <f t="shared" si="3"/>
        <v>1451.945</v>
      </c>
      <c r="E26" s="123">
        <f>IFERROR(D26/(H8),0)</f>
        <v>0.06045622025</v>
      </c>
      <c r="F26" s="129"/>
      <c r="G26" s="129"/>
      <c r="H26" s="90"/>
      <c r="I26" s="95"/>
      <c r="J26" s="96">
        <v>15.0</v>
      </c>
      <c r="K26" s="115"/>
      <c r="L26" s="116"/>
      <c r="M26" s="116"/>
      <c r="N26" s="116"/>
      <c r="O26" s="117"/>
      <c r="P26" s="118">
        <v>1.0</v>
      </c>
      <c r="Q26" s="27">
        <f t="shared" si="2"/>
        <v>0</v>
      </c>
      <c r="R26" s="112"/>
      <c r="S26" s="96"/>
      <c r="T26" s="95"/>
      <c r="U26" s="1"/>
      <c r="V26" s="1"/>
      <c r="W26" s="1"/>
      <c r="X26" s="1"/>
      <c r="Y26" s="1"/>
      <c r="Z26" s="1"/>
    </row>
    <row r="27" ht="19.5" customHeight="1">
      <c r="A27" s="1"/>
      <c r="B27" s="130" t="s">
        <v>34</v>
      </c>
      <c r="C27" s="131"/>
      <c r="D27" s="132">
        <f t="shared" si="3"/>
        <v>22564.525</v>
      </c>
      <c r="E27" s="133">
        <f>IFERROR(D27/(H8),0)</f>
        <v>0.9395437797</v>
      </c>
      <c r="F27" s="129"/>
      <c r="G27" s="87"/>
      <c r="H27" s="90"/>
      <c r="I27" s="95"/>
      <c r="J27" s="96">
        <v>16.0</v>
      </c>
      <c r="K27" s="108"/>
      <c r="L27" s="109"/>
      <c r="M27" s="109"/>
      <c r="N27" s="109"/>
      <c r="O27" s="110"/>
      <c r="P27" s="111">
        <v>1.0</v>
      </c>
      <c r="Q27" s="27">
        <f t="shared" si="2"/>
        <v>0</v>
      </c>
      <c r="R27" s="112"/>
      <c r="S27" s="113"/>
      <c r="T27" s="95"/>
      <c r="U27" s="1"/>
      <c r="V27" s="1"/>
      <c r="W27" s="1"/>
      <c r="X27" s="1"/>
      <c r="Y27" s="1"/>
      <c r="Z27" s="1"/>
    </row>
    <row r="28" ht="7.5" customHeight="1">
      <c r="A28" s="1"/>
      <c r="B28" s="134"/>
      <c r="C28" s="1"/>
      <c r="D28" s="1"/>
      <c r="E28" s="1"/>
      <c r="F28" s="90"/>
      <c r="G28" s="90"/>
      <c r="H28" s="90"/>
      <c r="I28" s="95"/>
      <c r="J28" s="96">
        <v>17.0</v>
      </c>
      <c r="K28" s="115"/>
      <c r="L28" s="116"/>
      <c r="M28" s="116"/>
      <c r="N28" s="116"/>
      <c r="O28" s="117"/>
      <c r="P28" s="118">
        <v>1.0</v>
      </c>
      <c r="Q28" s="27">
        <f t="shared" si="2"/>
        <v>0</v>
      </c>
      <c r="R28" s="112"/>
      <c r="S28" s="96"/>
      <c r="T28" s="95"/>
      <c r="U28" s="1"/>
      <c r="V28" s="1"/>
      <c r="W28" s="1"/>
      <c r="X28" s="1"/>
      <c r="Y28" s="1"/>
      <c r="Z28" s="1"/>
    </row>
    <row r="29" ht="19.5" customHeight="1">
      <c r="A29" s="1"/>
      <c r="B29" s="135" t="s">
        <v>36</v>
      </c>
      <c r="C29" s="135"/>
      <c r="D29" s="135" t="s">
        <v>147</v>
      </c>
      <c r="E29" s="136"/>
      <c r="F29" s="1"/>
      <c r="G29" s="1"/>
      <c r="H29" s="90"/>
      <c r="I29" s="95"/>
      <c r="J29" s="96">
        <v>18.0</v>
      </c>
      <c r="K29" s="108"/>
      <c r="L29" s="109"/>
      <c r="M29" s="109"/>
      <c r="N29" s="109"/>
      <c r="O29" s="110"/>
      <c r="P29" s="111">
        <v>1.0</v>
      </c>
      <c r="Q29" s="27">
        <f t="shared" si="2"/>
        <v>0</v>
      </c>
      <c r="R29" s="112"/>
      <c r="S29" s="113"/>
      <c r="T29" s="95"/>
      <c r="U29" s="1"/>
      <c r="V29" s="1"/>
      <c r="W29" s="1"/>
      <c r="X29" s="1"/>
      <c r="Y29" s="1"/>
      <c r="Z29" s="1"/>
    </row>
    <row r="30" ht="18.0" customHeight="1">
      <c r="A30" s="1"/>
      <c r="B30" s="137" t="s">
        <v>76</v>
      </c>
      <c r="C30" s="49"/>
      <c r="D30" s="93">
        <f>SUMIF(N12:N131,B30,O12:O131)</f>
        <v>15.98</v>
      </c>
      <c r="E30" s="95"/>
      <c r="F30" s="1"/>
      <c r="G30" s="1"/>
      <c r="H30" s="90"/>
      <c r="I30" s="95"/>
      <c r="J30" s="96">
        <v>19.0</v>
      </c>
      <c r="K30" s="115"/>
      <c r="L30" s="116"/>
      <c r="M30" s="116"/>
      <c r="N30" s="116"/>
      <c r="O30" s="117"/>
      <c r="P30" s="118">
        <v>1.0</v>
      </c>
      <c r="Q30" s="27">
        <f t="shared" si="2"/>
        <v>0</v>
      </c>
      <c r="R30" s="112"/>
      <c r="S30" s="96"/>
      <c r="T30" s="95"/>
      <c r="U30" s="1"/>
      <c r="V30" s="1"/>
      <c r="W30" s="1"/>
      <c r="X30" s="1"/>
      <c r="Y30" s="1"/>
      <c r="Z30" s="1"/>
    </row>
    <row r="31" ht="18.0" customHeight="1">
      <c r="A31" s="1"/>
      <c r="B31" s="137" t="s">
        <v>37</v>
      </c>
      <c r="C31" s="18"/>
      <c r="D31" s="105">
        <f>SUMIF(N12:N131,B31,O12:O131)</f>
        <v>0</v>
      </c>
      <c r="E31" s="95"/>
      <c r="F31" s="1"/>
      <c r="G31" s="1"/>
      <c r="H31" s="90"/>
      <c r="I31" s="95"/>
      <c r="J31" s="96">
        <v>20.0</v>
      </c>
      <c r="K31" s="108"/>
      <c r="L31" s="109"/>
      <c r="M31" s="109"/>
      <c r="N31" s="109"/>
      <c r="O31" s="110"/>
      <c r="P31" s="111">
        <v>1.0</v>
      </c>
      <c r="Q31" s="27">
        <f t="shared" si="2"/>
        <v>0</v>
      </c>
      <c r="R31" s="112"/>
      <c r="S31" s="113"/>
      <c r="T31" s="95"/>
      <c r="U31" s="1"/>
      <c r="V31" s="1"/>
      <c r="W31" s="1"/>
      <c r="X31" s="1"/>
      <c r="Y31" s="1"/>
      <c r="Z31" s="1"/>
    </row>
    <row r="32" ht="18.0" customHeight="1">
      <c r="A32" s="1"/>
      <c r="B32" s="137" t="s">
        <v>38</v>
      </c>
      <c r="C32" s="49"/>
      <c r="D32" s="93">
        <f>SUMIF(N12:N131,B32,O12:O131)</f>
        <v>0</v>
      </c>
      <c r="E32" s="95"/>
      <c r="F32" s="1"/>
      <c r="G32" s="1"/>
      <c r="H32" s="90"/>
      <c r="I32" s="95"/>
      <c r="J32" s="96">
        <v>21.0</v>
      </c>
      <c r="K32" s="115"/>
      <c r="L32" s="116"/>
      <c r="M32" s="116"/>
      <c r="N32" s="116"/>
      <c r="O32" s="117"/>
      <c r="P32" s="118">
        <v>1.0</v>
      </c>
      <c r="Q32" s="27">
        <f t="shared" si="2"/>
        <v>0</v>
      </c>
      <c r="R32" s="112"/>
      <c r="S32" s="96"/>
      <c r="T32" s="95"/>
      <c r="U32" s="1"/>
      <c r="V32" s="1"/>
      <c r="W32" s="1"/>
      <c r="X32" s="1"/>
      <c r="Y32" s="1"/>
      <c r="Z32" s="1"/>
    </row>
    <row r="33" ht="18.0" customHeight="1">
      <c r="A33" s="1"/>
      <c r="B33" s="137" t="s">
        <v>39</v>
      </c>
      <c r="C33" s="18"/>
      <c r="D33" s="105">
        <f>SUMIF(N12:N131,B33,O12:O131)</f>
        <v>41.25</v>
      </c>
      <c r="E33" s="95"/>
      <c r="F33" s="1"/>
      <c r="G33" s="1"/>
      <c r="H33" s="90"/>
      <c r="I33" s="95"/>
      <c r="J33" s="96">
        <v>22.0</v>
      </c>
      <c r="K33" s="108"/>
      <c r="L33" s="109"/>
      <c r="M33" s="109"/>
      <c r="N33" s="109"/>
      <c r="O33" s="110"/>
      <c r="P33" s="111">
        <v>1.0</v>
      </c>
      <c r="Q33" s="27">
        <f t="shared" si="2"/>
        <v>0</v>
      </c>
      <c r="R33" s="112"/>
      <c r="S33" s="113"/>
      <c r="T33" s="95"/>
      <c r="U33" s="1"/>
      <c r="V33" s="1"/>
      <c r="W33" s="1"/>
      <c r="X33" s="1"/>
      <c r="Y33" s="1"/>
      <c r="Z33" s="1"/>
    </row>
    <row r="34" ht="18.0" customHeight="1">
      <c r="A34" s="1"/>
      <c r="B34" s="137" t="s">
        <v>40</v>
      </c>
      <c r="C34" s="49"/>
      <c r="D34" s="93">
        <f>SUMIF(N12:N131,B34,O12:O131)</f>
        <v>0</v>
      </c>
      <c r="E34" s="95"/>
      <c r="F34" s="1"/>
      <c r="G34" s="1"/>
      <c r="H34" s="90"/>
      <c r="I34" s="95"/>
      <c r="J34" s="96">
        <v>23.0</v>
      </c>
      <c r="K34" s="115"/>
      <c r="L34" s="116"/>
      <c r="M34" s="116"/>
      <c r="N34" s="116"/>
      <c r="O34" s="117"/>
      <c r="P34" s="118">
        <v>1.0</v>
      </c>
      <c r="Q34" s="27">
        <f t="shared" si="2"/>
        <v>0</v>
      </c>
      <c r="R34" s="112"/>
      <c r="S34" s="96"/>
      <c r="T34" s="95"/>
      <c r="U34" s="1"/>
      <c r="V34" s="1"/>
      <c r="W34" s="1"/>
      <c r="X34" s="1"/>
      <c r="Y34" s="1"/>
      <c r="Z34" s="1"/>
    </row>
    <row r="35" ht="18.0" customHeight="1">
      <c r="A35" s="1"/>
      <c r="B35" s="137" t="s">
        <v>41</v>
      </c>
      <c r="C35" s="18"/>
      <c r="D35" s="105">
        <f>SUMIF(N12:N131,B35,O12:O131)</f>
        <v>21.99</v>
      </c>
      <c r="E35" s="95"/>
      <c r="F35" s="1"/>
      <c r="G35" s="1"/>
      <c r="H35" s="90"/>
      <c r="I35" s="95"/>
      <c r="J35" s="96">
        <v>24.0</v>
      </c>
      <c r="K35" s="108"/>
      <c r="L35" s="109"/>
      <c r="M35" s="109"/>
      <c r="N35" s="109"/>
      <c r="O35" s="110"/>
      <c r="P35" s="111">
        <v>1.0</v>
      </c>
      <c r="Q35" s="27">
        <f t="shared" si="2"/>
        <v>0</v>
      </c>
      <c r="R35" s="112"/>
      <c r="S35" s="113"/>
      <c r="T35" s="95"/>
      <c r="U35" s="1"/>
      <c r="V35" s="1"/>
      <c r="W35" s="1"/>
      <c r="X35" s="1"/>
      <c r="Y35" s="1"/>
      <c r="Z35" s="1"/>
    </row>
    <row r="36" ht="18.0" customHeight="1">
      <c r="A36" s="1"/>
      <c r="B36" s="137" t="s">
        <v>42</v>
      </c>
      <c r="C36" s="49"/>
      <c r="D36" s="93">
        <f>SUMIF(N12:N131,B36,O12:O131)</f>
        <v>0</v>
      </c>
      <c r="E36" s="95"/>
      <c r="F36" s="1"/>
      <c r="G36" s="1"/>
      <c r="H36" s="90"/>
      <c r="I36" s="95"/>
      <c r="J36" s="96">
        <v>25.0</v>
      </c>
      <c r="K36" s="115"/>
      <c r="L36" s="116"/>
      <c r="M36" s="116"/>
      <c r="N36" s="116"/>
      <c r="O36" s="117"/>
      <c r="P36" s="118">
        <v>1.0</v>
      </c>
      <c r="Q36" s="27">
        <f t="shared" si="2"/>
        <v>0</v>
      </c>
      <c r="R36" s="112"/>
      <c r="S36" s="96"/>
      <c r="T36" s="95"/>
      <c r="U36" s="1"/>
      <c r="V36" s="1"/>
      <c r="W36" s="1"/>
      <c r="X36" s="1"/>
      <c r="Y36" s="1"/>
      <c r="Z36" s="1"/>
    </row>
    <row r="37" ht="18.0" customHeight="1">
      <c r="A37" s="1"/>
      <c r="B37" s="137" t="s">
        <v>43</v>
      </c>
      <c r="C37" s="18"/>
      <c r="D37" s="105">
        <f>SUMIF(N12:N131,B37,O12:O131)</f>
        <v>7.65</v>
      </c>
      <c r="E37" s="95"/>
      <c r="F37" s="1"/>
      <c r="G37" s="1"/>
      <c r="H37" s="90"/>
      <c r="I37" s="95"/>
      <c r="J37" s="96">
        <v>26.0</v>
      </c>
      <c r="K37" s="108"/>
      <c r="L37" s="109"/>
      <c r="M37" s="109"/>
      <c r="N37" s="109"/>
      <c r="O37" s="110"/>
      <c r="P37" s="111">
        <v>1.0</v>
      </c>
      <c r="Q37" s="27">
        <f t="shared" si="2"/>
        <v>0</v>
      </c>
      <c r="R37" s="112"/>
      <c r="S37" s="113"/>
      <c r="T37" s="95"/>
      <c r="U37" s="1"/>
      <c r="V37" s="1"/>
      <c r="W37" s="1"/>
      <c r="X37" s="1"/>
      <c r="Y37" s="1"/>
      <c r="Z37" s="1"/>
    </row>
    <row r="38" ht="18.0" customHeight="1">
      <c r="A38" s="1"/>
      <c r="B38" s="137" t="s">
        <v>44</v>
      </c>
      <c r="C38" s="49"/>
      <c r="D38" s="93">
        <f>SUMIF(N12:N131,B38,O12:O131)</f>
        <v>125</v>
      </c>
      <c r="E38" s="95"/>
      <c r="F38" s="1"/>
      <c r="G38" s="1"/>
      <c r="H38" s="90"/>
      <c r="I38" s="95"/>
      <c r="J38" s="96">
        <v>27.0</v>
      </c>
      <c r="K38" s="115"/>
      <c r="L38" s="116"/>
      <c r="M38" s="116"/>
      <c r="N38" s="116"/>
      <c r="O38" s="117"/>
      <c r="P38" s="118">
        <v>1.0</v>
      </c>
      <c r="Q38" s="27">
        <f t="shared" si="2"/>
        <v>0</v>
      </c>
      <c r="R38" s="112"/>
      <c r="S38" s="96"/>
      <c r="T38" s="95"/>
      <c r="U38" s="1"/>
      <c r="V38" s="1"/>
      <c r="W38" s="1"/>
      <c r="X38" s="1"/>
      <c r="Y38" s="1"/>
      <c r="Z38" s="1"/>
    </row>
    <row r="39" ht="18.0" customHeight="1">
      <c r="A39" s="1"/>
      <c r="B39" s="137" t="s">
        <v>28</v>
      </c>
      <c r="C39" s="18"/>
      <c r="D39" s="105">
        <f>SUMIF(N12:N131,B39,O12:O131)</f>
        <v>65</v>
      </c>
      <c r="E39" s="95"/>
      <c r="F39" s="1"/>
      <c r="G39" s="1"/>
      <c r="H39" s="90"/>
      <c r="I39" s="95"/>
      <c r="J39" s="96">
        <v>28.0</v>
      </c>
      <c r="K39" s="108"/>
      <c r="L39" s="109"/>
      <c r="M39" s="109"/>
      <c r="N39" s="109"/>
      <c r="O39" s="110"/>
      <c r="P39" s="111">
        <v>1.0</v>
      </c>
      <c r="Q39" s="27">
        <f t="shared" si="2"/>
        <v>0</v>
      </c>
      <c r="R39" s="112"/>
      <c r="S39" s="113"/>
      <c r="T39" s="95"/>
      <c r="U39" s="1"/>
      <c r="V39" s="1"/>
      <c r="W39" s="1"/>
      <c r="X39" s="1"/>
      <c r="Y39" s="1"/>
      <c r="Z39" s="1"/>
    </row>
    <row r="40" ht="18.0" customHeight="1">
      <c r="A40" s="1"/>
      <c r="B40" s="137" t="s">
        <v>30</v>
      </c>
      <c r="C40" s="49"/>
      <c r="D40" s="93">
        <f>SUMIF(N12:N131,B40,O12:O131)</f>
        <v>0</v>
      </c>
      <c r="E40" s="95"/>
      <c r="F40" s="1"/>
      <c r="G40" s="1"/>
      <c r="H40" s="90"/>
      <c r="I40" s="95"/>
      <c r="J40" s="96">
        <v>29.0</v>
      </c>
      <c r="K40" s="115"/>
      <c r="L40" s="116"/>
      <c r="M40" s="116"/>
      <c r="N40" s="116"/>
      <c r="O40" s="117"/>
      <c r="P40" s="118">
        <v>1.0</v>
      </c>
      <c r="Q40" s="27">
        <f t="shared" si="2"/>
        <v>0</v>
      </c>
      <c r="R40" s="112"/>
      <c r="S40" s="96"/>
      <c r="T40" s="95"/>
      <c r="U40" s="1"/>
      <c r="V40" s="1"/>
      <c r="W40" s="1"/>
      <c r="X40" s="1"/>
      <c r="Y40" s="1"/>
      <c r="Z40" s="1"/>
    </row>
    <row r="41" ht="19.5" customHeight="1">
      <c r="A41" s="1"/>
      <c r="B41" s="138" t="s">
        <v>45</v>
      </c>
      <c r="C41" s="139"/>
      <c r="D41" s="140">
        <f>SUM(D30:D40)</f>
        <v>276.87</v>
      </c>
      <c r="E41" s="95"/>
      <c r="F41" s="1"/>
      <c r="G41" s="1"/>
      <c r="H41" s="90"/>
      <c r="I41" s="95"/>
      <c r="J41" s="96">
        <v>30.0</v>
      </c>
      <c r="K41" s="108"/>
      <c r="L41" s="109"/>
      <c r="M41" s="109"/>
      <c r="N41" s="109"/>
      <c r="O41" s="110"/>
      <c r="P41" s="111">
        <v>1.0</v>
      </c>
      <c r="Q41" s="27">
        <f t="shared" si="2"/>
        <v>0</v>
      </c>
      <c r="R41" s="112"/>
      <c r="S41" s="113"/>
      <c r="T41" s="95"/>
      <c r="U41" s="1"/>
      <c r="V41" s="1"/>
      <c r="W41" s="1"/>
      <c r="X41" s="1"/>
      <c r="Y41" s="1"/>
      <c r="Z41" s="1"/>
    </row>
    <row r="42" ht="7.5" customHeight="1">
      <c r="A42" s="1"/>
      <c r="B42" s="141"/>
      <c r="C42" s="3"/>
      <c r="D42" s="3"/>
      <c r="E42" s="3"/>
      <c r="F42" s="3"/>
      <c r="G42" s="4"/>
      <c r="H42" s="90"/>
      <c r="I42" s="95"/>
      <c r="J42" s="96">
        <v>31.0</v>
      </c>
      <c r="K42" s="115"/>
      <c r="L42" s="116"/>
      <c r="M42" s="116"/>
      <c r="N42" s="116"/>
      <c r="O42" s="117"/>
      <c r="P42" s="118">
        <v>1.0</v>
      </c>
      <c r="Q42" s="27">
        <f t="shared" si="2"/>
        <v>0</v>
      </c>
      <c r="R42" s="112"/>
      <c r="S42" s="96"/>
      <c r="T42" s="95"/>
      <c r="U42" s="1"/>
      <c r="V42" s="1"/>
      <c r="W42" s="1"/>
      <c r="X42" s="1"/>
      <c r="Y42" s="1"/>
      <c r="Z42" s="1"/>
    </row>
    <row r="43" ht="19.5" customHeight="1">
      <c r="A43" s="1"/>
      <c r="B43" s="142" t="s">
        <v>46</v>
      </c>
      <c r="C43" s="143"/>
      <c r="D43" s="143"/>
      <c r="E43" s="143"/>
      <c r="F43" s="143"/>
      <c r="G43" s="143"/>
      <c r="H43" s="90"/>
      <c r="I43" s="95"/>
      <c r="J43" s="96">
        <v>32.0</v>
      </c>
      <c r="K43" s="108"/>
      <c r="L43" s="109"/>
      <c r="M43" s="109"/>
      <c r="N43" s="109"/>
      <c r="O43" s="110"/>
      <c r="P43" s="111">
        <v>1.0</v>
      </c>
      <c r="Q43" s="27">
        <f t="shared" si="2"/>
        <v>0</v>
      </c>
      <c r="R43" s="112"/>
      <c r="S43" s="113"/>
      <c r="T43" s="95"/>
      <c r="U43" s="1"/>
      <c r="V43" s="1"/>
      <c r="W43" s="1"/>
      <c r="X43" s="1"/>
      <c r="Y43" s="1"/>
      <c r="Z43" s="1"/>
    </row>
    <row r="44" ht="19.5" customHeight="1">
      <c r="A44" s="1"/>
      <c r="B44" s="144" t="s">
        <v>163</v>
      </c>
      <c r="C44" s="144"/>
      <c r="D44" s="144" t="s">
        <v>164</v>
      </c>
      <c r="E44" s="136"/>
      <c r="F44" s="144" t="s">
        <v>165</v>
      </c>
      <c r="G44" s="144"/>
      <c r="H44" s="90"/>
      <c r="I44" s="95"/>
      <c r="J44" s="96">
        <v>33.0</v>
      </c>
      <c r="K44" s="115"/>
      <c r="L44" s="116"/>
      <c r="M44" s="116"/>
      <c r="N44" s="116"/>
      <c r="O44" s="117"/>
      <c r="P44" s="118">
        <v>1.0</v>
      </c>
      <c r="Q44" s="27">
        <f t="shared" si="2"/>
        <v>0</v>
      </c>
      <c r="R44" s="112"/>
      <c r="S44" s="96"/>
      <c r="T44" s="95"/>
      <c r="U44" s="1"/>
      <c r="V44" s="1"/>
      <c r="W44" s="1"/>
      <c r="X44" s="1"/>
      <c r="Y44" s="1"/>
      <c r="Z44" s="1"/>
    </row>
    <row r="45" ht="18.0" customHeight="1">
      <c r="A45" s="1"/>
      <c r="B45" s="145" t="s">
        <v>47</v>
      </c>
      <c r="C45" s="49"/>
      <c r="D45" s="84">
        <v>0.0</v>
      </c>
      <c r="E45" s="95"/>
      <c r="F45" s="93">
        <f>'May 2028'!F45+D45</f>
        <v>300</v>
      </c>
      <c r="G45" s="49"/>
      <c r="H45" s="90"/>
      <c r="I45" s="95"/>
      <c r="J45" s="96">
        <v>34.0</v>
      </c>
      <c r="K45" s="108"/>
      <c r="L45" s="109"/>
      <c r="M45" s="109"/>
      <c r="N45" s="109"/>
      <c r="O45" s="110"/>
      <c r="P45" s="111">
        <v>1.0</v>
      </c>
      <c r="Q45" s="27">
        <f t="shared" si="2"/>
        <v>0</v>
      </c>
      <c r="R45" s="112"/>
      <c r="S45" s="113"/>
      <c r="T45" s="95"/>
      <c r="U45" s="1"/>
      <c r="V45" s="1"/>
      <c r="W45" s="1"/>
      <c r="X45" s="1"/>
      <c r="Y45" s="1"/>
      <c r="Z45" s="1"/>
    </row>
    <row r="46" ht="18.0" customHeight="1">
      <c r="A46" s="1"/>
      <c r="B46" s="145" t="s">
        <v>48</v>
      </c>
      <c r="C46" s="49"/>
      <c r="D46" s="84">
        <v>0.0</v>
      </c>
      <c r="E46" s="95"/>
      <c r="F46" s="82"/>
      <c r="G46" s="49"/>
      <c r="H46" s="90"/>
      <c r="I46" s="95"/>
      <c r="J46" s="96">
        <v>35.0</v>
      </c>
      <c r="K46" s="115"/>
      <c r="L46" s="116"/>
      <c r="M46" s="116"/>
      <c r="N46" s="116"/>
      <c r="O46" s="117"/>
      <c r="P46" s="118">
        <v>1.0</v>
      </c>
      <c r="Q46" s="27">
        <f t="shared" si="2"/>
        <v>0</v>
      </c>
      <c r="R46" s="112"/>
      <c r="S46" s="96"/>
      <c r="T46" s="95"/>
      <c r="U46" s="1"/>
      <c r="V46" s="1"/>
      <c r="W46" s="1"/>
      <c r="X46" s="1"/>
      <c r="Y46" s="1"/>
      <c r="Z46" s="1"/>
    </row>
    <row r="47" ht="19.5" customHeight="1">
      <c r="A47" s="1"/>
      <c r="B47" s="146" t="s">
        <v>169</v>
      </c>
      <c r="C47" s="23"/>
      <c r="D47" s="23"/>
      <c r="E47" s="23"/>
      <c r="F47" s="23"/>
      <c r="G47" s="23"/>
      <c r="H47" s="90"/>
      <c r="I47" s="95"/>
      <c r="J47" s="96">
        <v>36.0</v>
      </c>
      <c r="K47" s="108"/>
      <c r="L47" s="109"/>
      <c r="M47" s="109"/>
      <c r="N47" s="109"/>
      <c r="O47" s="110"/>
      <c r="P47" s="111">
        <v>1.0</v>
      </c>
      <c r="Q47" s="27">
        <f t="shared" si="2"/>
        <v>0</v>
      </c>
      <c r="R47" s="112"/>
      <c r="S47" s="113"/>
      <c r="T47" s="95"/>
      <c r="U47" s="1"/>
      <c r="V47" s="1"/>
      <c r="W47" s="1"/>
      <c r="X47" s="1"/>
      <c r="Y47" s="1"/>
      <c r="Z47" s="1"/>
    </row>
    <row r="48" ht="19.5" customHeight="1">
      <c r="A48" s="1"/>
      <c r="B48" s="147" t="s">
        <v>171</v>
      </c>
      <c r="C48" s="147"/>
      <c r="D48" s="147" t="s">
        <v>164</v>
      </c>
      <c r="E48" s="136"/>
      <c r="F48" s="147" t="s">
        <v>172</v>
      </c>
      <c r="G48" s="147"/>
      <c r="H48" s="90"/>
      <c r="I48" s="95"/>
      <c r="J48" s="96">
        <v>37.0</v>
      </c>
      <c r="K48" s="115"/>
      <c r="L48" s="116"/>
      <c r="M48" s="116"/>
      <c r="N48" s="116"/>
      <c r="O48" s="117"/>
      <c r="P48" s="118">
        <v>1.0</v>
      </c>
      <c r="Q48" s="27">
        <f t="shared" si="2"/>
        <v>0</v>
      </c>
      <c r="R48" s="112"/>
      <c r="S48" s="96"/>
      <c r="T48" s="95"/>
      <c r="U48" s="1"/>
      <c r="V48" s="1"/>
      <c r="W48" s="1"/>
      <c r="X48" s="1"/>
      <c r="Y48" s="1"/>
      <c r="Z48" s="1"/>
    </row>
    <row r="49" ht="18.0" customHeight="1">
      <c r="A49" s="1"/>
      <c r="B49" s="145" t="s">
        <v>174</v>
      </c>
      <c r="C49" s="49"/>
      <c r="D49" s="84">
        <v>120.0</v>
      </c>
      <c r="E49" s="95"/>
      <c r="F49" s="93">
        <f>'May 2028'!F49+D49</f>
        <v>4440</v>
      </c>
      <c r="G49" s="49"/>
      <c r="H49" s="90"/>
      <c r="I49" s="95"/>
      <c r="J49" s="96">
        <v>38.0</v>
      </c>
      <c r="K49" s="108"/>
      <c r="L49" s="109"/>
      <c r="M49" s="109"/>
      <c r="N49" s="109"/>
      <c r="O49" s="110"/>
      <c r="P49" s="111">
        <v>1.0</v>
      </c>
      <c r="Q49" s="27">
        <f t="shared" si="2"/>
        <v>0</v>
      </c>
      <c r="R49" s="112"/>
      <c r="S49" s="113"/>
      <c r="T49" s="95"/>
      <c r="U49" s="1"/>
      <c r="V49" s="1"/>
      <c r="W49" s="1"/>
      <c r="X49" s="1"/>
      <c r="Y49" s="1"/>
      <c r="Z49" s="1"/>
    </row>
    <row r="50" ht="18.0" customHeight="1">
      <c r="A50" s="1"/>
      <c r="B50" s="145" t="s">
        <v>176</v>
      </c>
      <c r="C50" s="18"/>
      <c r="D50" s="84">
        <v>200.0</v>
      </c>
      <c r="E50" s="95"/>
      <c r="F50" s="105">
        <f>'May 2028'!F50+D50</f>
        <v>9050</v>
      </c>
      <c r="G50" s="18"/>
      <c r="H50" s="90"/>
      <c r="I50" s="95"/>
      <c r="J50" s="96">
        <v>39.0</v>
      </c>
      <c r="K50" s="115"/>
      <c r="L50" s="116"/>
      <c r="M50" s="116"/>
      <c r="N50" s="116"/>
      <c r="O50" s="117"/>
      <c r="P50" s="118">
        <v>1.0</v>
      </c>
      <c r="Q50" s="27">
        <f t="shared" si="2"/>
        <v>0</v>
      </c>
      <c r="R50" s="112"/>
      <c r="S50" s="96"/>
      <c r="T50" s="95"/>
      <c r="U50" s="1"/>
      <c r="V50" s="1"/>
      <c r="W50" s="1"/>
      <c r="X50" s="1"/>
      <c r="Y50" s="1"/>
      <c r="Z50" s="1"/>
    </row>
    <row r="51" ht="18.0" customHeight="1">
      <c r="A51" s="1"/>
      <c r="B51" s="145" t="s">
        <v>178</v>
      </c>
      <c r="C51" s="49"/>
      <c r="D51" s="84">
        <v>400.0</v>
      </c>
      <c r="E51" s="95"/>
      <c r="F51" s="93">
        <f>'May 2028'!F51+D51</f>
        <v>12800</v>
      </c>
      <c r="G51" s="49"/>
      <c r="H51" s="90"/>
      <c r="I51" s="95"/>
      <c r="J51" s="96">
        <v>40.0</v>
      </c>
      <c r="K51" s="108"/>
      <c r="L51" s="109"/>
      <c r="M51" s="109"/>
      <c r="N51" s="109"/>
      <c r="O51" s="110"/>
      <c r="P51" s="111">
        <v>1.0</v>
      </c>
      <c r="Q51" s="27">
        <f t="shared" si="2"/>
        <v>0</v>
      </c>
      <c r="R51" s="112"/>
      <c r="S51" s="113"/>
      <c r="T51" s="95"/>
      <c r="U51" s="1"/>
      <c r="V51" s="1"/>
      <c r="W51" s="1"/>
      <c r="X51" s="1"/>
      <c r="Y51" s="1"/>
      <c r="Z51" s="1"/>
    </row>
    <row r="52" ht="18.0" customHeight="1">
      <c r="A52" s="1"/>
      <c r="B52" s="145" t="s">
        <v>180</v>
      </c>
      <c r="C52" s="18"/>
      <c r="D52" s="84">
        <v>140.0</v>
      </c>
      <c r="E52" s="95"/>
      <c r="F52" s="105">
        <f>'May 2028'!F52+D52</f>
        <v>7166.75</v>
      </c>
      <c r="G52" s="18"/>
      <c r="H52" s="90"/>
      <c r="I52" s="95"/>
      <c r="J52" s="96">
        <v>41.0</v>
      </c>
      <c r="K52" s="115"/>
      <c r="L52" s="116"/>
      <c r="M52" s="116"/>
      <c r="N52" s="116"/>
      <c r="O52" s="117"/>
      <c r="P52" s="118">
        <v>1.0</v>
      </c>
      <c r="Q52" s="27">
        <f t="shared" si="2"/>
        <v>0</v>
      </c>
      <c r="R52" s="112"/>
      <c r="S52" s="96"/>
      <c r="T52" s="95"/>
      <c r="U52" s="1"/>
      <c r="V52" s="1"/>
      <c r="W52" s="1"/>
      <c r="X52" s="1"/>
      <c r="Y52" s="1"/>
      <c r="Z52" s="1"/>
    </row>
    <row r="53" ht="19.5" customHeight="1">
      <c r="A53" s="1"/>
      <c r="B53" s="148" t="s">
        <v>182</v>
      </c>
      <c r="C53" s="149"/>
      <c r="D53" s="150">
        <f>SUM(D49:D52)</f>
        <v>860</v>
      </c>
      <c r="E53" s="95"/>
      <c r="F53" s="150">
        <f>SUM(F49:F52)</f>
        <v>33456.75</v>
      </c>
      <c r="G53" s="149"/>
      <c r="H53" s="90"/>
      <c r="I53" s="95"/>
      <c r="J53" s="96">
        <v>42.0</v>
      </c>
      <c r="K53" s="108"/>
      <c r="L53" s="109"/>
      <c r="M53" s="109"/>
      <c r="N53" s="109"/>
      <c r="O53" s="110"/>
      <c r="P53" s="111">
        <v>1.0</v>
      </c>
      <c r="Q53" s="27">
        <f t="shared" si="2"/>
        <v>0</v>
      </c>
      <c r="R53" s="112"/>
      <c r="S53" s="113"/>
      <c r="T53" s="95"/>
      <c r="U53" s="1"/>
      <c r="V53" s="1"/>
      <c r="W53" s="1"/>
      <c r="X53" s="1"/>
      <c r="Y53" s="1"/>
      <c r="Z53" s="1"/>
    </row>
    <row r="54" ht="19.5" customHeight="1">
      <c r="A54" s="1"/>
      <c r="B54" s="148" t="s">
        <v>54</v>
      </c>
      <c r="C54" s="149"/>
      <c r="D54" s="150">
        <f>D45+D46</f>
        <v>0</v>
      </c>
      <c r="E54" s="95"/>
      <c r="F54" s="149"/>
      <c r="G54" s="149"/>
      <c r="H54" s="90"/>
      <c r="I54" s="95"/>
      <c r="J54" s="96">
        <v>43.0</v>
      </c>
      <c r="K54" s="115"/>
      <c r="L54" s="116"/>
      <c r="M54" s="116"/>
      <c r="N54" s="116"/>
      <c r="O54" s="117"/>
      <c r="P54" s="118">
        <v>1.0</v>
      </c>
      <c r="Q54" s="27">
        <f t="shared" si="2"/>
        <v>0</v>
      </c>
      <c r="R54" s="112"/>
      <c r="S54" s="96"/>
      <c r="T54" s="95"/>
      <c r="U54" s="1"/>
      <c r="V54" s="1"/>
      <c r="W54" s="1"/>
      <c r="X54" s="1"/>
      <c r="Y54" s="1"/>
      <c r="Z54" s="1"/>
    </row>
    <row r="55" ht="7.5" customHeight="1">
      <c r="A55" s="1"/>
      <c r="B55" s="141"/>
      <c r="C55" s="3"/>
      <c r="D55" s="3"/>
      <c r="E55" s="4"/>
      <c r="F55" s="90"/>
      <c r="G55" s="90"/>
      <c r="H55" s="90"/>
      <c r="I55" s="95"/>
      <c r="J55" s="96">
        <v>44.0</v>
      </c>
      <c r="K55" s="108"/>
      <c r="L55" s="109"/>
      <c r="M55" s="109"/>
      <c r="N55" s="109"/>
      <c r="O55" s="110"/>
      <c r="P55" s="111">
        <v>1.0</v>
      </c>
      <c r="Q55" s="27">
        <f t="shared" si="2"/>
        <v>0</v>
      </c>
      <c r="R55" s="112"/>
      <c r="S55" s="113"/>
      <c r="T55" s="95"/>
      <c r="U55" s="1"/>
      <c r="V55" s="1"/>
      <c r="W55" s="1"/>
      <c r="X55" s="1"/>
      <c r="Y55" s="1"/>
      <c r="Z55" s="1"/>
    </row>
    <row r="56" ht="19.5" customHeight="1">
      <c r="A56" s="1"/>
      <c r="B56" s="151" t="s">
        <v>185</v>
      </c>
      <c r="C56" s="143"/>
      <c r="D56" s="143"/>
      <c r="E56" s="143"/>
      <c r="F56" s="152"/>
      <c r="G56" s="152"/>
      <c r="H56" s="90"/>
      <c r="I56" s="95"/>
      <c r="J56" s="96">
        <v>45.0</v>
      </c>
      <c r="K56" s="115"/>
      <c r="L56" s="116"/>
      <c r="M56" s="116"/>
      <c r="N56" s="116"/>
      <c r="O56" s="117"/>
      <c r="P56" s="118">
        <v>1.0</v>
      </c>
      <c r="Q56" s="27">
        <f t="shared" si="2"/>
        <v>0</v>
      </c>
      <c r="R56" s="112"/>
      <c r="S56" s="96"/>
      <c r="T56" s="95"/>
      <c r="U56" s="1"/>
      <c r="V56" s="1"/>
      <c r="W56" s="1"/>
      <c r="X56" s="1"/>
      <c r="Y56" s="1"/>
      <c r="Z56" s="1"/>
    </row>
    <row r="57" ht="18.0" customHeight="1">
      <c r="A57" s="1"/>
      <c r="B57" s="153" t="s">
        <v>15</v>
      </c>
      <c r="C57" s="154"/>
      <c r="D57" s="155">
        <f>H8</f>
        <v>24016.47</v>
      </c>
      <c r="E57" s="95"/>
      <c r="F57" s="1"/>
      <c r="G57" s="1"/>
      <c r="H57" s="90"/>
      <c r="I57" s="95"/>
      <c r="J57" s="96">
        <v>46.0</v>
      </c>
      <c r="K57" s="108"/>
      <c r="L57" s="109"/>
      <c r="M57" s="109"/>
      <c r="N57" s="109"/>
      <c r="O57" s="110"/>
      <c r="P57" s="111">
        <v>1.0</v>
      </c>
      <c r="Q57" s="27">
        <f t="shared" si="2"/>
        <v>0</v>
      </c>
      <c r="R57" s="112"/>
      <c r="S57" s="113"/>
      <c r="T57" s="95"/>
      <c r="U57" s="1"/>
      <c r="V57" s="1"/>
      <c r="W57" s="1"/>
      <c r="X57" s="1"/>
      <c r="Y57" s="1"/>
      <c r="Z57" s="1"/>
    </row>
    <row r="58" ht="18.0" customHeight="1">
      <c r="A58" s="1"/>
      <c r="B58" s="92" t="s">
        <v>17</v>
      </c>
      <c r="C58" s="49"/>
      <c r="D58" s="93">
        <f>D7*H7</f>
        <v>1110.7</v>
      </c>
      <c r="E58" s="95"/>
      <c r="F58" s="1"/>
      <c r="G58" s="1"/>
      <c r="H58" s="90"/>
      <c r="I58" s="95"/>
      <c r="J58" s="96">
        <v>47.0</v>
      </c>
      <c r="K58" s="115"/>
      <c r="L58" s="116"/>
      <c r="M58" s="116"/>
      <c r="N58" s="116"/>
      <c r="O58" s="117"/>
      <c r="P58" s="118">
        <v>1.0</v>
      </c>
      <c r="Q58" s="27">
        <f t="shared" si="2"/>
        <v>0</v>
      </c>
      <c r="R58" s="112"/>
      <c r="S58" s="96"/>
      <c r="T58" s="95"/>
      <c r="U58" s="1"/>
      <c r="V58" s="1"/>
      <c r="W58" s="1"/>
      <c r="X58" s="1"/>
      <c r="Y58" s="1"/>
      <c r="Z58" s="1"/>
    </row>
    <row r="59" ht="18.0" customHeight="1">
      <c r="A59" s="1"/>
      <c r="B59" s="92" t="s">
        <v>189</v>
      </c>
      <c r="C59" s="49"/>
      <c r="D59" s="93">
        <f>SUMPRODUCT((N12:N131&lt;&gt;"")*O12:O131*(1-P12:P131))</f>
        <v>20.625</v>
      </c>
      <c r="E59" s="95"/>
      <c r="F59" s="1"/>
      <c r="G59" s="1"/>
      <c r="H59" s="90"/>
      <c r="I59" s="95"/>
      <c r="J59" s="96">
        <v>48.0</v>
      </c>
      <c r="K59" s="108"/>
      <c r="L59" s="109"/>
      <c r="M59" s="109"/>
      <c r="N59" s="109"/>
      <c r="O59" s="110"/>
      <c r="P59" s="111">
        <v>1.0</v>
      </c>
      <c r="Q59" s="27">
        <f t="shared" si="2"/>
        <v>0</v>
      </c>
      <c r="R59" s="112"/>
      <c r="S59" s="113"/>
      <c r="T59" s="95"/>
      <c r="U59" s="1"/>
      <c r="V59" s="1"/>
      <c r="W59" s="1"/>
      <c r="X59" s="1"/>
      <c r="Y59" s="1"/>
      <c r="Z59" s="1"/>
    </row>
    <row r="60" ht="19.5" customHeight="1">
      <c r="A60" s="1"/>
      <c r="B60" s="157" t="s">
        <v>192</v>
      </c>
      <c r="C60" s="158"/>
      <c r="D60" s="159">
        <f>MAX(D7*H7-SUMPRODUCT((N12:N131&lt;&gt;"")*O12:O131*(1-P12:P131))+SUMPRODUCT((N12:N131="")*(O12:O131&gt;0)*Q12:Q131),0)</f>
        <v>1175.075</v>
      </c>
      <c r="E60" s="95"/>
      <c r="F60" s="1"/>
      <c r="G60" s="1"/>
      <c r="H60" s="90"/>
      <c r="I60" s="95"/>
      <c r="J60" s="96">
        <v>49.0</v>
      </c>
      <c r="K60" s="115"/>
      <c r="L60" s="116"/>
      <c r="M60" s="116"/>
      <c r="N60" s="116"/>
      <c r="O60" s="117"/>
      <c r="P60" s="118">
        <v>1.0</v>
      </c>
      <c r="Q60" s="27">
        <f t="shared" si="2"/>
        <v>0</v>
      </c>
      <c r="R60" s="112"/>
      <c r="S60" s="96"/>
      <c r="T60" s="95"/>
      <c r="U60" s="1"/>
      <c r="V60" s="1"/>
      <c r="W60" s="1"/>
      <c r="X60" s="1"/>
      <c r="Y60" s="1"/>
      <c r="Z60" s="1"/>
    </row>
    <row r="61" ht="7.5" customHeight="1">
      <c r="A61" s="1"/>
      <c r="B61" s="134"/>
      <c r="C61" s="90"/>
      <c r="D61" s="156"/>
      <c r="E61" s="90"/>
      <c r="F61" s="90"/>
      <c r="G61" s="90"/>
      <c r="H61" s="90"/>
      <c r="I61" s="95"/>
      <c r="J61" s="96">
        <v>50.0</v>
      </c>
      <c r="K61" s="108"/>
      <c r="L61" s="109"/>
      <c r="M61" s="109"/>
      <c r="N61" s="109"/>
      <c r="O61" s="110"/>
      <c r="P61" s="111">
        <v>1.0</v>
      </c>
      <c r="Q61" s="27">
        <f t="shared" si="2"/>
        <v>0</v>
      </c>
      <c r="R61" s="112"/>
      <c r="S61" s="113"/>
      <c r="T61" s="95"/>
      <c r="U61" s="1"/>
      <c r="V61" s="1"/>
      <c r="W61" s="1"/>
      <c r="X61" s="1"/>
      <c r="Y61" s="1"/>
      <c r="Z61" s="1"/>
    </row>
    <row r="62" ht="18.0" customHeight="1">
      <c r="A62" s="1"/>
      <c r="B62" s="92" t="s">
        <v>194</v>
      </c>
      <c r="C62" s="49"/>
      <c r="D62" s="93">
        <f>D41</f>
        <v>276.87</v>
      </c>
      <c r="E62" s="95"/>
      <c r="F62" s="1"/>
      <c r="G62" s="1"/>
      <c r="H62" s="90"/>
      <c r="I62" s="95"/>
      <c r="J62" s="96">
        <v>51.0</v>
      </c>
      <c r="K62" s="115"/>
      <c r="L62" s="116"/>
      <c r="M62" s="116"/>
      <c r="N62" s="116"/>
      <c r="O62" s="117"/>
      <c r="P62" s="118">
        <v>1.0</v>
      </c>
      <c r="Q62" s="27">
        <f t="shared" si="2"/>
        <v>0</v>
      </c>
      <c r="R62" s="112"/>
      <c r="S62" s="96"/>
      <c r="T62" s="95"/>
      <c r="U62" s="1"/>
      <c r="V62" s="1"/>
      <c r="W62" s="1"/>
      <c r="X62" s="1"/>
      <c r="Y62" s="1"/>
      <c r="Z62" s="1"/>
    </row>
    <row r="63" ht="18.0" customHeight="1">
      <c r="A63" s="1"/>
      <c r="B63" s="160" t="s">
        <v>54</v>
      </c>
      <c r="C63" s="58"/>
      <c r="D63" s="161">
        <f>D45+D46</f>
        <v>0</v>
      </c>
      <c r="E63" s="95"/>
      <c r="F63" s="1"/>
      <c r="G63" s="1"/>
      <c r="H63" s="90"/>
      <c r="I63" s="95"/>
      <c r="J63" s="96">
        <v>52.0</v>
      </c>
      <c r="K63" s="108"/>
      <c r="L63" s="109"/>
      <c r="M63" s="109"/>
      <c r="N63" s="109"/>
      <c r="O63" s="110"/>
      <c r="P63" s="111">
        <v>1.0</v>
      </c>
      <c r="Q63" s="27">
        <f t="shared" si="2"/>
        <v>0</v>
      </c>
      <c r="R63" s="112"/>
      <c r="S63" s="113"/>
      <c r="T63" s="95"/>
      <c r="U63" s="1"/>
      <c r="V63" s="1"/>
      <c r="W63" s="1"/>
      <c r="X63" s="1"/>
      <c r="Y63" s="1"/>
      <c r="Z63" s="1"/>
    </row>
    <row r="64" ht="19.5" customHeight="1">
      <c r="A64" s="1"/>
      <c r="B64" s="162" t="s">
        <v>62</v>
      </c>
      <c r="C64" s="163"/>
      <c r="D64" s="164">
        <f>D60+D62+D63</f>
        <v>1451.945</v>
      </c>
      <c r="E64" s="95"/>
      <c r="F64" s="1"/>
      <c r="G64" s="1"/>
      <c r="H64" s="90"/>
      <c r="I64" s="95"/>
      <c r="J64" s="96">
        <v>53.0</v>
      </c>
      <c r="K64" s="115"/>
      <c r="L64" s="116"/>
      <c r="M64" s="116"/>
      <c r="N64" s="116"/>
      <c r="O64" s="117"/>
      <c r="P64" s="118">
        <v>1.0</v>
      </c>
      <c r="Q64" s="27">
        <f t="shared" si="2"/>
        <v>0</v>
      </c>
      <c r="R64" s="112"/>
      <c r="S64" s="96"/>
      <c r="T64" s="95"/>
      <c r="U64" s="1"/>
      <c r="V64" s="1"/>
      <c r="W64" s="1"/>
      <c r="X64" s="1"/>
      <c r="Y64" s="1"/>
      <c r="Z64" s="1"/>
    </row>
    <row r="65" ht="19.5" customHeight="1">
      <c r="A65" s="1"/>
      <c r="B65" s="153" t="s">
        <v>74</v>
      </c>
      <c r="C65" s="154"/>
      <c r="D65" s="155">
        <f>H8-D64</f>
        <v>22564.525</v>
      </c>
      <c r="E65" s="95"/>
      <c r="F65" s="1"/>
      <c r="G65" s="1"/>
      <c r="H65" s="90"/>
      <c r="I65" s="95"/>
      <c r="J65" s="96">
        <v>54.0</v>
      </c>
      <c r="K65" s="108"/>
      <c r="L65" s="109"/>
      <c r="M65" s="109"/>
      <c r="N65" s="109"/>
      <c r="O65" s="110"/>
      <c r="P65" s="111">
        <v>1.0</v>
      </c>
      <c r="Q65" s="27">
        <f t="shared" si="2"/>
        <v>0</v>
      </c>
      <c r="R65" s="112"/>
      <c r="S65" s="113"/>
      <c r="T65" s="95"/>
      <c r="U65" s="1"/>
      <c r="V65" s="1"/>
      <c r="W65" s="1"/>
      <c r="X65" s="1"/>
      <c r="Y65" s="1"/>
      <c r="Z65" s="1"/>
    </row>
    <row r="66" ht="7.5" customHeight="1">
      <c r="A66" s="1"/>
      <c r="B66" s="141"/>
      <c r="C66" s="3"/>
      <c r="D66" s="3"/>
      <c r="E66" s="4"/>
      <c r="F66" s="90"/>
      <c r="G66" s="90"/>
      <c r="H66" s="90"/>
      <c r="I66" s="95"/>
      <c r="J66" s="96">
        <v>55.0</v>
      </c>
      <c r="K66" s="115"/>
      <c r="L66" s="116"/>
      <c r="M66" s="116"/>
      <c r="N66" s="116"/>
      <c r="O66" s="117"/>
      <c r="P66" s="118">
        <v>1.0</v>
      </c>
      <c r="Q66" s="27">
        <f t="shared" si="2"/>
        <v>0</v>
      </c>
      <c r="R66" s="112"/>
      <c r="S66" s="96"/>
      <c r="T66" s="95"/>
      <c r="U66" s="1"/>
      <c r="V66" s="1"/>
      <c r="W66" s="1"/>
      <c r="X66" s="1"/>
      <c r="Y66" s="1"/>
      <c r="Z66" s="1"/>
    </row>
    <row r="67" ht="19.5" customHeight="1">
      <c r="A67" s="1"/>
      <c r="B67" s="151" t="s">
        <v>200</v>
      </c>
      <c r="C67" s="143"/>
      <c r="D67" s="143"/>
      <c r="E67" s="143"/>
      <c r="F67" s="152"/>
      <c r="G67" s="152"/>
      <c r="H67" s="90"/>
      <c r="I67" s="95"/>
      <c r="J67" s="96">
        <v>56.0</v>
      </c>
      <c r="K67" s="108"/>
      <c r="L67" s="109"/>
      <c r="M67" s="109"/>
      <c r="N67" s="109"/>
      <c r="O67" s="110"/>
      <c r="P67" s="111">
        <v>1.0</v>
      </c>
      <c r="Q67" s="27">
        <f t="shared" si="2"/>
        <v>0</v>
      </c>
      <c r="R67" s="112"/>
      <c r="S67" s="113"/>
      <c r="T67" s="95"/>
      <c r="U67" s="1"/>
      <c r="V67" s="1"/>
      <c r="W67" s="1"/>
      <c r="X67" s="1"/>
      <c r="Y67" s="1"/>
      <c r="Z67" s="1"/>
    </row>
    <row r="68" ht="18.0" customHeight="1">
      <c r="A68" s="1"/>
      <c r="B68" s="92" t="s">
        <v>202</v>
      </c>
      <c r="C68" s="49"/>
      <c r="D68" s="93">
        <f>D7*(1-H7)</f>
        <v>1110.7</v>
      </c>
      <c r="E68" s="95"/>
      <c r="F68" s="1"/>
      <c r="G68" s="1"/>
      <c r="H68" s="90"/>
      <c r="I68" s="95"/>
      <c r="J68" s="96">
        <v>57.0</v>
      </c>
      <c r="K68" s="115"/>
      <c r="L68" s="116"/>
      <c r="M68" s="116"/>
      <c r="N68" s="116"/>
      <c r="O68" s="117"/>
      <c r="P68" s="118">
        <v>1.0</v>
      </c>
      <c r="Q68" s="27">
        <f t="shared" si="2"/>
        <v>0</v>
      </c>
      <c r="R68" s="112"/>
      <c r="S68" s="96"/>
      <c r="T68" s="95"/>
      <c r="U68" s="1"/>
      <c r="V68" s="1"/>
      <c r="W68" s="1"/>
      <c r="X68" s="1"/>
      <c r="Y68" s="1"/>
      <c r="Z68" s="1"/>
    </row>
    <row r="69" ht="18.0" customHeight="1">
      <c r="A69" s="1"/>
      <c r="B69" s="92" t="s">
        <v>204</v>
      </c>
      <c r="C69" s="49"/>
      <c r="D69" s="93">
        <f>SUMPRODUCT((N12:N131="")*(O12:O131&gt;0)*Q12:Q131)</f>
        <v>85</v>
      </c>
      <c r="E69" s="95"/>
      <c r="F69" s="1"/>
      <c r="G69" s="1"/>
      <c r="H69" s="90"/>
      <c r="I69" s="95"/>
      <c r="J69" s="96">
        <v>58.0</v>
      </c>
      <c r="K69" s="108"/>
      <c r="L69" s="109"/>
      <c r="M69" s="109"/>
      <c r="N69" s="109"/>
      <c r="O69" s="110"/>
      <c r="P69" s="111">
        <v>1.0</v>
      </c>
      <c r="Q69" s="27">
        <f t="shared" si="2"/>
        <v>0</v>
      </c>
      <c r="R69" s="112"/>
      <c r="S69" s="113"/>
      <c r="T69" s="95"/>
      <c r="U69" s="1"/>
      <c r="V69" s="1"/>
      <c r="W69" s="1"/>
      <c r="X69" s="1"/>
      <c r="Y69" s="1"/>
      <c r="Z69" s="1"/>
    </row>
    <row r="70" ht="18.0" customHeight="1">
      <c r="A70" s="1"/>
      <c r="B70" s="92" t="s">
        <v>189</v>
      </c>
      <c r="C70" s="49"/>
      <c r="D70" s="93">
        <f>SUMPRODUCT((N12:N131&lt;&gt;"")*O12:O131*(1-P12:P131))</f>
        <v>20.625</v>
      </c>
      <c r="E70" s="95"/>
      <c r="F70" s="1"/>
      <c r="G70" s="1"/>
      <c r="H70" s="90"/>
      <c r="I70" s="95"/>
      <c r="J70" s="96">
        <v>59.0</v>
      </c>
      <c r="K70" s="115"/>
      <c r="L70" s="116"/>
      <c r="M70" s="116"/>
      <c r="N70" s="116"/>
      <c r="O70" s="117"/>
      <c r="P70" s="118">
        <v>1.0</v>
      </c>
      <c r="Q70" s="27">
        <f t="shared" si="2"/>
        <v>0</v>
      </c>
      <c r="R70" s="112"/>
      <c r="S70" s="96"/>
      <c r="T70" s="95"/>
      <c r="U70" s="1"/>
      <c r="V70" s="1"/>
      <c r="W70" s="1"/>
      <c r="X70" s="1"/>
      <c r="Y70" s="1"/>
      <c r="Z70" s="1"/>
    </row>
    <row r="71" ht="19.5" customHeight="1">
      <c r="A71" s="1"/>
      <c r="B71" s="157" t="s">
        <v>209</v>
      </c>
      <c r="C71" s="158"/>
      <c r="D71" s="159">
        <f>MAX(D7*(1-H7)+SUMPRODUCT((N12:N131&lt;&gt;"")*O12:O131*(1-P12:P131))-SUMPRODUCT((N12:N131="")*(O12:O131&gt;0)*Q12:Q131),0)</f>
        <v>1046.325</v>
      </c>
      <c r="E71" s="95"/>
      <c r="F71" s="1"/>
      <c r="G71" s="1"/>
      <c r="H71" s="90"/>
      <c r="I71" s="95"/>
      <c r="J71" s="96">
        <v>60.0</v>
      </c>
      <c r="K71" s="108"/>
      <c r="L71" s="109"/>
      <c r="M71" s="109"/>
      <c r="N71" s="109"/>
      <c r="O71" s="110"/>
      <c r="P71" s="111">
        <v>1.0</v>
      </c>
      <c r="Q71" s="27">
        <f t="shared" si="2"/>
        <v>0</v>
      </c>
      <c r="R71" s="112"/>
      <c r="S71" s="113"/>
      <c r="T71" s="95"/>
      <c r="U71" s="1"/>
      <c r="V71" s="1"/>
      <c r="W71" s="1"/>
      <c r="X71" s="1"/>
      <c r="Y71" s="1"/>
      <c r="Z71" s="1"/>
    </row>
    <row r="72" ht="18.0" customHeight="1">
      <c r="A72" s="1"/>
      <c r="B72" s="157" t="s">
        <v>211</v>
      </c>
      <c r="C72" s="158"/>
      <c r="D72" s="159">
        <f>MAX(SUMPRODUCT((N12:N131="")*(O12:O131&gt;0)*Q12:Q131)-D7*(1-H7),0)</f>
        <v>0</v>
      </c>
      <c r="E72" s="95"/>
      <c r="F72" s="1"/>
      <c r="G72" s="1"/>
      <c r="H72" s="90"/>
      <c r="I72" s="95"/>
      <c r="J72" s="96">
        <v>61.0</v>
      </c>
      <c r="K72" s="115"/>
      <c r="L72" s="116"/>
      <c r="M72" s="116"/>
      <c r="N72" s="116"/>
      <c r="O72" s="117"/>
      <c r="P72" s="118">
        <v>1.0</v>
      </c>
      <c r="Q72" s="27">
        <f t="shared" si="2"/>
        <v>0</v>
      </c>
      <c r="R72" s="112"/>
      <c r="S72" s="96"/>
      <c r="T72" s="95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90"/>
      <c r="I73" s="95"/>
      <c r="J73" s="96">
        <v>62.0</v>
      </c>
      <c r="K73" s="108"/>
      <c r="L73" s="109"/>
      <c r="M73" s="109"/>
      <c r="N73" s="109"/>
      <c r="O73" s="110"/>
      <c r="P73" s="111">
        <v>1.0</v>
      </c>
      <c r="Q73" s="27">
        <f t="shared" si="2"/>
        <v>0</v>
      </c>
      <c r="R73" s="112"/>
      <c r="S73" s="113"/>
      <c r="T73" s="95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90"/>
      <c r="I74" s="95"/>
      <c r="J74" s="96">
        <v>63.0</v>
      </c>
      <c r="K74" s="115"/>
      <c r="L74" s="116"/>
      <c r="M74" s="116"/>
      <c r="N74" s="116"/>
      <c r="O74" s="117"/>
      <c r="P74" s="118">
        <v>1.0</v>
      </c>
      <c r="Q74" s="27">
        <f t="shared" si="2"/>
        <v>0</v>
      </c>
      <c r="R74" s="112"/>
      <c r="S74" s="96"/>
      <c r="T74" s="95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90"/>
      <c r="I75" s="95"/>
      <c r="J75" s="96">
        <v>64.0</v>
      </c>
      <c r="K75" s="108"/>
      <c r="L75" s="109"/>
      <c r="M75" s="109"/>
      <c r="N75" s="109"/>
      <c r="O75" s="110"/>
      <c r="P75" s="111">
        <v>1.0</v>
      </c>
      <c r="Q75" s="27">
        <f t="shared" si="2"/>
        <v>0</v>
      </c>
      <c r="R75" s="112"/>
      <c r="S75" s="113"/>
      <c r="T75" s="95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90"/>
      <c r="I76" s="95"/>
      <c r="J76" s="96">
        <v>65.0</v>
      </c>
      <c r="K76" s="115"/>
      <c r="L76" s="116"/>
      <c r="M76" s="116"/>
      <c r="N76" s="116"/>
      <c r="O76" s="117"/>
      <c r="P76" s="118">
        <v>1.0</v>
      </c>
      <c r="Q76" s="27">
        <f t="shared" si="2"/>
        <v>0</v>
      </c>
      <c r="R76" s="112"/>
      <c r="S76" s="96"/>
      <c r="T76" s="95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90"/>
      <c r="I77" s="95"/>
      <c r="J77" s="96">
        <v>66.0</v>
      </c>
      <c r="K77" s="108"/>
      <c r="L77" s="109"/>
      <c r="M77" s="109"/>
      <c r="N77" s="109"/>
      <c r="O77" s="110"/>
      <c r="P77" s="111">
        <v>1.0</v>
      </c>
      <c r="Q77" s="27">
        <f t="shared" si="2"/>
        <v>0</v>
      </c>
      <c r="R77" s="112"/>
      <c r="S77" s="113"/>
      <c r="T77" s="95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90"/>
      <c r="I78" s="95"/>
      <c r="J78" s="96">
        <v>67.0</v>
      </c>
      <c r="K78" s="115"/>
      <c r="L78" s="116"/>
      <c r="M78" s="116"/>
      <c r="N78" s="116"/>
      <c r="O78" s="117"/>
      <c r="P78" s="118">
        <v>1.0</v>
      </c>
      <c r="Q78" s="27">
        <f t="shared" si="2"/>
        <v>0</v>
      </c>
      <c r="R78" s="112"/>
      <c r="S78" s="96"/>
      <c r="T78" s="95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90"/>
      <c r="I79" s="95"/>
      <c r="J79" s="96">
        <v>68.0</v>
      </c>
      <c r="K79" s="108"/>
      <c r="L79" s="109"/>
      <c r="M79" s="109"/>
      <c r="N79" s="109"/>
      <c r="O79" s="110"/>
      <c r="P79" s="111">
        <v>1.0</v>
      </c>
      <c r="Q79" s="27">
        <f t="shared" si="2"/>
        <v>0</v>
      </c>
      <c r="R79" s="112"/>
      <c r="S79" s="113"/>
      <c r="T79" s="95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90"/>
      <c r="I80" s="95"/>
      <c r="J80" s="96">
        <v>69.0</v>
      </c>
      <c r="K80" s="115"/>
      <c r="L80" s="116"/>
      <c r="M80" s="116"/>
      <c r="N80" s="116"/>
      <c r="O80" s="117"/>
      <c r="P80" s="118">
        <v>1.0</v>
      </c>
      <c r="Q80" s="27">
        <f t="shared" si="2"/>
        <v>0</v>
      </c>
      <c r="R80" s="112"/>
      <c r="S80" s="96"/>
      <c r="T80" s="95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90"/>
      <c r="I81" s="95"/>
      <c r="J81" s="96">
        <v>70.0</v>
      </c>
      <c r="K81" s="108"/>
      <c r="L81" s="109"/>
      <c r="M81" s="109"/>
      <c r="N81" s="109"/>
      <c r="O81" s="110"/>
      <c r="P81" s="111">
        <v>1.0</v>
      </c>
      <c r="Q81" s="27">
        <f t="shared" si="2"/>
        <v>0</v>
      </c>
      <c r="R81" s="112"/>
      <c r="S81" s="113"/>
      <c r="T81" s="95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90"/>
      <c r="I82" s="95"/>
      <c r="J82" s="96">
        <v>71.0</v>
      </c>
      <c r="K82" s="115"/>
      <c r="L82" s="116"/>
      <c r="M82" s="116"/>
      <c r="N82" s="116"/>
      <c r="O82" s="117"/>
      <c r="P82" s="118">
        <v>1.0</v>
      </c>
      <c r="Q82" s="27">
        <f t="shared" si="2"/>
        <v>0</v>
      </c>
      <c r="R82" s="112"/>
      <c r="S82" s="96"/>
      <c r="T82" s="95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90"/>
      <c r="I83" s="95"/>
      <c r="J83" s="96">
        <v>72.0</v>
      </c>
      <c r="K83" s="108"/>
      <c r="L83" s="109"/>
      <c r="M83" s="109"/>
      <c r="N83" s="109"/>
      <c r="O83" s="110"/>
      <c r="P83" s="111">
        <v>1.0</v>
      </c>
      <c r="Q83" s="27">
        <f t="shared" si="2"/>
        <v>0</v>
      </c>
      <c r="R83" s="112"/>
      <c r="S83" s="113"/>
      <c r="T83" s="95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90"/>
      <c r="I84" s="95"/>
      <c r="J84" s="96">
        <v>73.0</v>
      </c>
      <c r="K84" s="115"/>
      <c r="L84" s="116"/>
      <c r="M84" s="116"/>
      <c r="N84" s="116"/>
      <c r="O84" s="117"/>
      <c r="P84" s="118">
        <v>1.0</v>
      </c>
      <c r="Q84" s="27">
        <f t="shared" si="2"/>
        <v>0</v>
      </c>
      <c r="R84" s="112"/>
      <c r="S84" s="96"/>
      <c r="T84" s="95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90"/>
      <c r="I85" s="95"/>
      <c r="J85" s="96">
        <v>74.0</v>
      </c>
      <c r="K85" s="108"/>
      <c r="L85" s="109"/>
      <c r="M85" s="109"/>
      <c r="N85" s="109"/>
      <c r="O85" s="110"/>
      <c r="P85" s="111">
        <v>1.0</v>
      </c>
      <c r="Q85" s="27">
        <f t="shared" si="2"/>
        <v>0</v>
      </c>
      <c r="R85" s="112"/>
      <c r="S85" s="113"/>
      <c r="T85" s="95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90"/>
      <c r="I86" s="95"/>
      <c r="J86" s="96">
        <v>75.0</v>
      </c>
      <c r="K86" s="115"/>
      <c r="L86" s="116"/>
      <c r="M86" s="116"/>
      <c r="N86" s="116"/>
      <c r="O86" s="117"/>
      <c r="P86" s="118">
        <v>1.0</v>
      </c>
      <c r="Q86" s="27">
        <f t="shared" si="2"/>
        <v>0</v>
      </c>
      <c r="R86" s="112"/>
      <c r="S86" s="96"/>
      <c r="T86" s="95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90"/>
      <c r="I87" s="95"/>
      <c r="J87" s="96">
        <v>76.0</v>
      </c>
      <c r="K87" s="108"/>
      <c r="L87" s="109"/>
      <c r="M87" s="109"/>
      <c r="N87" s="109"/>
      <c r="O87" s="110"/>
      <c r="P87" s="111">
        <v>1.0</v>
      </c>
      <c r="Q87" s="27">
        <f t="shared" si="2"/>
        <v>0</v>
      </c>
      <c r="R87" s="112"/>
      <c r="S87" s="113"/>
      <c r="T87" s="95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90"/>
      <c r="I88" s="95"/>
      <c r="J88" s="96">
        <v>77.0</v>
      </c>
      <c r="K88" s="115"/>
      <c r="L88" s="116"/>
      <c r="M88" s="116"/>
      <c r="N88" s="116"/>
      <c r="O88" s="117"/>
      <c r="P88" s="118">
        <v>1.0</v>
      </c>
      <c r="Q88" s="27">
        <f t="shared" si="2"/>
        <v>0</v>
      </c>
      <c r="R88" s="112"/>
      <c r="S88" s="96"/>
      <c r="T88" s="95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90"/>
      <c r="I89" s="95"/>
      <c r="J89" s="96">
        <v>78.0</v>
      </c>
      <c r="K89" s="108"/>
      <c r="L89" s="109"/>
      <c r="M89" s="109"/>
      <c r="N89" s="109"/>
      <c r="O89" s="110"/>
      <c r="P89" s="111">
        <v>1.0</v>
      </c>
      <c r="Q89" s="27">
        <f t="shared" si="2"/>
        <v>0</v>
      </c>
      <c r="R89" s="112"/>
      <c r="S89" s="113"/>
      <c r="T89" s="95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90"/>
      <c r="I90" s="95"/>
      <c r="J90" s="96">
        <v>79.0</v>
      </c>
      <c r="K90" s="115"/>
      <c r="L90" s="116"/>
      <c r="M90" s="116"/>
      <c r="N90" s="116"/>
      <c r="O90" s="117"/>
      <c r="P90" s="118">
        <v>1.0</v>
      </c>
      <c r="Q90" s="27">
        <f t="shared" si="2"/>
        <v>0</v>
      </c>
      <c r="R90" s="112"/>
      <c r="S90" s="96"/>
      <c r="T90" s="95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90"/>
      <c r="I91" s="95"/>
      <c r="J91" s="96">
        <v>80.0</v>
      </c>
      <c r="K91" s="108"/>
      <c r="L91" s="109"/>
      <c r="M91" s="109"/>
      <c r="N91" s="109"/>
      <c r="O91" s="110"/>
      <c r="P91" s="111">
        <v>1.0</v>
      </c>
      <c r="Q91" s="27">
        <f t="shared" si="2"/>
        <v>0</v>
      </c>
      <c r="R91" s="112"/>
      <c r="S91" s="113"/>
      <c r="T91" s="95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90"/>
      <c r="I92" s="95"/>
      <c r="J92" s="96">
        <v>81.0</v>
      </c>
      <c r="K92" s="115"/>
      <c r="L92" s="116"/>
      <c r="M92" s="116"/>
      <c r="N92" s="116"/>
      <c r="O92" s="117"/>
      <c r="P92" s="118">
        <v>1.0</v>
      </c>
      <c r="Q92" s="27">
        <f t="shared" si="2"/>
        <v>0</v>
      </c>
      <c r="R92" s="112"/>
      <c r="S92" s="96"/>
      <c r="T92" s="95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90"/>
      <c r="I93" s="95"/>
      <c r="J93" s="96">
        <v>82.0</v>
      </c>
      <c r="K93" s="108"/>
      <c r="L93" s="109"/>
      <c r="M93" s="109"/>
      <c r="N93" s="109"/>
      <c r="O93" s="110"/>
      <c r="P93" s="111">
        <v>1.0</v>
      </c>
      <c r="Q93" s="27">
        <f t="shared" si="2"/>
        <v>0</v>
      </c>
      <c r="R93" s="112"/>
      <c r="S93" s="113"/>
      <c r="T93" s="95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90"/>
      <c r="I94" s="95"/>
      <c r="J94" s="96">
        <v>83.0</v>
      </c>
      <c r="K94" s="115"/>
      <c r="L94" s="116"/>
      <c r="M94" s="116"/>
      <c r="N94" s="116"/>
      <c r="O94" s="117"/>
      <c r="P94" s="118">
        <v>1.0</v>
      </c>
      <c r="Q94" s="27">
        <f t="shared" si="2"/>
        <v>0</v>
      </c>
      <c r="R94" s="112"/>
      <c r="S94" s="96"/>
      <c r="T94" s="95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90"/>
      <c r="I95" s="95"/>
      <c r="J95" s="96">
        <v>84.0</v>
      </c>
      <c r="K95" s="108"/>
      <c r="L95" s="109"/>
      <c r="M95" s="109"/>
      <c r="N95" s="109"/>
      <c r="O95" s="110"/>
      <c r="P95" s="111">
        <v>1.0</v>
      </c>
      <c r="Q95" s="27">
        <f t="shared" si="2"/>
        <v>0</v>
      </c>
      <c r="R95" s="112"/>
      <c r="S95" s="113"/>
      <c r="T95" s="95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90"/>
      <c r="I96" s="95"/>
      <c r="J96" s="96">
        <v>85.0</v>
      </c>
      <c r="K96" s="115"/>
      <c r="L96" s="116"/>
      <c r="M96" s="116"/>
      <c r="N96" s="116"/>
      <c r="O96" s="117"/>
      <c r="P96" s="118">
        <v>1.0</v>
      </c>
      <c r="Q96" s="27">
        <f t="shared" si="2"/>
        <v>0</v>
      </c>
      <c r="R96" s="112"/>
      <c r="S96" s="96"/>
      <c r="T96" s="95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90"/>
      <c r="I97" s="95"/>
      <c r="J97" s="96">
        <v>86.0</v>
      </c>
      <c r="K97" s="108"/>
      <c r="L97" s="109"/>
      <c r="M97" s="109"/>
      <c r="N97" s="109"/>
      <c r="O97" s="110"/>
      <c r="P97" s="111">
        <v>1.0</v>
      </c>
      <c r="Q97" s="27">
        <f t="shared" si="2"/>
        <v>0</v>
      </c>
      <c r="R97" s="112"/>
      <c r="S97" s="113"/>
      <c r="T97" s="95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90"/>
      <c r="I98" s="95"/>
      <c r="J98" s="96">
        <v>87.0</v>
      </c>
      <c r="K98" s="115"/>
      <c r="L98" s="116"/>
      <c r="M98" s="116"/>
      <c r="N98" s="116"/>
      <c r="O98" s="117"/>
      <c r="P98" s="118">
        <v>1.0</v>
      </c>
      <c r="Q98" s="27">
        <f t="shared" si="2"/>
        <v>0</v>
      </c>
      <c r="R98" s="112"/>
      <c r="S98" s="96"/>
      <c r="T98" s="95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90"/>
      <c r="I99" s="95"/>
      <c r="J99" s="96">
        <v>88.0</v>
      </c>
      <c r="K99" s="108"/>
      <c r="L99" s="109"/>
      <c r="M99" s="109"/>
      <c r="N99" s="109"/>
      <c r="O99" s="110"/>
      <c r="P99" s="111">
        <v>1.0</v>
      </c>
      <c r="Q99" s="27">
        <f t="shared" si="2"/>
        <v>0</v>
      </c>
      <c r="R99" s="112"/>
      <c r="S99" s="113"/>
      <c r="T99" s="95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90"/>
      <c r="I100" s="95"/>
      <c r="J100" s="96">
        <v>89.0</v>
      </c>
      <c r="K100" s="115"/>
      <c r="L100" s="116"/>
      <c r="M100" s="116"/>
      <c r="N100" s="116"/>
      <c r="O100" s="117"/>
      <c r="P100" s="118">
        <v>1.0</v>
      </c>
      <c r="Q100" s="27">
        <f t="shared" si="2"/>
        <v>0</v>
      </c>
      <c r="R100" s="112"/>
      <c r="S100" s="96"/>
      <c r="T100" s="95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90"/>
      <c r="I101" s="95"/>
      <c r="J101" s="96">
        <v>90.0</v>
      </c>
      <c r="K101" s="108"/>
      <c r="L101" s="109"/>
      <c r="M101" s="109"/>
      <c r="N101" s="109"/>
      <c r="O101" s="110"/>
      <c r="P101" s="111">
        <v>1.0</v>
      </c>
      <c r="Q101" s="27">
        <f t="shared" si="2"/>
        <v>0</v>
      </c>
      <c r="R101" s="112"/>
      <c r="S101" s="113"/>
      <c r="T101" s="95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90"/>
      <c r="I102" s="95"/>
      <c r="J102" s="96">
        <v>91.0</v>
      </c>
      <c r="K102" s="115"/>
      <c r="L102" s="116"/>
      <c r="M102" s="116"/>
      <c r="N102" s="116"/>
      <c r="O102" s="117"/>
      <c r="P102" s="118">
        <v>1.0</v>
      </c>
      <c r="Q102" s="27">
        <f t="shared" si="2"/>
        <v>0</v>
      </c>
      <c r="R102" s="112"/>
      <c r="S102" s="96"/>
      <c r="T102" s="95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90"/>
      <c r="I103" s="95"/>
      <c r="J103" s="96">
        <v>92.0</v>
      </c>
      <c r="K103" s="108"/>
      <c r="L103" s="109"/>
      <c r="M103" s="109"/>
      <c r="N103" s="109"/>
      <c r="O103" s="110"/>
      <c r="P103" s="111">
        <v>1.0</v>
      </c>
      <c r="Q103" s="27">
        <f t="shared" si="2"/>
        <v>0</v>
      </c>
      <c r="R103" s="112"/>
      <c r="S103" s="113"/>
      <c r="T103" s="95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90"/>
      <c r="I104" s="95"/>
      <c r="J104" s="96">
        <v>93.0</v>
      </c>
      <c r="K104" s="115"/>
      <c r="L104" s="116"/>
      <c r="M104" s="116"/>
      <c r="N104" s="116"/>
      <c r="O104" s="117"/>
      <c r="P104" s="118">
        <v>1.0</v>
      </c>
      <c r="Q104" s="27">
        <f t="shared" si="2"/>
        <v>0</v>
      </c>
      <c r="R104" s="112"/>
      <c r="S104" s="96"/>
      <c r="T104" s="95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90"/>
      <c r="I105" s="95"/>
      <c r="J105" s="96">
        <v>94.0</v>
      </c>
      <c r="K105" s="108"/>
      <c r="L105" s="109"/>
      <c r="M105" s="109"/>
      <c r="N105" s="109"/>
      <c r="O105" s="110"/>
      <c r="P105" s="111">
        <v>1.0</v>
      </c>
      <c r="Q105" s="27">
        <f t="shared" si="2"/>
        <v>0</v>
      </c>
      <c r="R105" s="112"/>
      <c r="S105" s="113"/>
      <c r="T105" s="95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90"/>
      <c r="I106" s="95"/>
      <c r="J106" s="96">
        <v>95.0</v>
      </c>
      <c r="K106" s="115"/>
      <c r="L106" s="116"/>
      <c r="M106" s="116"/>
      <c r="N106" s="116"/>
      <c r="O106" s="117"/>
      <c r="P106" s="118">
        <v>1.0</v>
      </c>
      <c r="Q106" s="27">
        <f t="shared" si="2"/>
        <v>0</v>
      </c>
      <c r="R106" s="112"/>
      <c r="S106" s="96"/>
      <c r="T106" s="95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90"/>
      <c r="I107" s="95"/>
      <c r="J107" s="96">
        <v>96.0</v>
      </c>
      <c r="K107" s="108"/>
      <c r="L107" s="109"/>
      <c r="M107" s="109"/>
      <c r="N107" s="109"/>
      <c r="O107" s="110"/>
      <c r="P107" s="111">
        <v>1.0</v>
      </c>
      <c r="Q107" s="27">
        <f t="shared" si="2"/>
        <v>0</v>
      </c>
      <c r="R107" s="112"/>
      <c r="S107" s="113"/>
      <c r="T107" s="95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90"/>
      <c r="I108" s="95"/>
      <c r="J108" s="96">
        <v>97.0</v>
      </c>
      <c r="K108" s="115"/>
      <c r="L108" s="116"/>
      <c r="M108" s="116"/>
      <c r="N108" s="116"/>
      <c r="O108" s="117"/>
      <c r="P108" s="118">
        <v>1.0</v>
      </c>
      <c r="Q108" s="27">
        <f t="shared" si="2"/>
        <v>0</v>
      </c>
      <c r="R108" s="112"/>
      <c r="S108" s="96"/>
      <c r="T108" s="95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90"/>
      <c r="I109" s="95"/>
      <c r="J109" s="96">
        <v>98.0</v>
      </c>
      <c r="K109" s="108"/>
      <c r="L109" s="109"/>
      <c r="M109" s="109"/>
      <c r="N109" s="109"/>
      <c r="O109" s="110"/>
      <c r="P109" s="111">
        <v>1.0</v>
      </c>
      <c r="Q109" s="27">
        <f t="shared" si="2"/>
        <v>0</v>
      </c>
      <c r="R109" s="112"/>
      <c r="S109" s="113"/>
      <c r="T109" s="95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90"/>
      <c r="I110" s="95"/>
      <c r="J110" s="96">
        <v>99.0</v>
      </c>
      <c r="K110" s="115"/>
      <c r="L110" s="116"/>
      <c r="M110" s="116"/>
      <c r="N110" s="116"/>
      <c r="O110" s="117"/>
      <c r="P110" s="118">
        <v>1.0</v>
      </c>
      <c r="Q110" s="27">
        <f t="shared" si="2"/>
        <v>0</v>
      </c>
      <c r="R110" s="112"/>
      <c r="S110" s="96"/>
      <c r="T110" s="95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90"/>
      <c r="I111" s="95"/>
      <c r="J111" s="96">
        <v>100.0</v>
      </c>
      <c r="K111" s="108"/>
      <c r="L111" s="109"/>
      <c r="M111" s="109"/>
      <c r="N111" s="109"/>
      <c r="O111" s="110"/>
      <c r="P111" s="111">
        <v>1.0</v>
      </c>
      <c r="Q111" s="27">
        <f t="shared" si="2"/>
        <v>0</v>
      </c>
      <c r="R111" s="112"/>
      <c r="S111" s="113"/>
      <c r="T111" s="95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90"/>
      <c r="I112" s="95"/>
      <c r="J112" s="96">
        <v>101.0</v>
      </c>
      <c r="K112" s="115"/>
      <c r="L112" s="116"/>
      <c r="M112" s="116"/>
      <c r="N112" s="116"/>
      <c r="O112" s="117"/>
      <c r="P112" s="118">
        <v>1.0</v>
      </c>
      <c r="Q112" s="27">
        <f t="shared" si="2"/>
        <v>0</v>
      </c>
      <c r="R112" s="112"/>
      <c r="S112" s="96"/>
      <c r="T112" s="95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90"/>
      <c r="I113" s="95"/>
      <c r="J113" s="96">
        <v>102.0</v>
      </c>
      <c r="K113" s="108"/>
      <c r="L113" s="109"/>
      <c r="M113" s="109"/>
      <c r="N113" s="109"/>
      <c r="O113" s="110"/>
      <c r="P113" s="111">
        <v>1.0</v>
      </c>
      <c r="Q113" s="27">
        <f t="shared" si="2"/>
        <v>0</v>
      </c>
      <c r="R113" s="112"/>
      <c r="S113" s="113"/>
      <c r="T113" s="95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90"/>
      <c r="I114" s="95"/>
      <c r="J114" s="96">
        <v>103.0</v>
      </c>
      <c r="K114" s="115"/>
      <c r="L114" s="116"/>
      <c r="M114" s="116"/>
      <c r="N114" s="116"/>
      <c r="O114" s="117"/>
      <c r="P114" s="118">
        <v>1.0</v>
      </c>
      <c r="Q114" s="27">
        <f t="shared" si="2"/>
        <v>0</v>
      </c>
      <c r="R114" s="112"/>
      <c r="S114" s="96"/>
      <c r="T114" s="95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90"/>
      <c r="I115" s="95"/>
      <c r="J115" s="96">
        <v>104.0</v>
      </c>
      <c r="K115" s="108"/>
      <c r="L115" s="109"/>
      <c r="M115" s="109"/>
      <c r="N115" s="109"/>
      <c r="O115" s="110"/>
      <c r="P115" s="111">
        <v>1.0</v>
      </c>
      <c r="Q115" s="27">
        <f t="shared" si="2"/>
        <v>0</v>
      </c>
      <c r="R115" s="112"/>
      <c r="S115" s="113"/>
      <c r="T115" s="95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90"/>
      <c r="I116" s="95"/>
      <c r="J116" s="96">
        <v>105.0</v>
      </c>
      <c r="K116" s="115"/>
      <c r="L116" s="116"/>
      <c r="M116" s="116"/>
      <c r="N116" s="116"/>
      <c r="O116" s="117"/>
      <c r="P116" s="118">
        <v>1.0</v>
      </c>
      <c r="Q116" s="27">
        <f t="shared" si="2"/>
        <v>0</v>
      </c>
      <c r="R116" s="112"/>
      <c r="S116" s="96"/>
      <c r="T116" s="95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90"/>
      <c r="I117" s="95"/>
      <c r="J117" s="96">
        <v>106.0</v>
      </c>
      <c r="K117" s="108"/>
      <c r="L117" s="109"/>
      <c r="M117" s="109"/>
      <c r="N117" s="109"/>
      <c r="O117" s="110"/>
      <c r="P117" s="111">
        <v>1.0</v>
      </c>
      <c r="Q117" s="27">
        <f t="shared" si="2"/>
        <v>0</v>
      </c>
      <c r="R117" s="112"/>
      <c r="S117" s="113"/>
      <c r="T117" s="95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90"/>
      <c r="I118" s="95"/>
      <c r="J118" s="96">
        <v>107.0</v>
      </c>
      <c r="K118" s="115"/>
      <c r="L118" s="116"/>
      <c r="M118" s="116"/>
      <c r="N118" s="116"/>
      <c r="O118" s="117"/>
      <c r="P118" s="118">
        <v>1.0</v>
      </c>
      <c r="Q118" s="27">
        <f t="shared" si="2"/>
        <v>0</v>
      </c>
      <c r="R118" s="112"/>
      <c r="S118" s="96"/>
      <c r="T118" s="95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90"/>
      <c r="I119" s="95"/>
      <c r="J119" s="96">
        <v>108.0</v>
      </c>
      <c r="K119" s="108"/>
      <c r="L119" s="109"/>
      <c r="M119" s="109"/>
      <c r="N119" s="109"/>
      <c r="O119" s="110"/>
      <c r="P119" s="111">
        <v>1.0</v>
      </c>
      <c r="Q119" s="27">
        <f t="shared" si="2"/>
        <v>0</v>
      </c>
      <c r="R119" s="112"/>
      <c r="S119" s="113"/>
      <c r="T119" s="95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90"/>
      <c r="I120" s="95"/>
      <c r="J120" s="96">
        <v>109.0</v>
      </c>
      <c r="K120" s="115"/>
      <c r="L120" s="116"/>
      <c r="M120" s="116"/>
      <c r="N120" s="116"/>
      <c r="O120" s="117"/>
      <c r="P120" s="118">
        <v>1.0</v>
      </c>
      <c r="Q120" s="27">
        <f t="shared" si="2"/>
        <v>0</v>
      </c>
      <c r="R120" s="112"/>
      <c r="S120" s="96"/>
      <c r="T120" s="95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90"/>
      <c r="I121" s="95"/>
      <c r="J121" s="96">
        <v>110.0</v>
      </c>
      <c r="K121" s="108"/>
      <c r="L121" s="109"/>
      <c r="M121" s="109"/>
      <c r="N121" s="109"/>
      <c r="O121" s="110"/>
      <c r="P121" s="111">
        <v>1.0</v>
      </c>
      <c r="Q121" s="27">
        <f t="shared" si="2"/>
        <v>0</v>
      </c>
      <c r="R121" s="112"/>
      <c r="S121" s="113"/>
      <c r="T121" s="95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90"/>
      <c r="I122" s="95"/>
      <c r="J122" s="96">
        <v>111.0</v>
      </c>
      <c r="K122" s="115"/>
      <c r="L122" s="116"/>
      <c r="M122" s="116"/>
      <c r="N122" s="116"/>
      <c r="O122" s="117"/>
      <c r="P122" s="118">
        <v>1.0</v>
      </c>
      <c r="Q122" s="27">
        <f t="shared" si="2"/>
        <v>0</v>
      </c>
      <c r="R122" s="112"/>
      <c r="S122" s="96"/>
      <c r="T122" s="95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90"/>
      <c r="I123" s="95"/>
      <c r="J123" s="96">
        <v>112.0</v>
      </c>
      <c r="K123" s="108"/>
      <c r="L123" s="109"/>
      <c r="M123" s="109"/>
      <c r="N123" s="109"/>
      <c r="O123" s="110"/>
      <c r="P123" s="111">
        <v>1.0</v>
      </c>
      <c r="Q123" s="27">
        <f t="shared" si="2"/>
        <v>0</v>
      </c>
      <c r="R123" s="112"/>
      <c r="S123" s="113"/>
      <c r="T123" s="95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90"/>
      <c r="I124" s="95"/>
      <c r="J124" s="96">
        <v>113.0</v>
      </c>
      <c r="K124" s="115"/>
      <c r="L124" s="116"/>
      <c r="M124" s="116"/>
      <c r="N124" s="116"/>
      <c r="O124" s="117"/>
      <c r="P124" s="118">
        <v>1.0</v>
      </c>
      <c r="Q124" s="27">
        <f t="shared" si="2"/>
        <v>0</v>
      </c>
      <c r="R124" s="112"/>
      <c r="S124" s="96"/>
      <c r="T124" s="95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90"/>
      <c r="I125" s="95"/>
      <c r="J125" s="96">
        <v>114.0</v>
      </c>
      <c r="K125" s="108"/>
      <c r="L125" s="109"/>
      <c r="M125" s="109"/>
      <c r="N125" s="109"/>
      <c r="O125" s="110"/>
      <c r="P125" s="111">
        <v>1.0</v>
      </c>
      <c r="Q125" s="27">
        <f t="shared" si="2"/>
        <v>0</v>
      </c>
      <c r="R125" s="112"/>
      <c r="S125" s="113"/>
      <c r="T125" s="95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90"/>
      <c r="I126" s="95"/>
      <c r="J126" s="96">
        <v>115.0</v>
      </c>
      <c r="K126" s="115"/>
      <c r="L126" s="116"/>
      <c r="M126" s="116"/>
      <c r="N126" s="116"/>
      <c r="O126" s="117"/>
      <c r="P126" s="118">
        <v>1.0</v>
      </c>
      <c r="Q126" s="27">
        <f t="shared" si="2"/>
        <v>0</v>
      </c>
      <c r="R126" s="112"/>
      <c r="S126" s="96"/>
      <c r="T126" s="95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90"/>
      <c r="I127" s="95"/>
      <c r="J127" s="96">
        <v>116.0</v>
      </c>
      <c r="K127" s="108"/>
      <c r="L127" s="109"/>
      <c r="M127" s="109"/>
      <c r="N127" s="109"/>
      <c r="O127" s="110"/>
      <c r="P127" s="111">
        <v>1.0</v>
      </c>
      <c r="Q127" s="27">
        <f t="shared" si="2"/>
        <v>0</v>
      </c>
      <c r="R127" s="112"/>
      <c r="S127" s="113"/>
      <c r="T127" s="95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90"/>
      <c r="I128" s="95"/>
      <c r="J128" s="96">
        <v>117.0</v>
      </c>
      <c r="K128" s="115"/>
      <c r="L128" s="116"/>
      <c r="M128" s="116"/>
      <c r="N128" s="116"/>
      <c r="O128" s="117"/>
      <c r="P128" s="118">
        <v>1.0</v>
      </c>
      <c r="Q128" s="27">
        <f t="shared" si="2"/>
        <v>0</v>
      </c>
      <c r="R128" s="112"/>
      <c r="S128" s="96"/>
      <c r="T128" s="95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90"/>
      <c r="I129" s="95"/>
      <c r="J129" s="96">
        <v>118.0</v>
      </c>
      <c r="K129" s="108"/>
      <c r="L129" s="109"/>
      <c r="M129" s="109"/>
      <c r="N129" s="109"/>
      <c r="O129" s="110"/>
      <c r="P129" s="111">
        <v>1.0</v>
      </c>
      <c r="Q129" s="27">
        <f t="shared" si="2"/>
        <v>0</v>
      </c>
      <c r="R129" s="112"/>
      <c r="S129" s="113"/>
      <c r="T129" s="95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90"/>
      <c r="I130" s="95"/>
      <c r="J130" s="96">
        <v>119.0</v>
      </c>
      <c r="K130" s="115"/>
      <c r="L130" s="116"/>
      <c r="M130" s="116"/>
      <c r="N130" s="116"/>
      <c r="O130" s="117"/>
      <c r="P130" s="118">
        <v>1.0</v>
      </c>
      <c r="Q130" s="27">
        <f t="shared" si="2"/>
        <v>0</v>
      </c>
      <c r="R130" s="112"/>
      <c r="S130" s="96"/>
      <c r="T130" s="95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90"/>
      <c r="I131" s="95"/>
      <c r="J131" s="96">
        <v>120.0</v>
      </c>
      <c r="K131" s="108"/>
      <c r="L131" s="109"/>
      <c r="M131" s="109"/>
      <c r="N131" s="109"/>
      <c r="O131" s="110"/>
      <c r="P131" s="111">
        <v>1.0</v>
      </c>
      <c r="Q131" s="27">
        <f>IFERROR(IF(O132="",0,O132*P132),0)</f>
        <v>0</v>
      </c>
      <c r="R131" s="112"/>
      <c r="S131" s="113"/>
      <c r="T131" s="95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90"/>
      <c r="I132" s="1"/>
      <c r="J132" s="165"/>
      <c r="K132" s="166"/>
      <c r="L132" s="166" t="s">
        <v>225</v>
      </c>
      <c r="M132" s="166"/>
      <c r="N132" s="166"/>
      <c r="O132" s="167">
        <f>SUM(O12:O131)</f>
        <v>446.87</v>
      </c>
      <c r="P132" s="166"/>
      <c r="Q132" s="168">
        <f>SUM(Q12:Q131)</f>
        <v>341.245</v>
      </c>
      <c r="R132" s="165"/>
      <c r="S132" s="165"/>
      <c r="T132" s="95"/>
      <c r="U132" s="1"/>
      <c r="V132" s="1"/>
      <c r="W132" s="1"/>
      <c r="X132" s="1"/>
      <c r="Y132" s="1"/>
      <c r="Z132" s="1"/>
    </row>
    <row r="133" ht="4.5" customHeight="1">
      <c r="A133" s="1"/>
      <c r="B133" s="1"/>
      <c r="C133" s="1"/>
      <c r="D133" s="1"/>
      <c r="E133" s="1"/>
      <c r="F133" s="1"/>
      <c r="G133" s="1"/>
      <c r="H133" s="90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1"/>
      <c r="W133" s="1"/>
      <c r="X133" s="1"/>
      <c r="Y133" s="1"/>
      <c r="Z133" s="1"/>
    </row>
    <row r="134" ht="4.5" customHeight="1">
      <c r="A134" s="1"/>
      <c r="B134" s="1"/>
      <c r="C134" s="1"/>
      <c r="D134" s="1"/>
      <c r="E134" s="1"/>
      <c r="F134" s="1"/>
      <c r="G134" s="1"/>
      <c r="H134" s="90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1"/>
      <c r="W134" s="1"/>
      <c r="X134" s="1"/>
      <c r="Y134" s="1"/>
      <c r="Z134" s="1"/>
    </row>
    <row r="135" ht="4.5" customHeight="1">
      <c r="A135" s="1"/>
      <c r="B135" s="1"/>
      <c r="C135" s="1"/>
      <c r="D135" s="1"/>
      <c r="E135" s="1"/>
      <c r="F135" s="1"/>
      <c r="G135" s="1"/>
      <c r="H135" s="90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1"/>
      <c r="W135" s="1"/>
      <c r="X135" s="1"/>
      <c r="Y135" s="1"/>
      <c r="Z135" s="1"/>
    </row>
    <row r="136" ht="4.5" customHeight="1">
      <c r="A136" s="1"/>
      <c r="B136" s="1"/>
      <c r="C136" s="1"/>
      <c r="D136" s="1"/>
      <c r="E136" s="1"/>
      <c r="F136" s="1"/>
      <c r="G136" s="1"/>
      <c r="H136" s="90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9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9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9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9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9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9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9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9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J$11:$R$131"/>
  <mergeCells count="8">
    <mergeCell ref="B2:T2"/>
    <mergeCell ref="B3:T3"/>
    <mergeCell ref="B5:T5"/>
    <mergeCell ref="B10:E10"/>
    <mergeCell ref="J10:S10"/>
    <mergeCell ref="B42:G42"/>
    <mergeCell ref="B55:E55"/>
    <mergeCell ref="B66:E66"/>
  </mergeCells>
  <conditionalFormatting sqref="D64">
    <cfRule type="cellIs" dxfId="0" priority="1" operator="lessThan">
      <formula>0</formula>
    </cfRule>
  </conditionalFormatting>
  <conditionalFormatting sqref="D64">
    <cfRule type="cellIs" dxfId="1" priority="2" operator="greaterThan">
      <formula>0</formula>
    </cfRule>
  </conditionalFormatting>
  <conditionalFormatting sqref="D70">
    <cfRule type="cellIs" dxfId="2" priority="3" operator="greaterThan">
      <formula>0</formula>
    </cfRule>
  </conditionalFormatting>
  <conditionalFormatting sqref="D71">
    <cfRule type="cellIs" dxfId="1" priority="4" operator="greaterThan">
      <formula>0</formula>
    </cfRule>
  </conditionalFormatting>
  <dataValidations>
    <dataValidation type="list" allowBlank="1" sqref="M12:M135">
      <formula1>"Groceries,Utilities,Gas / Transport,Dining / Takeout,Entertainment,Health,Shopping,Subscriptions,Cash,Personal / Misc,Other,Travel"</formula1>
    </dataValidation>
    <dataValidation type="list" allowBlank="1" sqref="N12:N132">
      <formula1>"CFF,CFU,CSP,Discover,Citi,Capital One,WF,Amazon Card,Robinhood,Cash,Other"</formula1>
    </dataValidation>
  </dataValidations>
  <printOptions/>
  <pageMargins bottom="1.0" footer="0.0" header="0.0" left="0.75" right="0.75" top="1.0"/>
  <pageSetup paperSize="9" orientation="portrait"/>
  <drawing r:id="rId1"/>
</worksheet>
</file>