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CA265612-BEC6-4EE9-BD21-8C9E91DC3D6D}" xr6:coauthVersionLast="47" xr6:coauthVersionMax="47" xr10:uidLastSave="{00000000-0000-0000-0000-000000000000}"/>
  <bookViews>
    <workbookView xWindow="0" yWindow="3585" windowWidth="21420" windowHeight="1626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2" i="1" l="1"/>
  <c r="D243" i="1" s="1"/>
  <c r="D244" i="1" s="1"/>
  <c r="D245" i="1" s="1"/>
  <c r="D246" i="1" s="1"/>
  <c r="D247" i="1" s="1"/>
  <c r="D248" i="1" s="1"/>
  <c r="I243" i="1"/>
  <c r="L243" i="1"/>
  <c r="H243" i="1" s="1"/>
  <c r="J243" i="1" s="1"/>
  <c r="I242" i="1" l="1"/>
  <c r="L242" i="1"/>
  <c r="H242" i="1" s="1"/>
  <c r="J242" i="1" l="1"/>
  <c r="I478" i="1" l="1"/>
  <c r="L478" i="1"/>
  <c r="H478" i="1" s="1"/>
  <c r="J478" i="1" s="1"/>
  <c r="AN1" i="6"/>
  <c r="I397" i="1" l="1"/>
  <c r="L397" i="1"/>
  <c r="H397" i="1" s="1"/>
  <c r="J397" i="1" l="1"/>
  <c r="R15" i="1" l="1"/>
  <c r="Q15" i="1"/>
  <c r="P15" i="1"/>
  <c r="N15" i="1" l="1"/>
  <c r="O15" i="1" s="1"/>
  <c r="N19" i="9" l="1"/>
  <c r="N16" i="9" s="1"/>
  <c r="I473" i="1" l="1"/>
  <c r="L473" i="1"/>
  <c r="H473" i="1" s="1"/>
  <c r="I472" i="1"/>
  <c r="L472" i="1"/>
  <c r="H472" i="1" s="1"/>
  <c r="I429" i="1"/>
  <c r="L429" i="1"/>
  <c r="H429" i="1" s="1"/>
  <c r="J472" i="1" l="1"/>
  <c r="J473" i="1"/>
  <c r="J429" i="1"/>
  <c r="I208" i="1" l="1"/>
  <c r="L208" i="1"/>
  <c r="H208" i="1" s="1"/>
  <c r="J208" i="1" l="1"/>
  <c r="I163" i="1"/>
  <c r="L163" i="1"/>
  <c r="H163" i="1" s="1"/>
  <c r="I303" i="1"/>
  <c r="L303" i="1"/>
  <c r="H303" i="1" s="1"/>
  <c r="L213" i="1"/>
  <c r="H213" i="1" s="1"/>
  <c r="J163" i="1" l="1"/>
  <c r="J303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6" i="1"/>
  <c r="L436" i="1"/>
  <c r="H436" i="1" s="1"/>
  <c r="I247" i="1"/>
  <c r="L247" i="1"/>
  <c r="H247" i="1" s="1"/>
  <c r="I443" i="1"/>
  <c r="L443" i="1"/>
  <c r="H443" i="1" s="1"/>
  <c r="J436" i="1" l="1"/>
  <c r="J247" i="1"/>
  <c r="J443" i="1"/>
  <c r="K7" i="1"/>
  <c r="I244" i="1" l="1"/>
  <c r="L244" i="1"/>
  <c r="H244" i="1" s="1"/>
  <c r="J244" i="1" l="1"/>
  <c r="I212" i="1"/>
  <c r="L212" i="1"/>
  <c r="H212" i="1" s="1"/>
  <c r="I248" i="1"/>
  <c r="L248" i="1"/>
  <c r="H248" i="1" s="1"/>
  <c r="J212" i="1" l="1"/>
  <c r="J248" i="1"/>
  <c r="I373" i="1"/>
  <c r="L373" i="1"/>
  <c r="H373" i="1" s="1"/>
  <c r="J373" i="1" l="1"/>
  <c r="I83" i="1" l="1"/>
  <c r="L83" i="1"/>
  <c r="H83" i="1" s="1"/>
  <c r="I372" i="1"/>
  <c r="L372" i="1"/>
  <c r="H372" i="1" s="1"/>
  <c r="I442" i="1"/>
  <c r="L442" i="1"/>
  <c r="H442" i="1" s="1"/>
  <c r="I435" i="1"/>
  <c r="L435" i="1"/>
  <c r="H435" i="1" s="1"/>
  <c r="L433" i="1"/>
  <c r="H433" i="1" s="1"/>
  <c r="I433" i="1"/>
  <c r="I446" i="1"/>
  <c r="L446" i="1"/>
  <c r="H446" i="1" s="1"/>
  <c r="I445" i="1"/>
  <c r="L445" i="1"/>
  <c r="H445" i="1" s="1"/>
  <c r="I441" i="1"/>
  <c r="L441" i="1"/>
  <c r="H441" i="1" s="1"/>
  <c r="I434" i="1"/>
  <c r="L434" i="1"/>
  <c r="H434" i="1" s="1"/>
  <c r="J445" i="1" l="1"/>
  <c r="J372" i="1"/>
  <c r="J83" i="1"/>
  <c r="J442" i="1"/>
  <c r="J435" i="1"/>
  <c r="J433" i="1"/>
  <c r="J446" i="1"/>
  <c r="J441" i="1"/>
  <c r="J434" i="1"/>
  <c r="H17" i="1" l="1"/>
  <c r="I110" i="1" l="1"/>
  <c r="L110" i="1"/>
  <c r="H110" i="1" s="1"/>
  <c r="I432" i="1"/>
  <c r="L432" i="1"/>
  <c r="H432" i="1" s="1"/>
  <c r="J110" i="1" l="1"/>
  <c r="J432" i="1"/>
  <c r="I360" i="1"/>
  <c r="L360" i="1"/>
  <c r="H360" i="1" s="1"/>
  <c r="J360" i="1" l="1"/>
  <c r="N7" i="1" l="1"/>
  <c r="O7" i="1" s="1"/>
  <c r="I437" i="1"/>
  <c r="L437" i="1"/>
  <c r="H437" i="1" s="1"/>
  <c r="I440" i="1"/>
  <c r="L440" i="1"/>
  <c r="H440" i="1" s="1"/>
  <c r="I430" i="1"/>
  <c r="L430" i="1"/>
  <c r="H430" i="1" s="1"/>
  <c r="L109" i="1"/>
  <c r="J437" i="1" l="1"/>
  <c r="J440" i="1"/>
  <c r="J430" i="1"/>
  <c r="I115" i="1"/>
  <c r="L115" i="1"/>
  <c r="H115" i="1" s="1"/>
  <c r="J115" i="1" l="1"/>
  <c r="I89" i="1"/>
  <c r="L89" i="1"/>
  <c r="H89" i="1" s="1"/>
  <c r="J89" i="1" l="1"/>
  <c r="J6" i="12"/>
  <c r="I444" i="1" l="1"/>
  <c r="L444" i="1"/>
  <c r="H444" i="1" s="1"/>
  <c r="J444" i="1" l="1"/>
  <c r="G32" i="6"/>
  <c r="L66" i="1" l="1"/>
  <c r="H66" i="1" s="1"/>
  <c r="I66" i="1"/>
  <c r="J66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6" i="1" l="1"/>
  <c r="L56" i="1"/>
  <c r="H56" i="1" s="1"/>
  <c r="J56" i="1" l="1"/>
  <c r="I80" i="1"/>
  <c r="L80" i="1"/>
  <c r="H80" i="1" s="1"/>
  <c r="J80" i="1" l="1"/>
  <c r="I90" i="1" l="1"/>
  <c r="L90" i="1"/>
  <c r="H90" i="1" s="1"/>
  <c r="I94" i="1"/>
  <c r="L94" i="1"/>
  <c r="H94" i="1" s="1"/>
  <c r="I78" i="1"/>
  <c r="L78" i="1"/>
  <c r="H78" i="1" s="1"/>
  <c r="O49" i="6"/>
  <c r="N49" i="6"/>
  <c r="M49" i="6"/>
  <c r="J90" i="1" l="1"/>
  <c r="J94" i="1"/>
  <c r="J78" i="1"/>
  <c r="I258" i="1"/>
  <c r="L258" i="1"/>
  <c r="H258" i="1" s="1"/>
  <c r="I109" i="1"/>
  <c r="H109" i="1"/>
  <c r="J109" i="1" l="1"/>
  <c r="J258" i="1"/>
  <c r="I102" i="1" l="1"/>
  <c r="L102" i="1"/>
  <c r="H102" i="1" s="1"/>
  <c r="J102" i="1" l="1"/>
  <c r="I252" i="1" l="1"/>
  <c r="L252" i="1"/>
  <c r="H252" i="1" s="1"/>
  <c r="J252" i="1" l="1"/>
  <c r="I101" i="1"/>
  <c r="L101" i="1"/>
  <c r="H101" i="1" s="1"/>
  <c r="J101" i="1" l="1"/>
  <c r="I99" i="1"/>
  <c r="L99" i="1"/>
  <c r="H99" i="1" s="1"/>
  <c r="J99" i="1" l="1"/>
  <c r="I111" i="1"/>
  <c r="L111" i="1"/>
  <c r="H111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6" i="1"/>
  <c r="L76" i="1"/>
  <c r="H76" i="1" s="1"/>
  <c r="J76" i="1" l="1"/>
  <c r="I220" i="1" l="1"/>
  <c r="L220" i="1"/>
  <c r="H220" i="1" s="1"/>
  <c r="J220" i="1" l="1"/>
  <c r="I221" i="1"/>
  <c r="L221" i="1"/>
  <c r="H221" i="1" s="1"/>
  <c r="I321" i="1"/>
  <c r="L321" i="1"/>
  <c r="H321" i="1" s="1"/>
  <c r="J221" i="1" l="1"/>
  <c r="J321" i="1"/>
  <c r="I217" i="1"/>
  <c r="L217" i="1"/>
  <c r="H217" i="1" s="1"/>
  <c r="J217" i="1" l="1"/>
  <c r="I431" i="1"/>
  <c r="L431" i="1"/>
  <c r="H431" i="1" s="1"/>
  <c r="J431" i="1" l="1"/>
  <c r="I439" i="1"/>
  <c r="L439" i="1"/>
  <c r="H439" i="1" s="1"/>
  <c r="I322" i="1"/>
  <c r="L322" i="1"/>
  <c r="H322" i="1" s="1"/>
  <c r="I112" i="1"/>
  <c r="L112" i="1"/>
  <c r="H112" i="1" s="1"/>
  <c r="J112" i="1" l="1"/>
  <c r="J322" i="1"/>
  <c r="J439" i="1"/>
  <c r="I72" i="1"/>
  <c r="L72" i="1"/>
  <c r="H72" i="1" s="1"/>
  <c r="J72" i="1" l="1"/>
  <c r="I81" i="1"/>
  <c r="L81" i="1"/>
  <c r="H81" i="1" s="1"/>
  <c r="I67" i="1"/>
  <c r="L67" i="1"/>
  <c r="I73" i="1"/>
  <c r="L73" i="1"/>
  <c r="H73" i="1" s="1"/>
  <c r="J81" i="1" l="1"/>
  <c r="J73" i="1"/>
  <c r="H67" i="1" l="1"/>
  <c r="J67" i="1" s="1"/>
  <c r="I122" i="1" l="1"/>
  <c r="H122" i="1"/>
  <c r="J122" i="1" l="1"/>
  <c r="I329" i="1" l="1"/>
  <c r="L329" i="1"/>
  <c r="H329" i="1" s="1"/>
  <c r="J329" i="1" l="1"/>
  <c r="I61" i="1"/>
  <c r="L61" i="1"/>
  <c r="H61" i="1" s="1"/>
  <c r="K119" i="1"/>
  <c r="M119" i="1"/>
  <c r="J61" i="1" l="1"/>
  <c r="I121" i="1"/>
  <c r="L121" i="1"/>
  <c r="H121" i="1" s="1"/>
  <c r="J111" i="1"/>
  <c r="J121" i="1" l="1"/>
  <c r="I123" i="1"/>
  <c r="L123" i="1"/>
  <c r="H123" i="1" s="1"/>
  <c r="I53" i="1"/>
  <c r="L53" i="1"/>
  <c r="H53" i="1" s="1"/>
  <c r="J123" i="1" l="1"/>
  <c r="J53" i="1"/>
  <c r="I230" i="1"/>
  <c r="L230" i="1"/>
  <c r="H230" i="1" s="1"/>
  <c r="J230" i="1" l="1"/>
  <c r="I327" i="1" l="1"/>
  <c r="L327" i="1"/>
  <c r="H327" i="1" s="1"/>
  <c r="I91" i="1"/>
  <c r="J327" i="1" l="1"/>
  <c r="L91" i="1"/>
  <c r="H91" i="1" s="1"/>
  <c r="J91" i="1" s="1"/>
  <c r="I214" i="1"/>
  <c r="L214" i="1"/>
  <c r="H214" i="1" s="1"/>
  <c r="J214" i="1" l="1"/>
  <c r="I324" i="1" l="1"/>
  <c r="L324" i="1"/>
  <c r="H324" i="1" s="1"/>
  <c r="I85" i="1"/>
  <c r="L85" i="1"/>
  <c r="H85" i="1" s="1"/>
  <c r="J324" i="1" l="1"/>
  <c r="J85" i="1"/>
  <c r="I216" i="1"/>
  <c r="L216" i="1"/>
  <c r="H216" i="1" s="1"/>
  <c r="J216" i="1" l="1"/>
  <c r="I326" i="1" l="1"/>
  <c r="L326" i="1"/>
  <c r="H326" i="1" s="1"/>
  <c r="J326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59" i="1"/>
  <c r="L259" i="1"/>
  <c r="H259" i="1" s="1"/>
  <c r="J105" i="1" l="1"/>
  <c r="J259" i="1"/>
  <c r="R7" i="1"/>
  <c r="Q7" i="1"/>
  <c r="I79" i="1" l="1"/>
  <c r="L79" i="1"/>
  <c r="H79" i="1" s="1"/>
  <c r="J79" i="1" l="1"/>
  <c r="I226" i="1"/>
  <c r="L226" i="1"/>
  <c r="H226" i="1" s="1"/>
  <c r="I325" i="1"/>
  <c r="L325" i="1"/>
  <c r="H325" i="1" s="1"/>
  <c r="J226" i="1" l="1"/>
  <c r="J325" i="1"/>
  <c r="I100" i="1"/>
  <c r="L100" i="1"/>
  <c r="H100" i="1" s="1"/>
  <c r="I74" i="1"/>
  <c r="L74" i="1"/>
  <c r="H74" i="1" s="1"/>
  <c r="J100" i="1" l="1"/>
  <c r="J74" i="1"/>
  <c r="I60" i="1" l="1"/>
  <c r="L60" i="1"/>
  <c r="H60" i="1" s="1"/>
  <c r="I52" i="1"/>
  <c r="L52" i="1"/>
  <c r="H52" i="1" s="1"/>
  <c r="J60" i="1" l="1"/>
  <c r="J52" i="1"/>
  <c r="I118" i="1"/>
  <c r="L118" i="1" l="1"/>
  <c r="H118" i="1" s="1"/>
  <c r="J118" i="1" s="1"/>
  <c r="I108" i="1"/>
  <c r="L108" i="1"/>
  <c r="H108" i="1" s="1"/>
  <c r="I82" i="1"/>
  <c r="L82" i="1"/>
  <c r="H82" i="1" s="1"/>
  <c r="I35" i="1"/>
  <c r="L35" i="1"/>
  <c r="H35" i="1" s="1"/>
  <c r="I54" i="1"/>
  <c r="L54" i="1"/>
  <c r="H54" i="1" s="1"/>
  <c r="I55" i="1"/>
  <c r="L55" i="1"/>
  <c r="H55" i="1" s="1"/>
  <c r="I106" i="1"/>
  <c r="L106" i="1"/>
  <c r="H106" i="1" s="1"/>
  <c r="I69" i="1"/>
  <c r="L69" i="1"/>
  <c r="H69" i="1" s="1"/>
  <c r="J108" i="1" l="1"/>
  <c r="J82" i="1"/>
  <c r="J35" i="1"/>
  <c r="J69" i="1"/>
  <c r="J54" i="1"/>
  <c r="J55" i="1"/>
  <c r="J106" i="1"/>
  <c r="L93" i="1" l="1"/>
  <c r="H93" i="1" s="1"/>
  <c r="I50" i="1" l="1"/>
  <c r="L64" i="1" l="1"/>
  <c r="H64" i="1" s="1"/>
  <c r="I64" i="1"/>
  <c r="I43" i="1" l="1"/>
  <c r="I34" i="1" l="1"/>
  <c r="L34" i="1"/>
  <c r="H34" i="1" s="1"/>
  <c r="I49" i="1"/>
  <c r="I58" i="1"/>
  <c r="J34" i="1" l="1"/>
  <c r="I45" i="1"/>
  <c r="I62" i="1"/>
  <c r="I40" i="1" l="1"/>
  <c r="I32" i="1" l="1"/>
  <c r="I30" i="1" l="1"/>
  <c r="I33" i="1" l="1"/>
  <c r="I29" i="1" l="1"/>
  <c r="L29" i="1" l="1"/>
  <c r="I31" i="1"/>
  <c r="I28" i="1"/>
  <c r="I22" i="1" l="1"/>
  <c r="I24" i="1" l="1"/>
  <c r="I23" i="1"/>
  <c r="I222" i="1" l="1"/>
  <c r="L222" i="1"/>
  <c r="H222" i="1" s="1"/>
  <c r="J222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8" i="1" l="1"/>
  <c r="H438" i="1" s="1"/>
  <c r="I438" i="1"/>
  <c r="J438" i="1" l="1"/>
  <c r="L120" i="1"/>
  <c r="H120" i="1" s="1"/>
  <c r="I120" i="1"/>
  <c r="J12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59" i="1"/>
  <c r="I97" i="1" l="1"/>
  <c r="L97" i="1"/>
  <c r="H97" i="1" s="1"/>
  <c r="I27" i="1"/>
  <c r="J97" i="1" l="1"/>
  <c r="I165" i="1"/>
  <c r="L165" i="1"/>
  <c r="H165" i="1" s="1"/>
  <c r="I164" i="1"/>
  <c r="L164" i="1"/>
  <c r="H164" i="1" s="1"/>
  <c r="J165" i="1" l="1"/>
  <c r="J164" i="1"/>
  <c r="L113" i="1"/>
  <c r="H113" i="1" s="1"/>
  <c r="I113" i="1"/>
  <c r="F12" i="5" a="1"/>
  <c r="F12" i="5" s="1"/>
  <c r="I323" i="1"/>
  <c r="L323" i="1"/>
  <c r="H323" i="1" s="1"/>
  <c r="I328" i="1"/>
  <c r="L328" i="1"/>
  <c r="G328" i="1"/>
  <c r="J113" i="1" l="1"/>
  <c r="H328" i="1"/>
  <c r="J328" i="1" s="1"/>
  <c r="J323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68" i="1"/>
  <c r="L68" i="1"/>
  <c r="H68" i="1" s="1"/>
  <c r="J68" i="1" l="1"/>
  <c r="L166" i="1"/>
  <c r="H166" i="1" s="1"/>
  <c r="I166" i="1"/>
  <c r="J166" i="1" l="1"/>
  <c r="I104" i="1"/>
  <c r="L104" i="1"/>
  <c r="H104" i="1" s="1"/>
  <c r="J104" i="1" l="1"/>
  <c r="L92" i="1"/>
  <c r="H92" i="1" s="1"/>
  <c r="I63" i="1" l="1"/>
  <c r="L63" i="1"/>
  <c r="H63" i="1" s="1"/>
  <c r="J63" i="1" l="1"/>
  <c r="I26" i="1"/>
  <c r="H26" i="1"/>
  <c r="J26" i="1" l="1"/>
  <c r="L58" i="1"/>
  <c r="H58" i="1" s="1"/>
  <c r="J58" i="1" s="1"/>
  <c r="L49" i="1"/>
  <c r="H49" i="1" s="1"/>
  <c r="I77" i="1"/>
  <c r="L77" i="1"/>
  <c r="H77" i="1" s="1"/>
  <c r="J49" i="1" l="1"/>
  <c r="J77" i="1"/>
  <c r="M12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7" i="1"/>
  <c r="L107" i="1"/>
  <c r="H107" i="1" s="1"/>
  <c r="J114" i="1" l="1"/>
  <c r="J48" i="1"/>
  <c r="J47" i="1"/>
  <c r="J65" i="1"/>
  <c r="J107" i="1"/>
  <c r="I75" i="1"/>
  <c r="L75" i="1"/>
  <c r="H75" i="1" s="1"/>
  <c r="L43" i="1"/>
  <c r="H43" i="1" s="1"/>
  <c r="J75" i="1" l="1"/>
  <c r="J43" i="1"/>
  <c r="L70" i="1"/>
  <c r="H70" i="1" s="1"/>
  <c r="I70" i="1"/>
  <c r="J70" i="1" l="1"/>
  <c r="L16" i="1" l="1"/>
  <c r="I117" i="1" l="1"/>
  <c r="L117" i="1"/>
  <c r="H117" i="1" s="1"/>
  <c r="J117" i="1" l="1"/>
  <c r="I215" i="1"/>
  <c r="L215" i="1"/>
  <c r="H215" i="1" s="1"/>
  <c r="J215" i="1" l="1"/>
  <c r="L46" i="1"/>
  <c r="I46" i="1"/>
  <c r="N9" i="1" l="1"/>
  <c r="O9" i="1" s="1"/>
  <c r="I41" i="1"/>
  <c r="L41" i="1"/>
  <c r="H41" i="1" s="1"/>
  <c r="J41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7" i="1"/>
  <c r="J50" i="1" l="1"/>
  <c r="J93" i="1"/>
  <c r="I86" i="1"/>
  <c r="L86" i="1"/>
  <c r="H86" i="1" s="1"/>
  <c r="J86" i="1" l="1"/>
  <c r="L51" i="1"/>
  <c r="H51" i="1" s="1"/>
  <c r="R59" i="1" l="1"/>
  <c r="Q59" i="1"/>
  <c r="P59" i="1"/>
  <c r="N59" i="1"/>
  <c r="O59" i="1" s="1"/>
  <c r="I59" i="1"/>
  <c r="H59" i="1"/>
  <c r="J59" i="1" l="1"/>
  <c r="I36" i="1" l="1"/>
  <c r="L36" i="1"/>
  <c r="H36" i="1" s="1"/>
  <c r="L57" i="1"/>
  <c r="H57" i="1" s="1"/>
  <c r="I57" i="1"/>
  <c r="J36" i="1" l="1"/>
  <c r="I42" i="1"/>
  <c r="L42" i="1"/>
  <c r="H42" i="1" s="1"/>
  <c r="J42" i="1" l="1"/>
  <c r="I12" i="1" l="1"/>
  <c r="L12" i="1"/>
  <c r="H12" i="1" s="1"/>
  <c r="J12" i="1" l="1"/>
  <c r="L40" i="1"/>
  <c r="H40" i="1" s="1"/>
  <c r="J40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D11" i="1" s="1"/>
  <c r="J64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4" i="1"/>
  <c r="L44" i="1"/>
  <c r="H44" i="1" s="1"/>
  <c r="J44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9" i="1" l="1"/>
  <c r="L219" i="1"/>
  <c r="H219" i="1" s="1"/>
  <c r="L116" i="1"/>
  <c r="H116" i="1" s="1"/>
  <c r="I116" i="1"/>
  <c r="I162" i="1"/>
  <c r="L162" i="1"/>
  <c r="H162" i="1" s="1"/>
  <c r="J219" i="1" l="1"/>
  <c r="J162" i="1"/>
  <c r="J116" i="1"/>
  <c r="L28" i="1"/>
  <c r="H28" i="1" s="1"/>
  <c r="J28" i="1" s="1"/>
  <c r="L27" i="1"/>
  <c r="H27" i="1" s="1"/>
  <c r="J27" i="1" s="1"/>
  <c r="L23" i="1"/>
  <c r="L24" i="1" s="1"/>
  <c r="I246" i="1" l="1"/>
  <c r="L246" i="1"/>
  <c r="H246" i="1" s="1"/>
  <c r="I95" i="1"/>
  <c r="L95" i="1"/>
  <c r="H95" i="1" s="1"/>
  <c r="J95" i="1" l="1"/>
  <c r="J246" i="1"/>
  <c r="L62" i="1"/>
  <c r="H62" i="1" s="1"/>
  <c r="J62" i="1" s="1"/>
  <c r="L87" i="1" l="1"/>
  <c r="H87" i="1" s="1"/>
  <c r="I87" i="1"/>
  <c r="L21" i="1"/>
  <c r="J87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53" i="1"/>
  <c r="L253" i="1"/>
  <c r="H253" i="1" s="1"/>
  <c r="I88" i="1"/>
  <c r="L88" i="1"/>
  <c r="H88" i="1" s="1"/>
  <c r="J88" i="1" l="1"/>
  <c r="J253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1" i="1" l="1"/>
  <c r="L71" i="1"/>
  <c r="H71" i="1" s="1"/>
  <c r="J71" i="1" l="1"/>
  <c r="I218" i="1"/>
  <c r="H218" i="1"/>
  <c r="J218" i="1" l="1"/>
  <c r="J57" i="1" l="1"/>
  <c r="I213" i="1"/>
  <c r="H21" i="1"/>
  <c r="I21" i="1"/>
  <c r="J213" i="1" l="1"/>
  <c r="J21" i="1"/>
  <c r="I250" i="1"/>
  <c r="H250" i="1"/>
  <c r="J38" i="1" l="1"/>
  <c r="J250" i="1"/>
  <c r="I92" i="1"/>
  <c r="J92" i="1" l="1"/>
  <c r="H8" i="1"/>
  <c r="I51" i="1" l="1"/>
  <c r="J51" i="1" l="1"/>
  <c r="I257" i="1"/>
  <c r="H257" i="1"/>
  <c r="I256" i="1"/>
  <c r="H256" i="1"/>
  <c r="I255" i="1"/>
  <c r="H255" i="1"/>
  <c r="I254" i="1"/>
  <c r="H254" i="1"/>
  <c r="I251" i="1"/>
  <c r="H251" i="1"/>
  <c r="I249" i="1"/>
  <c r="H249" i="1"/>
  <c r="I245" i="1"/>
  <c r="H245" i="1"/>
  <c r="J6" i="1"/>
  <c r="J8" i="1"/>
  <c r="H2" i="1" l="1"/>
  <c r="J256" i="1"/>
  <c r="J24" i="1"/>
  <c r="J11" i="1"/>
  <c r="J255" i="1"/>
  <c r="J257" i="1"/>
  <c r="J17" i="1"/>
  <c r="J23" i="1"/>
  <c r="J251" i="1"/>
  <c r="J15" i="1"/>
  <c r="J245" i="1"/>
  <c r="J249" i="1"/>
  <c r="J10" i="1"/>
  <c r="J19" i="1"/>
  <c r="J254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0" i="1" s="1"/>
  <c r="D21" i="1" s="1"/>
  <c r="D22" i="1" s="1"/>
  <c r="D23" i="1" s="1"/>
  <c r="D24" i="1" l="1"/>
  <c r="D25" i="1" s="1"/>
  <c r="D26" i="1" s="1"/>
  <c r="D27" i="1" s="1"/>
  <c r="D28" i="1" l="1"/>
  <c r="D29" i="1" s="1"/>
  <c r="D30" i="1" s="1"/>
  <c r="D31" i="1" s="1"/>
  <c r="D32" i="1" l="1"/>
  <c r="D33" i="1" s="1"/>
  <c r="D34" i="1" l="1"/>
  <c r="D35" i="1" s="1"/>
  <c r="B5" i="5"/>
  <c r="B6" i="5" s="1"/>
  <c r="B7" i="5" s="1"/>
  <c r="D36" i="1" l="1"/>
  <c r="D37" i="1" s="1"/>
  <c r="D38" i="1" s="1"/>
  <c r="D39" i="1" s="1"/>
  <c r="D40" i="1" s="1"/>
  <c r="D41" i="1" s="1"/>
  <c r="D42" i="1" s="1"/>
  <c r="D43" i="1" s="1"/>
  <c r="D44" i="1" l="1"/>
  <c r="D45" i="1" s="1"/>
  <c r="D46" i="1" s="1"/>
  <c r="D47" i="1" s="1"/>
  <c r="D48" i="1" s="1"/>
  <c r="D49" i="1" s="1"/>
  <c r="D50" i="1" s="1"/>
  <c r="D51" i="1" s="1"/>
  <c r="B4" i="5"/>
  <c r="B8" i="5" l="1"/>
  <c r="B9" i="5" s="1"/>
  <c r="B10" i="5" s="1"/>
  <c r="A4" i="6" l="1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A34" i="6" l="1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  <c r="D52" i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l="1"/>
  <c r="D64" i="1" s="1"/>
  <c r="D65" i="1" s="1"/>
  <c r="D66" i="1" s="1"/>
  <c r="D67" i="1" l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1" i="1" s="1"/>
  <c r="D102" i="1" s="1"/>
  <c r="D103" i="1" s="1"/>
  <c r="D104" i="1" s="1"/>
  <c r="D105" i="1" s="1"/>
  <c r="D106" i="1" s="1"/>
  <c r="D107" i="1" s="1"/>
  <c r="D108" i="1" s="1"/>
  <c r="D109" i="1" s="1"/>
  <c r="D100" i="1" s="1"/>
  <c r="D110" i="1" s="1"/>
  <c r="D111" i="1" s="1"/>
  <c r="D112" i="1" s="1"/>
  <c r="D113" i="1" s="1"/>
  <c r="D114" i="1" s="1"/>
  <c r="D116" i="1" s="1"/>
  <c r="D117" i="1" s="1"/>
  <c r="D118" i="1" s="1"/>
  <c r="D119" i="1" s="1"/>
  <c r="D120" i="1" l="1"/>
  <c r="D121" i="1" s="1"/>
  <c r="D122" i="1" s="1"/>
  <c r="D123" i="1" s="1"/>
  <c r="D124" i="1" s="1"/>
  <c r="D125" i="1" s="1"/>
  <c r="D126" i="1" l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15" i="1"/>
  <c r="D146" i="1" l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45" i="1"/>
  <c r="D163" i="1" l="1"/>
  <c r="D164" i="1" s="1"/>
  <c r="D165" i="1" s="1"/>
  <c r="D166" i="1" s="1"/>
  <c r="D167" i="1" s="1"/>
  <c r="D168" i="1" s="1"/>
  <c r="D169" i="1" s="1"/>
  <c r="D170" i="1" s="1"/>
  <c r="D171" i="1" s="1"/>
  <c r="D172" i="1" s="1"/>
  <c r="D173" i="1" l="1"/>
  <c r="D174" i="1" s="1"/>
  <c r="D175" i="1" s="1"/>
  <c r="D176" i="1" s="1"/>
  <c r="D177" i="1" s="1"/>
  <c r="D178" i="1" l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12" i="1" s="1"/>
  <c r="D206" i="1" s="1"/>
  <c r="D207" i="1" l="1"/>
  <c r="D208" i="1" s="1"/>
  <c r="D209" i="1" s="1"/>
  <c r="D210" i="1" s="1"/>
  <c r="D211" i="1" s="1"/>
  <c r="D213" i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" i="1" l="1"/>
  <c r="D249" i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42" i="1" l="1"/>
  <c r="D460" i="1"/>
  <c r="D461" i="1" s="1"/>
  <c r="D462" i="1" s="1"/>
  <c r="D463" i="1" s="1"/>
  <c r="D464" i="1" s="1"/>
  <c r="D465" i="1" s="1"/>
  <c r="D466" i="1" l="1"/>
  <c r="D467" i="1" s="1"/>
  <c r="D443" i="1"/>
  <c r="D468" i="1" l="1"/>
  <c r="D469" i="1" s="1"/>
  <c r="D470" i="1" s="1"/>
  <c r="D471" i="1" s="1"/>
  <c r="D436" i="1"/>
  <c r="D472" i="1" l="1"/>
  <c r="D473" i="1" s="1"/>
  <c r="D474" i="1" s="1"/>
  <c r="D475" i="1" s="1"/>
  <c r="D476" i="1" s="1"/>
  <c r="D477" i="1" s="1"/>
  <c r="D478" i="1" s="1"/>
  <c r="D4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<sst xmlns="http://schemas.openxmlformats.org/spreadsheetml/2006/main" count="2997" uniqueCount="1828">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</sst>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calcChain" Target="calcChain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sheetMetadata" Target="metadata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204" Type="http://schemas.microsoft.com/office/2017/10/relationships/person" Target="persons/person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theme" Target="theme/theme1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styles" Target="styles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sharedStrings" Target="sharedStrings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5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0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 refreshError="1"/>
      <sheetData sheetId="1" refreshError="1"/>
      <sheetData sheetId="2" refreshError="1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hyperlink" Target="XERS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208" Type="http://schemas.openxmlformats.org/officeDocument/2006/relationships/printerSettings" Target="../printerSettings/printerSettings1.bin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openxmlformats.org/officeDocument/2006/relationships/comments" Target="../comments1.x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11" Type="http://schemas.microsoft.com/office/2017/10/relationships/threadedComment" Target="../threadedComments/threadedComment1.xm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8"/>
  <sheetViews>
    <sheetView tabSelected="1" zoomScale="130" zoomScaleNormal="13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E10" sqref="E10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RANDBETWEEN(1,D246)</f>
        <v>183</v>
      </c>
      <c r="H2" s="6">
        <f>SUM(H4:H460)-H6-H13-H11-H17-H23-H27-H47-H54</f>
        <v>5262513.0082811629</v>
      </c>
      <c r="M2" s="9">
        <f>MIN(M4:M93)</f>
        <v>45530</v>
      </c>
      <c r="O2" s="10">
        <f>AVERAGE(O4:O22)</f>
        <v>5.3095246010731033E-2</v>
      </c>
      <c r="S2" s="103" t="s">
        <v>312</v>
      </c>
      <c r="T2" s="103"/>
      <c r="U2" s="103"/>
      <c r="V2" s="103"/>
      <c r="W2" s="103"/>
      <c r="X2" s="103"/>
      <c r="Y2" s="103" t="s">
        <v>311</v>
      </c>
      <c r="Z2" s="103"/>
      <c r="AA2" s="103"/>
      <c r="AB2" s="103"/>
      <c r="AC2" s="103"/>
      <c r="AD2" s="103"/>
    </row>
    <row r="3" spans="1:32" x14ac:dyDescent="0.25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5">
      <c r="A4" s="102" t="s">
        <v>334</v>
      </c>
      <c r="D4" s="1">
        <v>1</v>
      </c>
      <c r="E4" s="5" t="s">
        <v>19</v>
      </c>
      <c r="F4" s="1" t="s">
        <v>20</v>
      </c>
      <c r="G4" s="7">
        <v>915.84</v>
      </c>
      <c r="H4" s="6">
        <f>+G4*L4</f>
        <v>869421.28519296006</v>
      </c>
      <c r="I4" s="6">
        <f>+[1]Main!$J$5-[1]Main!$J$6</f>
        <v>-24401</v>
      </c>
      <c r="J4" s="6">
        <f t="shared" ref="J4:J19" si="0">H4-I4</f>
        <v>893822.28519296006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-2.8838692824734058E-2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 s="102" t="s">
        <v>334</v>
      </c>
      <c r="B5"/>
      <c r="C5"/>
      <c r="D5">
        <f>+D4+1</f>
        <v>2</v>
      </c>
      <c r="E5" s="5" t="s">
        <v>17</v>
      </c>
      <c r="F5" t="s">
        <v>18</v>
      </c>
      <c r="G5" s="54">
        <v>210</v>
      </c>
      <c r="H5" s="30">
        <f>+G5*L5</f>
        <v>372120</v>
      </c>
      <c r="I5" s="30">
        <f>+[2]Main!$K$5-[2]Main!$K$6</f>
        <v>-61310</v>
      </c>
      <c r="J5" s="30">
        <f>H5-I5</f>
        <v>433430</v>
      </c>
      <c r="K5" s="28" t="s">
        <v>1280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7.843746486395009E-2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 s="102" t="s">
        <v>334</v>
      </c>
      <c r="B6"/>
      <c r="C6"/>
      <c r="D6" s="1">
        <f>+D5+1</f>
        <v>3</v>
      </c>
      <c r="E6" s="5" t="s">
        <v>25</v>
      </c>
      <c r="F6" s="1" t="s">
        <v>26</v>
      </c>
      <c r="G6" s="7">
        <v>90.42</v>
      </c>
      <c r="H6" s="6">
        <f>+L6*G6</f>
        <v>403363.62</v>
      </c>
      <c r="I6" s="6">
        <f>([3]Main!$J$5-[3]Main!$J$6)/DKK</f>
        <v>2576.3072126966131</v>
      </c>
      <c r="J6" s="6">
        <f t="shared" si="0"/>
        <v>400787.31278730341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5">
      <c r="A7" s="102" t="s">
        <v>334</v>
      </c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5">
      <c r="A8" s="102" t="s">
        <v>334</v>
      </c>
      <c r="D8" s="1">
        <f>+D7+1</f>
        <v>4</v>
      </c>
      <c r="E8" s="5" t="s">
        <v>14</v>
      </c>
      <c r="F8" s="1" t="s">
        <v>15</v>
      </c>
      <c r="G8" s="7">
        <v>164.77</v>
      </c>
      <c r="H8" s="6">
        <f>G8*[4]Main!$R$3</f>
        <v>396601.39</v>
      </c>
      <c r="I8" s="6">
        <f>+[4]Main!$R$5-[4]Main!$R$6</f>
        <v>-15454</v>
      </c>
      <c r="J8" s="6">
        <f>H8-I8</f>
        <v>412055.39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0.10018520658389463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5">
      <c r="A9" s="102" t="s">
        <v>334</v>
      </c>
      <c r="B9"/>
      <c r="C9"/>
      <c r="D9" s="1">
        <f>+D8+1</f>
        <v>5</v>
      </c>
      <c r="E9" s="5" t="s">
        <v>27</v>
      </c>
      <c r="F9" s="1" t="s">
        <v>28</v>
      </c>
      <c r="G9" s="7">
        <v>92.58</v>
      </c>
      <c r="H9" s="6">
        <f>+G9*L9</f>
        <v>235523.52</v>
      </c>
      <c r="I9" s="6">
        <f>+[5]Main!$J$5-[5]Main!$J$6</f>
        <v>-22963</v>
      </c>
      <c r="J9" s="6">
        <f t="shared" si="0"/>
        <v>258486.52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-7.9229112631268306E-3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5">
      <c r="A10" s="102" t="s">
        <v>334</v>
      </c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5">
      <c r="A11" s="102" t="s">
        <v>334</v>
      </c>
      <c r="B11"/>
      <c r="C11"/>
      <c r="D11" s="1">
        <f>+D10+1</f>
        <v>7</v>
      </c>
      <c r="E11" s="5" t="s">
        <v>29</v>
      </c>
      <c r="F11" s="1" t="s">
        <v>30</v>
      </c>
      <c r="G11" s="7">
        <v>112.34</v>
      </c>
      <c r="H11" s="6">
        <f>+G11*L11</f>
        <v>224597.99550722001</v>
      </c>
      <c r="I11" s="6">
        <f>+[7]Main!$K$6-[7]Main!$K$7</f>
        <v>-16296</v>
      </c>
      <c r="J11" s="6">
        <f t="shared" ref="J11:J15" si="1">H11-I11</f>
        <v>240893.99550722001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5">
      <c r="A12" s="102" t="s">
        <v>334</v>
      </c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5">
      <c r="A13" s="102" t="s">
        <v>334</v>
      </c>
      <c r="B13"/>
      <c r="C13"/>
      <c r="D13" s="1">
        <f>+D12+1</f>
        <v>8</v>
      </c>
      <c r="E13" s="5" t="s">
        <v>37</v>
      </c>
      <c r="F13" s="1" t="s">
        <v>38</v>
      </c>
      <c r="G13" s="7">
        <v>78.040000000000006</v>
      </c>
      <c r="H13" s="6">
        <f>+G13*L13*2</f>
        <v>243484.80000000002</v>
      </c>
      <c r="I13" s="6">
        <f>+[8]Main!$K$5-[8]Main!$K$6</f>
        <v>-26324</v>
      </c>
      <c r="J13" s="6">
        <f>H13-I13</f>
        <v>269808.80000000005</v>
      </c>
      <c r="K13" s="3" t="s">
        <v>1073</v>
      </c>
      <c r="L13" s="6">
        <f>+[8]Main!$K$3</f>
        <v>1560</v>
      </c>
      <c r="M13" s="9">
        <v>45608</v>
      </c>
    </row>
    <row r="14" spans="1:32" x14ac:dyDescent="0.25">
      <c r="A14" s="102" t="s">
        <v>334</v>
      </c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5">
      <c r="A15" s="102" t="s">
        <v>334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316.17</v>
      </c>
      <c r="H15" s="6">
        <f>+G15*L15</f>
        <v>170415.63</v>
      </c>
      <c r="I15" s="6">
        <f>[9]Main!$J$5-[9]Main!$J$6</f>
        <v>-51387</v>
      </c>
      <c r="J15" s="6">
        <f t="shared" si="1"/>
        <v>221802.63</v>
      </c>
      <c r="K15" s="3" t="s">
        <v>1279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-3.5092432245121818E-3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5">
      <c r="A16" s="102" t="s">
        <v>334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25.75</v>
      </c>
      <c r="H16" s="6">
        <f>+L16*G16</f>
        <v>145917.39624999999</v>
      </c>
      <c r="I16" s="6">
        <f>+[11]Main!$K$5-[11]Main!$K$6</f>
        <v>-51202</v>
      </c>
      <c r="J16" s="6">
        <f>H16-I16</f>
        <v>197119.39624999999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 s="102" t="s">
        <v>334</v>
      </c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5">
      <c r="A18" s="102" t="s">
        <v>334</v>
      </c>
      <c r="B18"/>
      <c r="C18"/>
      <c r="D18">
        <f>+D17</f>
        <v>11</v>
      </c>
      <c r="E18" s="5" t="s">
        <v>35</v>
      </c>
      <c r="F18" t="s">
        <v>36</v>
      </c>
      <c r="G18" s="7">
        <v>59.05</v>
      </c>
      <c r="H18" s="6">
        <f>+G18*L18*2</f>
        <v>147743.1</v>
      </c>
      <c r="I18" s="6">
        <f>([13]Main!$K$5-[13]Main!$K$6)*EUR</f>
        <v>-12746.130000000001</v>
      </c>
      <c r="J18" s="6">
        <f>H18-I18</f>
        <v>160489.23000000001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5">
      <c r="A19" s="102" t="s">
        <v>334</v>
      </c>
      <c r="B19"/>
      <c r="C19"/>
      <c r="D19" s="1">
        <f>+D18+1</f>
        <v>12</v>
      </c>
      <c r="E19" s="5" t="s">
        <v>31</v>
      </c>
      <c r="F19" s="1" t="s">
        <v>32</v>
      </c>
      <c r="G19" s="3">
        <v>59.77</v>
      </c>
      <c r="H19" s="6">
        <f>+G19*L19</f>
        <v>121177.40978906001</v>
      </c>
      <c r="I19" s="6">
        <f>+[14]Main!$K$5-[14]Main!$K$6</f>
        <v>-45379</v>
      </c>
      <c r="J19" s="6">
        <f t="shared" si="0"/>
        <v>166556.40978906001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5">
      <c r="A20" s="102" t="s">
        <v>334</v>
      </c>
      <c r="B20"/>
      <c r="C20"/>
      <c r="D20" s="1">
        <f>+D19+1</f>
        <v>13</v>
      </c>
      <c r="E20" s="5" t="s">
        <v>45</v>
      </c>
      <c r="F20" s="1" t="s">
        <v>46</v>
      </c>
      <c r="G20" s="7">
        <v>115.62</v>
      </c>
      <c r="H20" s="6">
        <f>+G20*L20</f>
        <v>143945.98440522002</v>
      </c>
      <c r="I20" s="6">
        <f>+[15]Main!$J$5-[15]Main!$J$6</f>
        <v>-20578</v>
      </c>
      <c r="J20" s="6">
        <f t="shared" ref="J20:J26" si="2">H20-I20</f>
        <v>164523.98440522002</v>
      </c>
      <c r="K20" s="3" t="s">
        <v>1073</v>
      </c>
      <c r="L20" s="6">
        <f>+[15]Main!$J$3</f>
        <v>1244.9920810000001</v>
      </c>
      <c r="M20" s="9">
        <v>45712</v>
      </c>
    </row>
    <row r="21" spans="1:31" x14ac:dyDescent="0.25">
      <c r="A21" s="102" t="s">
        <v>334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489.46</v>
      </c>
      <c r="H21" s="6">
        <f>+G21*[16]Main!$M$3</f>
        <v>126330.70428037998</v>
      </c>
      <c r="I21" s="6">
        <f>+[16]Main!$M$5-[16]Main!$M$6</f>
        <v>10188.6</v>
      </c>
      <c r="J21" s="6">
        <f t="shared" si="2"/>
        <v>116142.10428037998</v>
      </c>
      <c r="K21" s="3" t="s">
        <v>1073</v>
      </c>
      <c r="L21" s="6">
        <f>+[16]Main!$M$3</f>
        <v>258.10220299999997</v>
      </c>
      <c r="M21" s="9">
        <v>45712</v>
      </c>
    </row>
    <row r="22" spans="1:31" x14ac:dyDescent="0.25">
      <c r="A22" s="102" t="s">
        <v>334</v>
      </c>
      <c r="B22"/>
      <c r="C22"/>
      <c r="D22" s="1">
        <f>+D21+1</f>
        <v>15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5">
      <c r="A23" s="102" t="s">
        <v>334</v>
      </c>
      <c r="B23"/>
      <c r="C23"/>
      <c r="D23" s="1">
        <f>+D22+1</f>
        <v>16</v>
      </c>
      <c r="E23" s="5" t="s">
        <v>39</v>
      </c>
      <c r="F23" s="1" t="s">
        <v>40</v>
      </c>
      <c r="G23" s="7">
        <v>38.700000000000003</v>
      </c>
      <c r="H23" s="6">
        <f>+G23*L23/2</f>
        <v>78928.650000000009</v>
      </c>
      <c r="I23" s="6">
        <f>([18]Main!$J$6-[18]Main!$J$7)*GBP</f>
        <v>-16541.2</v>
      </c>
      <c r="J23" s="6">
        <f t="shared" si="2"/>
        <v>95469.85</v>
      </c>
      <c r="K23" s="3" t="s">
        <v>1073</v>
      </c>
      <c r="L23" s="6">
        <f>+[18]Main!$J$4</f>
        <v>4079</v>
      </c>
      <c r="M23" s="9">
        <v>45532</v>
      </c>
    </row>
    <row r="24" spans="1:31" x14ac:dyDescent="0.25">
      <c r="A24" s="102" t="s">
        <v>334</v>
      </c>
      <c r="B24"/>
      <c r="C24"/>
      <c r="D24" s="1">
        <f>+D23</f>
        <v>16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5">
      <c r="A25" s="102" t="s">
        <v>334</v>
      </c>
      <c r="B25"/>
      <c r="C25"/>
      <c r="D25" s="1">
        <f>+D24+1</f>
        <v>17</v>
      </c>
      <c r="E25" s="5" t="s">
        <v>51</v>
      </c>
      <c r="F25" s="1" t="s">
        <v>52</v>
      </c>
      <c r="G25" s="7">
        <v>666.59</v>
      </c>
      <c r="H25" s="6">
        <f>+G25*L25</f>
        <v>76924.486000000004</v>
      </c>
      <c r="I25" s="6">
        <f>+[19]Main!$J$5-[19]Main!$J$6</f>
        <v>15547</v>
      </c>
      <c r="J25" s="6">
        <f t="shared" si="2"/>
        <v>61377.486000000004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5">
      <c r="A26" s="102" t="s">
        <v>334</v>
      </c>
      <c r="B26"/>
      <c r="C26"/>
      <c r="D26" s="1">
        <f>+D25+1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5">
      <c r="A27" s="102" t="s">
        <v>334</v>
      </c>
      <c r="B27"/>
      <c r="C27"/>
      <c r="D27" s="1">
        <f>+D26+1</f>
        <v>19</v>
      </c>
      <c r="E27" s="5" t="s">
        <v>61</v>
      </c>
      <c r="F27" s="1" t="s">
        <v>62</v>
      </c>
      <c r="G27" s="3">
        <v>15.02</v>
      </c>
      <c r="H27" s="6">
        <f>+G27*2*L27</f>
        <v>47132.76</v>
      </c>
      <c r="I27" s="6">
        <f>([21]Main!$K$6-[21]Main!$K$7)/JPY</f>
        <v>-28167.297762478487</v>
      </c>
      <c r="J27" s="6">
        <f t="shared" ref="J27:J33" si="3">+H27-I27</f>
        <v>75300.057762478493</v>
      </c>
      <c r="K27" s="3" t="s">
        <v>1073</v>
      </c>
      <c r="L27" s="6">
        <f>+[21]Main!$K$4</f>
        <v>1569</v>
      </c>
      <c r="M27" s="9">
        <v>45535</v>
      </c>
    </row>
    <row r="28" spans="1:31" x14ac:dyDescent="0.25">
      <c r="A28" s="102" t="s">
        <v>334</v>
      </c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5">
      <c r="A29" s="102" t="s">
        <v>334</v>
      </c>
      <c r="D29" s="1">
        <f t="shared" ref="D29:D54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5">
      <c r="A30" s="102" t="s">
        <v>334</v>
      </c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5">
      <c r="A31" s="102" t="s">
        <v>334</v>
      </c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5">
      <c r="A32" s="102" t="s">
        <v>334</v>
      </c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5">
      <c r="A33" s="102" t="s">
        <v>334</v>
      </c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5">
      <c r="A34" s="102" t="s">
        <v>334</v>
      </c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95</v>
      </c>
      <c r="F35" s="1" t="s">
        <v>96</v>
      </c>
      <c r="G35" s="3">
        <v>15.83</v>
      </c>
      <c r="H35" s="6">
        <f>+G35*L35</f>
        <v>17935.39</v>
      </c>
      <c r="I35" s="6">
        <f>+[28]Main!$M$5-[28]Main!$M$6</f>
        <v>-16382</v>
      </c>
      <c r="J35" s="6">
        <f>+H35-I35</f>
        <v>34317.39</v>
      </c>
      <c r="K35" s="3" t="s">
        <v>1073</v>
      </c>
      <c r="L35" s="6">
        <f>+[28]Main!$M$3</f>
        <v>1133</v>
      </c>
      <c r="M35" s="9">
        <v>45542</v>
      </c>
    </row>
    <row r="36" spans="1:32" x14ac:dyDescent="0.25">
      <c r="A36" s="102" t="s">
        <v>334</v>
      </c>
      <c r="B36"/>
      <c r="C36"/>
      <c r="D36" s="1">
        <f>+D35+1</f>
        <v>27</v>
      </c>
      <c r="E36" s="5" t="s">
        <v>63</v>
      </c>
      <c r="F36" s="1" t="s">
        <v>64</v>
      </c>
      <c r="G36" s="7">
        <v>634</v>
      </c>
      <c r="H36" s="6">
        <f>+G36*L36</f>
        <v>38103.4</v>
      </c>
      <c r="I36" s="6">
        <f>+[29]Main!$K$5-[29]Main!$K$6</f>
        <v>3374</v>
      </c>
      <c r="J36" s="6">
        <f>H36-I36</f>
        <v>34729.4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5">
      <c r="A37" s="102" t="s">
        <v>334</v>
      </c>
      <c r="B37"/>
      <c r="C37"/>
      <c r="D37" s="1">
        <f>+D36+1</f>
        <v>28</v>
      </c>
      <c r="E37" s="5" t="s">
        <v>57</v>
      </c>
      <c r="F37" s="1" t="s">
        <v>58</v>
      </c>
      <c r="G37" s="7">
        <v>247.06</v>
      </c>
      <c r="H37" s="6">
        <f>+G37*L37</f>
        <v>31717.689541780001</v>
      </c>
      <c r="I37" s="6">
        <f>+[30]Main!$L$5-[30]Main!$L$6</f>
        <v>246.8090000000002</v>
      </c>
      <c r="J37" s="6">
        <f>H37-I37</f>
        <v>31470.880541779999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5">
      <c r="D38" s="1">
        <f t="shared" si="4"/>
        <v>29</v>
      </c>
      <c r="E38" s="5" t="s">
        <v>75</v>
      </c>
      <c r="F38" s="1" t="s">
        <v>76</v>
      </c>
      <c r="G38" s="7">
        <v>9.4</v>
      </c>
      <c r="H38" s="6">
        <f>G38*[31]Main!$M$3</f>
        <v>11219.092352200001</v>
      </c>
      <c r="I38" s="6">
        <f>[31]Main!$M$5-[31]Main!$M$6</f>
        <v>-16182</v>
      </c>
      <c r="J38" s="6">
        <f>H38-I38</f>
        <v>27401.092352200001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5">
      <c r="A39"/>
      <c r="B39"/>
      <c r="C39"/>
      <c r="D39" s="1">
        <f t="shared" si="4"/>
        <v>30</v>
      </c>
      <c r="E39" s="5" t="s">
        <v>65</v>
      </c>
      <c r="F39" s="1" t="s">
        <v>66</v>
      </c>
      <c r="G39" s="3">
        <v>35.159999999999997</v>
      </c>
      <c r="H39" s="6">
        <f>+G39*L39</f>
        <v>17931.599999999999</v>
      </c>
      <c r="I39" s="6">
        <f>+[32]Main!$K$5-[32]Main!$K$6</f>
        <v>-10809</v>
      </c>
      <c r="J39" s="6">
        <f>+H39-I39</f>
        <v>28740.6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5">
      <c r="A40" s="102" t="s">
        <v>334</v>
      </c>
      <c r="D40" s="1">
        <f>+D39+1</f>
        <v>31</v>
      </c>
      <c r="E40" s="5" t="s">
        <v>81</v>
      </c>
      <c r="F40" s="1" t="s">
        <v>82</v>
      </c>
      <c r="G40" s="17">
        <v>1792</v>
      </c>
      <c r="H40" s="6">
        <f>+G40*L40/JPY</f>
        <v>22486.213397590363</v>
      </c>
      <c r="I40" s="6">
        <f>([33]Main!$K$5-[33]Main!$K$6)/JPY</f>
        <v>-5033.4526678141137</v>
      </c>
      <c r="J40" s="6">
        <f>+H40-I40</f>
        <v>27519.666065404475</v>
      </c>
      <c r="K40" s="3" t="s">
        <v>1073</v>
      </c>
      <c r="L40" s="6">
        <f>+[33]Main!$K$3</f>
        <v>1822.6130000000001</v>
      </c>
      <c r="M40" s="9">
        <v>45537</v>
      </c>
      <c r="AE40">
        <v>1940</v>
      </c>
    </row>
    <row r="41" spans="1:32" x14ac:dyDescent="0.25">
      <c r="A41"/>
      <c r="B41"/>
      <c r="C41"/>
      <c r="D41" s="1">
        <f t="shared" si="4"/>
        <v>32</v>
      </c>
      <c r="E41" s="5" t="s">
        <v>67</v>
      </c>
      <c r="F41" s="1" t="s">
        <v>68</v>
      </c>
      <c r="G41" s="17">
        <v>8383</v>
      </c>
      <c r="H41" s="6">
        <f>+G41*L41/JPY</f>
        <v>31323.027557142854</v>
      </c>
      <c r="I41" s="6">
        <f>([34]Main!$L$5-[34]Main!$L$6)/JPY</f>
        <v>6437.1703958691915</v>
      </c>
      <c r="J41" s="6">
        <f>H41-I41</f>
        <v>24885.857161273663</v>
      </c>
      <c r="K41" s="3" t="s">
        <v>1073</v>
      </c>
      <c r="L41" s="6">
        <f>+[34]Main!$L$3</f>
        <v>542.72572500000001</v>
      </c>
      <c r="M41" s="9">
        <v>45539</v>
      </c>
    </row>
    <row r="42" spans="1:32" x14ac:dyDescent="0.25">
      <c r="A42"/>
      <c r="B42"/>
      <c r="C42"/>
      <c r="D42" s="1">
        <f t="shared" si="4"/>
        <v>33</v>
      </c>
      <c r="E42" s="5" t="s">
        <v>77</v>
      </c>
      <c r="F42" s="1" t="s">
        <v>78</v>
      </c>
      <c r="G42" s="7">
        <v>29.37</v>
      </c>
      <c r="H42" s="6">
        <f>+G42*L42</f>
        <v>17429.895176760001</v>
      </c>
      <c r="I42" s="6">
        <f>+[35]Main!$L$5-[35]Main!$L$6</f>
        <v>-4677.3590000000004</v>
      </c>
      <c r="J42" s="6">
        <f>+H42-I42</f>
        <v>22107.254176760001</v>
      </c>
      <c r="K42" s="3" t="s">
        <v>1073</v>
      </c>
      <c r="L42" s="6">
        <f>+[35]Main!$L$3</f>
        <v>593.45914800000003</v>
      </c>
      <c r="M42" s="9">
        <v>45537</v>
      </c>
      <c r="AE42" s="1">
        <v>1996</v>
      </c>
    </row>
    <row r="43" spans="1:32" x14ac:dyDescent="0.25">
      <c r="A43" s="102" t="s">
        <v>334</v>
      </c>
      <c r="B43"/>
      <c r="C43"/>
      <c r="D43" s="1">
        <f t="shared" si="4"/>
        <v>34</v>
      </c>
      <c r="E43" s="5" t="s">
        <v>353</v>
      </c>
      <c r="F43" t="s">
        <v>354</v>
      </c>
      <c r="G43" s="20">
        <v>198500</v>
      </c>
      <c r="H43" s="6">
        <f>+G43*L43/KRW</f>
        <v>19737.396199930219</v>
      </c>
      <c r="I43" s="6">
        <f>([36]Main!$J$5-[36]Main!$J$6)/KRW</f>
        <v>-768.78087927424986</v>
      </c>
      <c r="J43" s="6">
        <f>H43-I43</f>
        <v>20506.17707920447</v>
      </c>
      <c r="K43" s="3" t="s">
        <v>1073</v>
      </c>
      <c r="L43" s="6">
        <f>+[36]Main!$J$3</f>
        <v>142.48709700000001</v>
      </c>
      <c r="M43" s="9">
        <v>45537</v>
      </c>
    </row>
    <row r="44" spans="1:32" x14ac:dyDescent="0.25">
      <c r="A44" s="102" t="s">
        <v>334</v>
      </c>
      <c r="B44"/>
      <c r="C44"/>
      <c r="D44" s="1">
        <f>+D43+1</f>
        <v>35</v>
      </c>
      <c r="E44" s="5" t="s">
        <v>263</v>
      </c>
      <c r="F44" t="s">
        <v>264</v>
      </c>
      <c r="G44" s="7">
        <v>142.96</v>
      </c>
      <c r="H44" s="6">
        <f>+G44*L44</f>
        <v>20872.16</v>
      </c>
      <c r="I44" s="6">
        <f>+[37]Main!$J$5-[37]Main!$J$6</f>
        <v>-1500</v>
      </c>
      <c r="J44" s="6">
        <f>+H44-I44</f>
        <v>22372.16</v>
      </c>
      <c r="K44" s="3" t="s">
        <v>1073</v>
      </c>
      <c r="L44" s="6">
        <f>+[37]Main!$J$3</f>
        <v>146</v>
      </c>
      <c r="M44" s="9">
        <v>45721</v>
      </c>
      <c r="AE44" s="1">
        <v>1978</v>
      </c>
      <c r="AF44" s="1" t="s">
        <v>609</v>
      </c>
    </row>
    <row r="45" spans="1:32" x14ac:dyDescent="0.25">
      <c r="D45" s="1">
        <f>+D44+1</f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5">
      <c r="A46"/>
      <c r="B46"/>
      <c r="C46"/>
      <c r="D46" s="1">
        <f>+D45+1</f>
        <v>37</v>
      </c>
      <c r="E46" s="5" t="s">
        <v>69</v>
      </c>
      <c r="F46" s="1" t="s">
        <v>70</v>
      </c>
      <c r="G46" s="7">
        <v>70.650000000000006</v>
      </c>
      <c r="H46" s="6">
        <f>+G46*L46</f>
        <v>13450.546374300002</v>
      </c>
      <c r="I46" s="6">
        <f>+[39]Main!$L$5-[39]Main!$L$6</f>
        <v>692.48099999999977</v>
      </c>
      <c r="J46" s="6">
        <f t="shared" ref="J46" si="5">H46-I46</f>
        <v>12758.065374300002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5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 t="shared" ref="J47:J52" si="6"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5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 t="shared" si="6"/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5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 t="shared" si="6"/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5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 t="shared" si="6"/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5">
      <c r="A51"/>
      <c r="B51"/>
      <c r="C51"/>
      <c r="D51" s="1">
        <f t="shared" si="4"/>
        <v>42</v>
      </c>
      <c r="E51" s="5" t="s">
        <v>89</v>
      </c>
      <c r="F51" s="1" t="s">
        <v>90</v>
      </c>
      <c r="G51" s="7">
        <v>363.55</v>
      </c>
      <c r="H51" s="6">
        <f>+G51*L51</f>
        <v>16174.767034800001</v>
      </c>
      <c r="I51" s="6">
        <f>[43]Main!$K$5-[43]Main!$K$6</f>
        <v>3801.8999999999996</v>
      </c>
      <c r="J51" s="6">
        <f t="shared" si="6"/>
        <v>12372.867034800001</v>
      </c>
      <c r="K51" s="3" t="s">
        <v>1073</v>
      </c>
      <c r="L51" s="6">
        <f>+[43]Main!$K$3</f>
        <v>44.491176000000003</v>
      </c>
      <c r="M51" s="9">
        <v>45537</v>
      </c>
    </row>
    <row r="52" spans="1:31" x14ac:dyDescent="0.25">
      <c r="A52" t="s">
        <v>334</v>
      </c>
      <c r="B52"/>
      <c r="C52"/>
      <c r="D52" s="1">
        <f t="shared" si="4"/>
        <v>43</v>
      </c>
      <c r="E52" s="5" t="s">
        <v>708</v>
      </c>
      <c r="F52" t="s">
        <v>709</v>
      </c>
      <c r="G52" s="7">
        <v>17.95</v>
      </c>
      <c r="H52" s="6">
        <f>+G52*L52</f>
        <v>13005.45263045</v>
      </c>
      <c r="I52" s="6">
        <f>+[44]Main!$K$5-[44]Main!$K$6</f>
        <v>225.46900000000005</v>
      </c>
      <c r="J52" s="6">
        <f t="shared" si="6"/>
        <v>12779.983630449999</v>
      </c>
      <c r="K52" s="3" t="s">
        <v>1073</v>
      </c>
      <c r="L52" s="6">
        <f>+[44]Main!$K$3</f>
        <v>724.53775099999996</v>
      </c>
      <c r="M52" s="9">
        <v>45544</v>
      </c>
    </row>
    <row r="53" spans="1:31" x14ac:dyDescent="0.25">
      <c r="A53"/>
      <c r="B53"/>
      <c r="C53"/>
      <c r="D53" s="1">
        <f t="shared" si="4"/>
        <v>44</v>
      </c>
      <c r="E53" s="5" t="s">
        <v>114</v>
      </c>
      <c r="F53" s="1" t="s">
        <v>115</v>
      </c>
      <c r="G53" s="3">
        <v>19.079999999999998</v>
      </c>
      <c r="H53" s="6">
        <f>+G53*L53</f>
        <v>4912.5939411599993</v>
      </c>
      <c r="I53" s="6">
        <f>[45]Main!$L$5-[45]Main!$L$6</f>
        <v>-7952</v>
      </c>
      <c r="J53" s="6">
        <f>+H53-I53</f>
        <v>12864.593941159999</v>
      </c>
      <c r="K53" s="3" t="s">
        <v>1073</v>
      </c>
      <c r="L53" s="6">
        <f>+[45]Main!$L$3</f>
        <v>257.473477</v>
      </c>
      <c r="M53" s="9">
        <v>45562</v>
      </c>
    </row>
    <row r="54" spans="1:31" customFormat="1" x14ac:dyDescent="0.25">
      <c r="D54" s="1">
        <f t="shared" si="4"/>
        <v>45</v>
      </c>
      <c r="E54" s="5" t="s">
        <v>381</v>
      </c>
      <c r="F54" t="s">
        <v>382</v>
      </c>
      <c r="G54" s="46">
        <v>22.51</v>
      </c>
      <c r="H54" s="31">
        <f>+G54*L54/CNY</f>
        <v>8484.5832136262343</v>
      </c>
      <c r="I54" s="6">
        <f>([46]Main!$K$6-[46]Main!$K$7)/CNY</f>
        <v>-2662.9055007052189</v>
      </c>
      <c r="J54" s="6">
        <f>+H54-I54</f>
        <v>11147.488714331454</v>
      </c>
      <c r="K54" s="3" t="s">
        <v>1116</v>
      </c>
      <c r="L54" s="6">
        <f>+[46]Main!$K$4</f>
        <v>2672.3987109999998</v>
      </c>
      <c r="M54" s="9">
        <v>45542</v>
      </c>
    </row>
    <row r="55" spans="1:31" x14ac:dyDescent="0.25">
      <c r="A55"/>
      <c r="B55"/>
      <c r="C55"/>
      <c r="D55" s="1">
        <f>+D54</f>
        <v>45</v>
      </c>
      <c r="E55" s="5" t="s">
        <v>381</v>
      </c>
      <c r="F55" t="s">
        <v>383</v>
      </c>
      <c r="G55" s="3">
        <v>12.12</v>
      </c>
      <c r="H55" s="6">
        <f>+G55*L55/HKD</f>
        <v>4152.4964586307688</v>
      </c>
      <c r="I55" s="6">
        <f>([46]Main!$K$6-[46]Main!$K$7)/CNY</f>
        <v>-2662.9055007052189</v>
      </c>
      <c r="J55" s="6">
        <f>+H55-I55</f>
        <v>6815.4019593359881</v>
      </c>
      <c r="K55" s="3" t="s">
        <v>1116</v>
      </c>
      <c r="L55" s="6">
        <f>+[46]Main!$K$4</f>
        <v>2672.3987109999998</v>
      </c>
      <c r="M55" s="9">
        <v>45542</v>
      </c>
    </row>
    <row r="56" spans="1:31" x14ac:dyDescent="0.25">
      <c r="A56" t="s">
        <v>334</v>
      </c>
      <c r="B56"/>
      <c r="C56"/>
      <c r="D56" s="1">
        <f>+D55+1</f>
        <v>46</v>
      </c>
      <c r="E56" s="5" t="s">
        <v>175</v>
      </c>
      <c r="F56" s="1" t="s">
        <v>176</v>
      </c>
      <c r="G56" s="7">
        <v>74</v>
      </c>
      <c r="H56" s="6">
        <f>+G56*L56</f>
        <v>12716.833622000002</v>
      </c>
      <c r="I56" s="6">
        <f>+[47]Main!$L$5-[47]Main!$L$6</f>
        <v>299.97399999999993</v>
      </c>
      <c r="J56" s="6">
        <f>+H56-I56</f>
        <v>12416.859622000002</v>
      </c>
      <c r="K56" s="3" t="s">
        <v>1073</v>
      </c>
      <c r="L56" s="6">
        <f>+[47]Main!$L$3</f>
        <v>171.84910300000001</v>
      </c>
      <c r="M56" s="9">
        <v>45583</v>
      </c>
      <c r="AE56" s="1">
        <v>1999</v>
      </c>
    </row>
    <row r="57" spans="1:31" x14ac:dyDescent="0.25">
      <c r="D57" s="1">
        <f>+D56+1</f>
        <v>47</v>
      </c>
      <c r="E57" s="5" t="s">
        <v>49</v>
      </c>
      <c r="F57" s="1" t="s">
        <v>50</v>
      </c>
      <c r="G57" s="7">
        <v>65.72</v>
      </c>
      <c r="H57" s="6">
        <f>+G57*L57</f>
        <v>12657.542334440001</v>
      </c>
      <c r="I57" s="6">
        <f>+[48]Main!$K$5-[48]Main!$K$6</f>
        <v>1549.0429999999999</v>
      </c>
      <c r="J57" s="6">
        <f>H57-I57</f>
        <v>11108.499334440001</v>
      </c>
      <c r="K57" s="3" t="s">
        <v>1073</v>
      </c>
      <c r="L57" s="6">
        <f>+[48]Main!$K$3</f>
        <v>192.598027</v>
      </c>
      <c r="M57" s="9">
        <v>45537</v>
      </c>
    </row>
    <row r="58" spans="1:31" x14ac:dyDescent="0.25">
      <c r="A58"/>
      <c r="B58"/>
      <c r="C58"/>
      <c r="D58" s="1">
        <f>+D57+1</f>
        <v>48</v>
      </c>
      <c r="E58" s="5" t="s">
        <v>274</v>
      </c>
      <c r="F58" t="s">
        <v>275</v>
      </c>
      <c r="G58" s="17">
        <v>6022</v>
      </c>
      <c r="H58" s="6">
        <f>+G58*L58/JPY</f>
        <v>11871.835559820998</v>
      </c>
      <c r="I58" s="6">
        <f>+([49]Main!$K$5-[49]Main!$K$6)/JPY</f>
        <v>861.49397590361446</v>
      </c>
      <c r="J58" s="6">
        <f>H58-I58</f>
        <v>11010.341583917383</v>
      </c>
      <c r="K58" s="3" t="s">
        <v>1073</v>
      </c>
      <c r="L58" s="6">
        <f>+[49]Main!$K$3</f>
        <v>286.34741200000002</v>
      </c>
      <c r="M58" s="9">
        <v>45537</v>
      </c>
    </row>
    <row r="59" spans="1:31" x14ac:dyDescent="0.25">
      <c r="A59"/>
      <c r="B59"/>
      <c r="C59"/>
      <c r="D59" s="1">
        <f t="shared" ref="D59:D90" si="7">+D58+1</f>
        <v>49</v>
      </c>
      <c r="E59" s="5" t="s">
        <v>93</v>
      </c>
      <c r="F59" s="1" t="s">
        <v>94</v>
      </c>
      <c r="G59" s="7">
        <v>115</v>
      </c>
      <c r="H59" s="6">
        <f>+G59*L59</f>
        <v>7101.6536500000002</v>
      </c>
      <c r="I59" s="6">
        <f>+[50]Main!$K$5-[50]Main!$K$6</f>
        <v>-3725.9790000000003</v>
      </c>
      <c r="J59" s="6">
        <f>+H59-I59</f>
        <v>10827.63265</v>
      </c>
      <c r="K59" s="3" t="s">
        <v>1073</v>
      </c>
      <c r="L59" s="6">
        <f>+[50]Main!$K$3</f>
        <v>61.753509999999999</v>
      </c>
      <c r="M59" s="9">
        <v>45537</v>
      </c>
      <c r="N59" s="7">
        <f>+[50]Model!$AP$31</f>
        <v>0.94</v>
      </c>
      <c r="O59" s="10">
        <f>+N59/G59-1</f>
        <v>-0.99182608695652175</v>
      </c>
      <c r="P59" s="10">
        <f>+[50]Model!$AP$28</f>
        <v>0</v>
      </c>
      <c r="Q59" s="10">
        <f>+[50]Model!$AP$27</f>
        <v>67.853000000000009</v>
      </c>
      <c r="R59" s="10">
        <f>+[50]Model!$AP$29</f>
        <v>-0.32933821939538621</v>
      </c>
    </row>
    <row r="60" spans="1:31" x14ac:dyDescent="0.25">
      <c r="A60"/>
      <c r="B60"/>
      <c r="C60"/>
      <c r="D60" s="1">
        <f t="shared" si="7"/>
        <v>50</v>
      </c>
      <c r="E60" s="5" t="s">
        <v>1121</v>
      </c>
      <c r="F60" t="s">
        <v>1122</v>
      </c>
      <c r="G60" s="7">
        <v>113</v>
      </c>
      <c r="H60" s="6">
        <f>+G60*L60</f>
        <v>12611.892823</v>
      </c>
      <c r="I60" s="6">
        <f>+[51]Main!$L$5-[51]Main!$L$6</f>
        <v>1853.0430000000001</v>
      </c>
      <c r="J60" s="6">
        <f t="shared" ref="J60" si="8">+H60-I60</f>
        <v>10758.849823</v>
      </c>
      <c r="K60" s="3" t="s">
        <v>1073</v>
      </c>
      <c r="L60" s="6">
        <f>+[51]Main!$L$3</f>
        <v>111.60967100000001</v>
      </c>
      <c r="M60" s="9">
        <v>45544</v>
      </c>
      <c r="AE60" s="1">
        <v>2013</v>
      </c>
    </row>
    <row r="61" spans="1:31" x14ac:dyDescent="0.25">
      <c r="D61" s="1">
        <f t="shared" si="7"/>
        <v>51</v>
      </c>
      <c r="E61" s="5" t="s">
        <v>366</v>
      </c>
      <c r="F61" t="s">
        <v>367</v>
      </c>
      <c r="G61" s="15">
        <v>111.5</v>
      </c>
      <c r="H61" s="6">
        <f>+G61*L61*EUR</f>
        <v>10373.304810390002</v>
      </c>
      <c r="I61" s="6">
        <f>([52]Main!$L$5-[52]Main!$L$6)*EUR</f>
        <v>7.548</v>
      </c>
      <c r="J61" s="6">
        <f>+H61-I61</f>
        <v>10365.756810390001</v>
      </c>
      <c r="K61" s="3" t="s">
        <v>1073</v>
      </c>
      <c r="L61" s="6">
        <f>+[52]Main!$L$3</f>
        <v>83.814526000000001</v>
      </c>
      <c r="M61" s="9">
        <v>45563</v>
      </c>
    </row>
    <row r="62" spans="1:31" x14ac:dyDescent="0.25">
      <c r="A62" s="89" t="s">
        <v>334</v>
      </c>
      <c r="B62"/>
      <c r="C62"/>
      <c r="D62" s="1">
        <f>+D61+1</f>
        <v>52</v>
      </c>
      <c r="E62" s="5" t="s">
        <v>73</v>
      </c>
      <c r="F62" s="1" t="s">
        <v>74</v>
      </c>
      <c r="G62" s="7">
        <v>117.75</v>
      </c>
      <c r="H62" s="6">
        <f>+G62*L62</f>
        <v>28229.355798000001</v>
      </c>
      <c r="I62" s="6">
        <f>+[53]Main!$K$5-[53]Main!$K$6</f>
        <v>18066.8</v>
      </c>
      <c r="J62" s="6">
        <f>+H62-I62</f>
        <v>10162.555798000001</v>
      </c>
      <c r="K62" s="3" t="s">
        <v>1279</v>
      </c>
      <c r="L62" s="6">
        <f>+[53]Main!$K$3</f>
        <v>239.73975200000001</v>
      </c>
      <c r="M62" s="9">
        <v>45684</v>
      </c>
      <c r="AE62" s="1">
        <v>2008</v>
      </c>
    </row>
    <row r="63" spans="1:31" x14ac:dyDescent="0.25">
      <c r="D63" s="1">
        <f>+D62+1</f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1073</v>
      </c>
      <c r="L63" s="6">
        <f>[54]Main!$M$3</f>
        <v>206.29916</v>
      </c>
      <c r="M63" s="9">
        <v>45540</v>
      </c>
      <c r="AE63" s="1">
        <v>1926</v>
      </c>
    </row>
    <row r="64" spans="1:31" x14ac:dyDescent="0.25">
      <c r="D64" s="1">
        <f t="shared" si="7"/>
        <v>54</v>
      </c>
      <c r="E64" s="5" t="s">
        <v>91</v>
      </c>
      <c r="F64" s="1" t="s">
        <v>92</v>
      </c>
      <c r="G64" s="7">
        <v>114</v>
      </c>
      <c r="H64" s="6">
        <f>+G64*L64</f>
        <v>11742</v>
      </c>
      <c r="I64" s="6">
        <f>+[55]Main!$L$5-[55]Main!$L$6</f>
        <v>1940</v>
      </c>
      <c r="J64" s="6">
        <f>H64-I64</f>
        <v>9802</v>
      </c>
      <c r="K64" s="3" t="s">
        <v>1280</v>
      </c>
      <c r="L64" s="6">
        <f>+[55]Main!$L$3</f>
        <v>103</v>
      </c>
      <c r="M64" s="9">
        <v>45707</v>
      </c>
    </row>
    <row r="65" spans="1:32" x14ac:dyDescent="0.25">
      <c r="A65"/>
      <c r="B65"/>
      <c r="C65"/>
      <c r="D65" s="1">
        <f t="shared" si="7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1073</v>
      </c>
      <c r="L65" s="6">
        <f>+[56]Main!$M$3</f>
        <v>126.678</v>
      </c>
      <c r="M65" s="9">
        <v>45538</v>
      </c>
    </row>
    <row r="66" spans="1:32" x14ac:dyDescent="0.25">
      <c r="A66"/>
      <c r="B66"/>
      <c r="C66"/>
      <c r="D66" s="1">
        <f t="shared" si="7"/>
        <v>56</v>
      </c>
      <c r="E66" s="5" t="s">
        <v>139</v>
      </c>
      <c r="F66" s="1" t="s">
        <v>140</v>
      </c>
      <c r="G66" s="3">
        <v>116.81</v>
      </c>
      <c r="H66" s="6">
        <f>+G66*L66</f>
        <v>8110.1932920200006</v>
      </c>
      <c r="I66" s="6">
        <f>+[57]Main!$K$5-[57]Main!$K$6</f>
        <v>310.25300000000004</v>
      </c>
      <c r="J66" s="6">
        <f>+H66-I66</f>
        <v>7799.9402920200009</v>
      </c>
      <c r="K66" s="3" t="s">
        <v>1073</v>
      </c>
      <c r="L66" s="6">
        <f>+[57]Main!$K$3</f>
        <v>69.430642000000006</v>
      </c>
      <c r="M66" s="9">
        <v>45586</v>
      </c>
    </row>
    <row r="67" spans="1:32" x14ac:dyDescent="0.25">
      <c r="A67"/>
      <c r="B67"/>
      <c r="C67"/>
      <c r="D67" s="1">
        <f t="shared" si="7"/>
        <v>57</v>
      </c>
      <c r="E67" s="5" t="s">
        <v>372</v>
      </c>
      <c r="F67" t="s">
        <v>373</v>
      </c>
      <c r="G67" s="3">
        <v>49.22</v>
      </c>
      <c r="H67" s="6">
        <f>+G67*L67*EUR</f>
        <v>7710.7431827999999</v>
      </c>
      <c r="I67" s="6">
        <f>([58]Main!$L$5-[58]Main!$L$6)*EUR</f>
        <v>-123.432</v>
      </c>
      <c r="J67" s="6">
        <f>+H67-I67</f>
        <v>7834.1751827999997</v>
      </c>
      <c r="K67" s="3" t="s">
        <v>1073</v>
      </c>
      <c r="L67" s="6">
        <f>+[58]Main!$L$3</f>
        <v>141.13399999999999</v>
      </c>
      <c r="M67" s="9">
        <v>45566</v>
      </c>
    </row>
    <row r="68" spans="1:32" x14ac:dyDescent="0.25">
      <c r="D68" s="1">
        <f t="shared" si="7"/>
        <v>58</v>
      </c>
      <c r="E68" s="5" t="s">
        <v>137</v>
      </c>
      <c r="F68" s="1" t="s">
        <v>138</v>
      </c>
      <c r="G68" s="7">
        <v>126</v>
      </c>
      <c r="H68" s="6">
        <f>G68*L68</f>
        <v>7337.1059999999998</v>
      </c>
      <c r="I68" s="6">
        <f>[59]Main!$K$5-[59]Main!$K$6</f>
        <v>-413.63900000000001</v>
      </c>
      <c r="J68" s="6">
        <f>H68-I68</f>
        <v>7750.7449999999999</v>
      </c>
      <c r="K68" s="3" t="s">
        <v>1073</v>
      </c>
      <c r="L68" s="6">
        <f>[59]Main!$K$3</f>
        <v>58.231000000000002</v>
      </c>
      <c r="M68" s="9">
        <v>45539</v>
      </c>
      <c r="AE68" s="1">
        <v>2007</v>
      </c>
      <c r="AF68" s="1" t="s">
        <v>1144</v>
      </c>
    </row>
    <row r="69" spans="1:32" s="25" customFormat="1" ht="13" x14ac:dyDescent="0.3">
      <c r="D69" s="25">
        <f t="shared" si="7"/>
        <v>59</v>
      </c>
      <c r="E69" s="43" t="s">
        <v>1061</v>
      </c>
      <c r="F69" s="25" t="s">
        <v>1062</v>
      </c>
      <c r="G69" s="47">
        <v>78</v>
      </c>
      <c r="H69" s="27">
        <f>+G69*L69</f>
        <v>8112</v>
      </c>
      <c r="I69" s="26">
        <f>+[60]Main!$K$5-[60]Main!$K$6</f>
        <v>711</v>
      </c>
      <c r="J69" s="27">
        <f t="shared" ref="J69" si="9">+H69-I69</f>
        <v>7401</v>
      </c>
      <c r="K69" s="26" t="s">
        <v>1116</v>
      </c>
      <c r="L69" s="26">
        <f>+[60]Main!$K$3</f>
        <v>104</v>
      </c>
      <c r="M69" s="44">
        <v>45541</v>
      </c>
      <c r="N69" s="26"/>
      <c r="O69" s="26"/>
      <c r="P69" s="26"/>
      <c r="Q69" s="26"/>
      <c r="R69" s="26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</row>
    <row r="70" spans="1:32" x14ac:dyDescent="0.25">
      <c r="D70">
        <f t="shared" si="7"/>
        <v>60</v>
      </c>
      <c r="E70" s="5" t="s">
        <v>101</v>
      </c>
      <c r="F70" s="1" t="s">
        <v>102</v>
      </c>
      <c r="G70" s="3">
        <v>49.82</v>
      </c>
      <c r="H70" s="6">
        <f>+G70*L70</f>
        <v>7284.2365536200004</v>
      </c>
      <c r="I70" s="6">
        <f>+[61]Main!$L$5-[61]Main!$L$6</f>
        <v>309.9079999999999</v>
      </c>
      <c r="J70" s="6">
        <f>+H70-I70</f>
        <v>6974.3285536200001</v>
      </c>
      <c r="K70" s="9" t="s">
        <v>1073</v>
      </c>
      <c r="L70" s="6">
        <f>+[61]Main!$L$3</f>
        <v>146.21109100000001</v>
      </c>
      <c r="M70" s="9">
        <v>45539</v>
      </c>
      <c r="AE70" s="1">
        <v>1989</v>
      </c>
    </row>
    <row r="71" spans="1:32" x14ac:dyDescent="0.25">
      <c r="D71">
        <f t="shared" si="7"/>
        <v>61</v>
      </c>
      <c r="E71" s="5" t="s">
        <v>296</v>
      </c>
      <c r="F71" t="s">
        <v>297</v>
      </c>
      <c r="G71" s="22">
        <v>1992</v>
      </c>
      <c r="H71" s="6">
        <f>+G71*L71/100*GBP</f>
        <v>5742.3752022000008</v>
      </c>
      <c r="I71" s="6">
        <f>+[62]Main!$K$5-[62]Main!$K$6</f>
        <v>-1276</v>
      </c>
      <c r="J71" s="6">
        <f t="shared" ref="J71:J86" si="10">+H71-I71</f>
        <v>7018.3752022000008</v>
      </c>
      <c r="K71" s="3" t="s">
        <v>1073</v>
      </c>
      <c r="L71" s="6">
        <f>+[62]Main!$K$3</f>
        <v>221.74757500000001</v>
      </c>
      <c r="M71" s="9">
        <v>45541</v>
      </c>
    </row>
    <row r="72" spans="1:32" x14ac:dyDescent="0.25">
      <c r="D72" s="1">
        <f t="shared" si="7"/>
        <v>62</v>
      </c>
      <c r="E72" s="5" t="s">
        <v>276</v>
      </c>
      <c r="F72" t="s">
        <v>277</v>
      </c>
      <c r="G72" s="3">
        <v>2587.5</v>
      </c>
      <c r="H72" s="6">
        <f>+G72*L72/JPY</f>
        <v>9510.5627333907069</v>
      </c>
      <c r="I72" s="6">
        <f>([63]Main!$L$5-[63]Main!$L$6)/JPY</f>
        <v>2512.9707401032701</v>
      </c>
      <c r="J72" s="6">
        <f>+H72-I72</f>
        <v>6997.5919932874367</v>
      </c>
      <c r="K72" s="3" t="s">
        <v>1073</v>
      </c>
      <c r="L72" s="6">
        <f>+[63]Main!$L$3</f>
        <v>533.87796600000001</v>
      </c>
      <c r="M72" s="9">
        <v>45567</v>
      </c>
    </row>
    <row r="73" spans="1:32" x14ac:dyDescent="0.25">
      <c r="A73" t="s">
        <v>334</v>
      </c>
      <c r="B73"/>
      <c r="C73"/>
      <c r="D73" s="1">
        <f t="shared" si="7"/>
        <v>63</v>
      </c>
      <c r="E73" s="5" t="s">
        <v>131</v>
      </c>
      <c r="F73" s="1" t="s">
        <v>132</v>
      </c>
      <c r="G73" s="3">
        <v>25.49</v>
      </c>
      <c r="H73" s="6">
        <f t="shared" ref="H73:H79" si="11">+G73*L73</f>
        <v>3477.2290048199993</v>
      </c>
      <c r="I73" s="6">
        <f>+[64]Main!$N$5-[64]Main!$N$6</f>
        <v>-3514.8</v>
      </c>
      <c r="J73" s="6">
        <f>+H73-I73</f>
        <v>6992.0290048199995</v>
      </c>
      <c r="K73" s="3" t="s">
        <v>1073</v>
      </c>
      <c r="L73" s="6">
        <f>+[64]Main!$N$3</f>
        <v>136.41541799999999</v>
      </c>
      <c r="M73" s="9">
        <v>45566</v>
      </c>
    </row>
    <row r="74" spans="1:32" s="34" customFormat="1" ht="13" x14ac:dyDescent="0.3">
      <c r="A74" s="34" t="s">
        <v>334</v>
      </c>
      <c r="D74" s="34">
        <f t="shared" si="7"/>
        <v>64</v>
      </c>
      <c r="E74" s="59" t="s">
        <v>129</v>
      </c>
      <c r="F74" s="34" t="s">
        <v>130</v>
      </c>
      <c r="G74" s="60">
        <v>84.24</v>
      </c>
      <c r="H74" s="36">
        <f t="shared" si="11"/>
        <v>8901.3817620000009</v>
      </c>
      <c r="I74" s="36">
        <f>+[65]Main!$L$5-[65]Main!$L$6</f>
        <v>1024.6570000000002</v>
      </c>
      <c r="J74" s="36">
        <f>+H74-I74</f>
        <v>7876.7247620000007</v>
      </c>
      <c r="K74" s="60" t="s">
        <v>1073</v>
      </c>
      <c r="L74" s="36">
        <f>+[65]Main!$L$3</f>
        <v>105.66692500000001</v>
      </c>
      <c r="M74" s="61">
        <v>45545</v>
      </c>
      <c r="N74" s="60"/>
      <c r="O74" s="60"/>
      <c r="P74" s="60"/>
      <c r="Q74" s="60"/>
      <c r="R74" s="60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2" x14ac:dyDescent="0.25">
      <c r="D75" s="1">
        <f>+D74+1</f>
        <v>65</v>
      </c>
      <c r="E75" s="5" t="s">
        <v>127</v>
      </c>
      <c r="F75" s="1" t="s">
        <v>128</v>
      </c>
      <c r="G75" s="7">
        <v>75</v>
      </c>
      <c r="H75" s="6">
        <f>+G75*L75</f>
        <v>7152.47505</v>
      </c>
      <c r="I75" s="6">
        <f>+[66]Main!$L$5-[66]Main!$L$6</f>
        <v>234.15900000000011</v>
      </c>
      <c r="J75" s="6">
        <f>+H75-I75</f>
        <v>6918.3160499999994</v>
      </c>
      <c r="K75" s="3" t="s">
        <v>1073</v>
      </c>
      <c r="L75" s="6">
        <f>+[66]Main!$L$3</f>
        <v>95.366333999999995</v>
      </c>
      <c r="M75" s="9">
        <v>45738</v>
      </c>
    </row>
    <row r="76" spans="1:32" x14ac:dyDescent="0.25">
      <c r="D76" s="1">
        <f>+D75+1</f>
        <v>66</v>
      </c>
      <c r="E76" s="5" t="s">
        <v>686</v>
      </c>
      <c r="F76" t="s">
        <v>687</v>
      </c>
      <c r="G76" s="7">
        <v>56.68</v>
      </c>
      <c r="H76" s="6">
        <f t="shared" si="11"/>
        <v>6668.9448810399999</v>
      </c>
      <c r="I76" s="6">
        <f>+[67]Main!$K$5-[67]Main!$K$6</f>
        <v>707.18499999999995</v>
      </c>
      <c r="J76" s="6">
        <f>+H76-I76</f>
        <v>5961.7598810399995</v>
      </c>
      <c r="K76" s="3" t="s">
        <v>1073</v>
      </c>
      <c r="L76" s="6">
        <f>+[67]Main!$K$3</f>
        <v>117.659578</v>
      </c>
      <c r="M76" s="9">
        <v>45570</v>
      </c>
    </row>
    <row r="77" spans="1:32" x14ac:dyDescent="0.25">
      <c r="D77" s="1">
        <f>+D76+1</f>
        <v>67</v>
      </c>
      <c r="E77" s="5" t="s">
        <v>122</v>
      </c>
      <c r="F77" s="1" t="s">
        <v>123</v>
      </c>
      <c r="G77" s="3">
        <v>25.59</v>
      </c>
      <c r="H77" s="6">
        <f t="shared" si="11"/>
        <v>7299.5916427500006</v>
      </c>
      <c r="I77" s="6">
        <f>+[68]Main!$M$5-[68]Main!$M$6</f>
        <v>1434.3040000000001</v>
      </c>
      <c r="J77" s="6">
        <f t="shared" si="10"/>
        <v>5865.2876427500005</v>
      </c>
      <c r="K77" s="3" t="s">
        <v>1073</v>
      </c>
      <c r="L77" s="6">
        <f>+[68]Main!$M$3</f>
        <v>285.25172500000002</v>
      </c>
      <c r="M77" s="9">
        <v>45540</v>
      </c>
    </row>
    <row r="78" spans="1:32" x14ac:dyDescent="0.25">
      <c r="D78" s="1">
        <f t="shared" si="7"/>
        <v>68</v>
      </c>
      <c r="E78" s="5" t="s">
        <v>698</v>
      </c>
      <c r="F78" t="s">
        <v>699</v>
      </c>
      <c r="G78" s="54">
        <v>25</v>
      </c>
      <c r="H78" s="30">
        <f>+G78*L78</f>
        <v>4689.6500000000005</v>
      </c>
      <c r="I78" s="30">
        <f>+[69]Main!$N$5-[69]Main!$N$6</f>
        <v>-1130.3990000000001</v>
      </c>
      <c r="J78" s="30">
        <f t="shared" ref="J78:J85" si="12">+H78-I78</f>
        <v>5820.0490000000009</v>
      </c>
      <c r="K78" s="28" t="s">
        <v>1073</v>
      </c>
      <c r="L78" s="30">
        <f>+[69]Main!$N$3</f>
        <v>187.58600000000001</v>
      </c>
      <c r="M78" s="37">
        <v>45579</v>
      </c>
    </row>
    <row r="79" spans="1:32" x14ac:dyDescent="0.25">
      <c r="A79"/>
      <c r="B79"/>
      <c r="C79"/>
      <c r="D79" s="1">
        <f>+D78+1</f>
        <v>69</v>
      </c>
      <c r="E79" s="5" t="s">
        <v>152</v>
      </c>
      <c r="F79" s="1" t="s">
        <v>153</v>
      </c>
      <c r="G79" s="3">
        <v>86.43</v>
      </c>
      <c r="H79" s="6">
        <f t="shared" si="11"/>
        <v>5432.4712200000004</v>
      </c>
      <c r="I79" s="6">
        <f>+[70]Main!$K$5-[70]Main!$K$6</f>
        <v>481.55700000000002</v>
      </c>
      <c r="J79" s="6">
        <f t="shared" si="12"/>
        <v>4950.9142200000006</v>
      </c>
      <c r="K79" s="3" t="s">
        <v>1073</v>
      </c>
      <c r="L79" s="6">
        <f>+[70]Main!$K$3</f>
        <v>62.853999999999999</v>
      </c>
      <c r="M79" s="9">
        <v>45549</v>
      </c>
    </row>
    <row r="80" spans="1:32" x14ac:dyDescent="0.25">
      <c r="A80"/>
      <c r="B80"/>
      <c r="C80"/>
      <c r="D80" s="1">
        <f t="shared" si="7"/>
        <v>70</v>
      </c>
      <c r="E80" s="5" t="s">
        <v>681</v>
      </c>
      <c r="F80" t="s">
        <v>998</v>
      </c>
      <c r="G80" s="3">
        <v>35.46</v>
      </c>
      <c r="H80" s="6">
        <f>+G80*L80/DKK</f>
        <v>4983.0922488309479</v>
      </c>
      <c r="I80" s="6">
        <f>([71]Main!$K$5-[71]Main!$K$6)/DKK</f>
        <v>356.95054555760237</v>
      </c>
      <c r="J80" s="6">
        <f t="shared" si="12"/>
        <v>4626.1417032733452</v>
      </c>
      <c r="K80" s="3" t="s">
        <v>1073</v>
      </c>
      <c r="L80" s="6">
        <f>+[71]Main!$K$3</f>
        <v>991.7</v>
      </c>
      <c r="M80" s="9">
        <v>45581</v>
      </c>
    </row>
    <row r="81" spans="1:32" x14ac:dyDescent="0.25">
      <c r="A81" s="1" t="s">
        <v>334</v>
      </c>
      <c r="D81" s="1">
        <f t="shared" si="7"/>
        <v>71</v>
      </c>
      <c r="E81" s="5" t="s">
        <v>805</v>
      </c>
      <c r="F81" t="s">
        <v>806</v>
      </c>
      <c r="G81" s="3">
        <v>19.79</v>
      </c>
      <c r="H81" s="6">
        <f t="shared" ref="H81:H87" si="13">+G81*L81</f>
        <v>4789.1799999999994</v>
      </c>
      <c r="I81" s="6">
        <f>+[72]Main!$L$5-[72]Main!$L$6</f>
        <v>-43</v>
      </c>
      <c r="J81" s="6">
        <f t="shared" si="12"/>
        <v>4832.1799999999994</v>
      </c>
      <c r="K81" s="3" t="s">
        <v>1073</v>
      </c>
      <c r="L81" s="6">
        <f>+[72]Main!$L$3</f>
        <v>242</v>
      </c>
      <c r="M81" s="9">
        <v>45566</v>
      </c>
    </row>
    <row r="82" spans="1:32" x14ac:dyDescent="0.25">
      <c r="D82" s="1">
        <f>+D81+1</f>
        <v>72</v>
      </c>
      <c r="E82" s="5" t="s">
        <v>118</v>
      </c>
      <c r="F82" s="1" t="s">
        <v>119</v>
      </c>
      <c r="G82" s="7">
        <v>31.61</v>
      </c>
      <c r="H82" s="6">
        <f>+G82*L82</f>
        <v>5772.0516539700002</v>
      </c>
      <c r="I82" s="6">
        <f>+[73]Main!$K$5-[73]Main!$K$6</f>
        <v>1008.441</v>
      </c>
      <c r="J82" s="6">
        <f>+H82-I82</f>
        <v>4763.6106539700004</v>
      </c>
      <c r="K82" s="3" t="s">
        <v>1073</v>
      </c>
      <c r="L82" s="6">
        <f>+[73]Main!$K$3</f>
        <v>182.60207700000001</v>
      </c>
      <c r="M82" s="9">
        <v>45574</v>
      </c>
    </row>
    <row r="83" spans="1:32" x14ac:dyDescent="0.25">
      <c r="A83"/>
      <c r="B83"/>
      <c r="C83"/>
      <c r="D83" s="1">
        <f>+D82+1</f>
        <v>73</v>
      </c>
      <c r="E83" s="5" t="s">
        <v>198</v>
      </c>
      <c r="F83" s="1" t="s">
        <v>199</v>
      </c>
      <c r="G83" s="7">
        <v>184</v>
      </c>
      <c r="H83" s="6">
        <f t="shared" si="13"/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1279</v>
      </c>
      <c r="L83" s="6">
        <f>+[74]Main!$K$3</f>
        <v>28.760548</v>
      </c>
      <c r="M83" s="9">
        <v>45631</v>
      </c>
    </row>
    <row r="84" spans="1:32" x14ac:dyDescent="0.25">
      <c r="A84" t="s">
        <v>334</v>
      </c>
      <c r="B84"/>
      <c r="C84"/>
      <c r="D84" s="1">
        <f t="shared" si="7"/>
        <v>74</v>
      </c>
      <c r="E84" s="5" t="s">
        <v>87</v>
      </c>
      <c r="F84" s="1" t="s">
        <v>88</v>
      </c>
      <c r="G84" s="7">
        <v>52</v>
      </c>
      <c r="H84" s="6">
        <f t="shared" si="13"/>
        <v>4916.1971560000002</v>
      </c>
      <c r="I84" s="6">
        <f>+[75]Main!$L$5-[75]Main!$L$6</f>
        <v>436.94799999999998</v>
      </c>
      <c r="J84" s="6">
        <f t="shared" si="12"/>
        <v>4479.2491559999999</v>
      </c>
      <c r="K84" s="3" t="s">
        <v>1073</v>
      </c>
      <c r="L84" s="6">
        <f>+[75]Main!$L$3</f>
        <v>94.542253000000002</v>
      </c>
      <c r="M84" s="9">
        <v>45583</v>
      </c>
    </row>
    <row r="85" spans="1:32" x14ac:dyDescent="0.25">
      <c r="A85"/>
      <c r="B85"/>
      <c r="C85"/>
      <c r="D85" s="1">
        <f t="shared" si="7"/>
        <v>75</v>
      </c>
      <c r="E85" s="5" t="s">
        <v>679</v>
      </c>
      <c r="F85" t="s">
        <v>680</v>
      </c>
      <c r="G85" s="7">
        <v>245</v>
      </c>
      <c r="H85" s="6">
        <f t="shared" si="13"/>
        <v>5319.6058649999995</v>
      </c>
      <c r="I85" s="6">
        <f>+[76]Main!$M$5-[76]Main!$M$6</f>
        <v>946.1869999999999</v>
      </c>
      <c r="J85" s="6">
        <f t="shared" si="12"/>
        <v>4373.4188649999996</v>
      </c>
      <c r="K85" s="3" t="s">
        <v>1073</v>
      </c>
      <c r="L85" s="6">
        <f>+[76]Main!$M$3</f>
        <v>21.712676999999999</v>
      </c>
      <c r="M85" s="9">
        <v>45556</v>
      </c>
    </row>
    <row r="86" spans="1:32" x14ac:dyDescent="0.25">
      <c r="A86" t="s">
        <v>334</v>
      </c>
      <c r="B86"/>
      <c r="C86"/>
      <c r="D86" s="1">
        <f t="shared" si="7"/>
        <v>76</v>
      </c>
      <c r="E86" s="5" t="s">
        <v>431</v>
      </c>
      <c r="F86" t="s">
        <v>432</v>
      </c>
      <c r="G86" s="7">
        <v>97</v>
      </c>
      <c r="H86" s="6">
        <f t="shared" si="13"/>
        <v>4698.3024759999998</v>
      </c>
      <c r="I86" s="6">
        <f>+[77]Main!$L$5-[77]Main!$L$6</f>
        <v>206.86999999999998</v>
      </c>
      <c r="J86" s="6">
        <f t="shared" si="10"/>
        <v>4491.432476</v>
      </c>
      <c r="K86" s="3" t="s">
        <v>1073</v>
      </c>
      <c r="L86" s="6">
        <f>+[77]Main!$L$3</f>
        <v>48.436107999999997</v>
      </c>
      <c r="M86" s="9">
        <v>45540</v>
      </c>
    </row>
    <row r="87" spans="1:32" x14ac:dyDescent="0.25">
      <c r="A87"/>
      <c r="B87"/>
      <c r="C87"/>
      <c r="D87" s="1">
        <f t="shared" si="7"/>
        <v>77</v>
      </c>
      <c r="E87" s="14" t="s">
        <v>53</v>
      </c>
      <c r="F87" s="1" t="s">
        <v>54</v>
      </c>
      <c r="G87" s="7">
        <v>35.950000000000003</v>
      </c>
      <c r="H87" s="6">
        <f t="shared" si="13"/>
        <v>13834.200305450002</v>
      </c>
      <c r="I87" s="6">
        <f>+[78]Main!$K$5-[78]Main!$K$6</f>
        <v>9519</v>
      </c>
      <c r="J87" s="6">
        <f>H87-I87</f>
        <v>4315.2003054500019</v>
      </c>
      <c r="K87" s="3" t="s">
        <v>1280</v>
      </c>
      <c r="L87" s="6">
        <f>+[78]Main!$K$3</f>
        <v>384.81781100000001</v>
      </c>
      <c r="M87" s="9">
        <v>45707</v>
      </c>
      <c r="AF87" s="1" t="s">
        <v>609</v>
      </c>
    </row>
    <row r="88" spans="1:32" x14ac:dyDescent="0.25">
      <c r="A88" t="s">
        <v>334</v>
      </c>
      <c r="B88"/>
      <c r="C88"/>
      <c r="D88" s="1">
        <f t="shared" si="7"/>
        <v>78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ht="13" x14ac:dyDescent="0.3">
      <c r="D89" s="1">
        <f t="shared" si="7"/>
        <v>79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5">
      <c r="A90" s="1" t="s">
        <v>334</v>
      </c>
      <c r="D90" s="1">
        <f t="shared" si="7"/>
        <v>80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5">
      <c r="D91" s="1">
        <f t="shared" ref="D91:D137" si="14">+D90+1</f>
        <v>81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5">
      <c r="A92" t="s">
        <v>334</v>
      </c>
      <c r="B92"/>
      <c r="C92"/>
      <c r="D92" s="1">
        <f t="shared" si="14"/>
        <v>82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5">
      <c r="A93"/>
      <c r="B93"/>
      <c r="C93"/>
      <c r="D93" s="1">
        <f t="shared" si="14"/>
        <v>83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5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5">
      <c r="A94" t="s">
        <v>334</v>
      </c>
      <c r="B94"/>
      <c r="C94"/>
      <c r="D94" s="1">
        <f t="shared" si="14"/>
        <v>84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99" si="16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5">
      <c r="A95"/>
      <c r="B95"/>
      <c r="C95"/>
      <c r="D95" s="1">
        <f t="shared" si="14"/>
        <v>85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6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5">
      <c r="A96" t="s">
        <v>334</v>
      </c>
      <c r="B96"/>
      <c r="C96"/>
      <c r="D96" s="1">
        <f t="shared" si="14"/>
        <v>86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5">
      <c r="A97" t="s">
        <v>334</v>
      </c>
      <c r="B97"/>
      <c r="C97"/>
      <c r="D97" s="1">
        <f t="shared" si="14"/>
        <v>87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6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5">
      <c r="A98" s="1" t="s">
        <v>334</v>
      </c>
      <c r="D98" s="1">
        <f t="shared" si="14"/>
        <v>88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6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5">
      <c r="A99" t="s">
        <v>334</v>
      </c>
      <c r="B99"/>
      <c r="C99"/>
      <c r="D99" s="1">
        <f t="shared" si="14"/>
        <v>89</v>
      </c>
      <c r="E99" s="5" t="s">
        <v>212</v>
      </c>
      <c r="F99" s="1" t="s">
        <v>213</v>
      </c>
      <c r="G99" s="7">
        <v>3.52</v>
      </c>
      <c r="H99" s="6">
        <f t="shared" ref="H99:H103" si="17">+G99*L99</f>
        <v>2451.7976313599997</v>
      </c>
      <c r="I99" s="6">
        <f>+[90]Main!$J$5-[90]Main!$J$6</f>
        <v>-474.93899999999996</v>
      </c>
      <c r="J99" s="6">
        <f t="shared" si="16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5">
      <c r="D100" s="1">
        <f>+D109+1</f>
        <v>99</v>
      </c>
      <c r="E100" s="40" t="s">
        <v>1164</v>
      </c>
      <c r="F100" t="s">
        <v>1165</v>
      </c>
      <c r="G100" s="7">
        <v>65</v>
      </c>
      <c r="H100" s="6">
        <f>+G100*L100</f>
        <v>2970.747715</v>
      </c>
      <c r="I100" s="6">
        <f>+[91]Main!$J$5-[91]Main!$J$6</f>
        <v>268.82000000000005</v>
      </c>
      <c r="J100" s="6">
        <f t="shared" ref="J100:J105" si="18">+H100-I100</f>
        <v>2701.9277149999998</v>
      </c>
      <c r="K100" s="3" t="s">
        <v>1280</v>
      </c>
      <c r="L100" s="6">
        <f>+[91]Main!$J$3</f>
        <v>45.703811000000002</v>
      </c>
      <c r="M100" s="9">
        <v>45546</v>
      </c>
      <c r="AE100" s="1">
        <v>1999</v>
      </c>
    </row>
    <row r="101" spans="1:31" x14ac:dyDescent="0.25">
      <c r="A101"/>
      <c r="B101"/>
      <c r="C101"/>
      <c r="D101" s="1">
        <f>+D99+1</f>
        <v>90</v>
      </c>
      <c r="E101" s="5" t="s">
        <v>1293</v>
      </c>
      <c r="F101" t="s">
        <v>1294</v>
      </c>
      <c r="G101" s="7">
        <v>35</v>
      </c>
      <c r="H101" s="6">
        <f t="shared" si="17"/>
        <v>2801.12</v>
      </c>
      <c r="I101" s="6">
        <f>+[92]Main!$K$5-[92]Main!$K$6</f>
        <v>140.42099999999999</v>
      </c>
      <c r="J101" s="6">
        <f t="shared" si="18"/>
        <v>2660.6990000000001</v>
      </c>
      <c r="K101" s="3" t="s">
        <v>1073</v>
      </c>
      <c r="L101" s="6">
        <f>+[92]Main!$K$3</f>
        <v>80.031999999999996</v>
      </c>
      <c r="M101" s="9">
        <v>45572</v>
      </c>
    </row>
    <row r="102" spans="1:31" x14ac:dyDescent="0.25">
      <c r="A102" t="s">
        <v>334</v>
      </c>
      <c r="B102"/>
      <c r="C102"/>
      <c r="D102" s="1">
        <f t="shared" si="14"/>
        <v>91</v>
      </c>
      <c r="E102" s="5" t="s">
        <v>204</v>
      </c>
      <c r="F102" s="1" t="s">
        <v>205</v>
      </c>
      <c r="G102" s="3">
        <v>46.29</v>
      </c>
      <c r="H102" s="6">
        <f t="shared" si="17"/>
        <v>2253.2038003799998</v>
      </c>
      <c r="I102" s="6">
        <f>+[93]Main!$L$5-[93]Main!$L$6</f>
        <v>-356.94799999999998</v>
      </c>
      <c r="J102" s="6">
        <f t="shared" si="18"/>
        <v>2610.1518003799997</v>
      </c>
      <c r="K102" s="3" t="s">
        <v>1073</v>
      </c>
      <c r="L102" s="6">
        <f>+[93]Main!$L$3</f>
        <v>48.675821999999997</v>
      </c>
      <c r="M102" s="9">
        <v>45576</v>
      </c>
    </row>
    <row r="103" spans="1:31" x14ac:dyDescent="0.25">
      <c r="A103" t="s">
        <v>334</v>
      </c>
      <c r="B103"/>
      <c r="C103"/>
      <c r="D103" s="1">
        <f t="shared" si="14"/>
        <v>92</v>
      </c>
      <c r="E103" s="5" t="s">
        <v>849</v>
      </c>
      <c r="F103" t="s">
        <v>850</v>
      </c>
      <c r="G103" s="3">
        <v>29.07</v>
      </c>
      <c r="H103" s="6">
        <f t="shared" si="17"/>
        <v>2725.96041216</v>
      </c>
      <c r="I103" s="6">
        <f>+[94]Main!$J$5-[94]Main!$J$6</f>
        <v>511.75100000000003</v>
      </c>
      <c r="J103" s="6">
        <f t="shared" si="18"/>
        <v>2214.2094121599998</v>
      </c>
      <c r="K103" s="3" t="s">
        <v>1073</v>
      </c>
      <c r="L103" s="6">
        <f>+[94]Main!$J$3</f>
        <v>93.772288000000003</v>
      </c>
      <c r="M103" s="9">
        <v>45554</v>
      </c>
    </row>
    <row r="104" spans="1:31" x14ac:dyDescent="0.25">
      <c r="A104"/>
      <c r="B104"/>
      <c r="C104"/>
      <c r="D104" s="1">
        <f t="shared" si="14"/>
        <v>93</v>
      </c>
      <c r="E104" s="5" t="s">
        <v>120</v>
      </c>
      <c r="F104" s="1" t="s">
        <v>121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 t="shared" si="18"/>
        <v>1990.0684260000005</v>
      </c>
      <c r="K104" s="3" t="s">
        <v>1073</v>
      </c>
      <c r="L104" s="6">
        <f>[95]Main!$L$3</f>
        <v>85.168158000000005</v>
      </c>
      <c r="M104" s="9">
        <v>45565</v>
      </c>
    </row>
    <row r="105" spans="1:31" x14ac:dyDescent="0.25">
      <c r="A105" t="s">
        <v>334</v>
      </c>
      <c r="B105"/>
      <c r="C105"/>
      <c r="D105" s="1">
        <f t="shared" si="14"/>
        <v>94</v>
      </c>
      <c r="E105" s="5" t="s">
        <v>712</v>
      </c>
      <c r="F105" t="s">
        <v>713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 t="shared" si="18"/>
        <v>1642.9302299999999</v>
      </c>
      <c r="K105" s="3" t="s">
        <v>1073</v>
      </c>
      <c r="L105" s="6">
        <f>+[96]Main!$L$3</f>
        <v>58.904584999999997</v>
      </c>
      <c r="M105" s="9">
        <v>45553</v>
      </c>
    </row>
    <row r="106" spans="1:31" x14ac:dyDescent="0.25">
      <c r="A106" t="s">
        <v>334</v>
      </c>
      <c r="B106"/>
      <c r="C106"/>
      <c r="D106" s="1">
        <f t="shared" si="14"/>
        <v>95</v>
      </c>
      <c r="E106" s="5" t="s">
        <v>125</v>
      </c>
      <c r="F106" s="1" t="s">
        <v>126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8" si="19">+H106-I106</f>
        <v>2194.3422799999998</v>
      </c>
      <c r="K106" s="3" t="s">
        <v>1073</v>
      </c>
      <c r="L106" s="6">
        <f>+[97]Main!$K$3</f>
        <v>166.17400000000001</v>
      </c>
      <c r="M106" s="9">
        <v>45541</v>
      </c>
    </row>
    <row r="107" spans="1:31" x14ac:dyDescent="0.25">
      <c r="A107" t="s">
        <v>334</v>
      </c>
      <c r="B107"/>
      <c r="C107"/>
      <c r="D107" s="1">
        <f t="shared" si="14"/>
        <v>96</v>
      </c>
      <c r="E107" s="5" t="s">
        <v>112</v>
      </c>
      <c r="F107" s="1" t="s">
        <v>113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1073</v>
      </c>
      <c r="L107" s="6">
        <f>+[98]Main!$L$3</f>
        <v>124.315274</v>
      </c>
      <c r="M107" s="9">
        <v>45562</v>
      </c>
    </row>
    <row r="108" spans="1:31" x14ac:dyDescent="0.25">
      <c r="A108" t="s">
        <v>334</v>
      </c>
      <c r="B108"/>
      <c r="C108"/>
      <c r="D108" s="1">
        <f t="shared" si="14"/>
        <v>97</v>
      </c>
      <c r="E108" s="5" t="s">
        <v>368</v>
      </c>
      <c r="F108" t="s">
        <v>369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19"/>
        <v>1984.6815073272855</v>
      </c>
      <c r="K108" s="3" t="s">
        <v>1073</v>
      </c>
      <c r="L108" s="6">
        <f>+[99]Main!$L$3</f>
        <v>76.826999999999998</v>
      </c>
      <c r="M108" s="9">
        <v>45542</v>
      </c>
    </row>
    <row r="109" spans="1:31" x14ac:dyDescent="0.25">
      <c r="D109" s="1">
        <f t="shared" si="14"/>
        <v>98</v>
      </c>
      <c r="E109" s="5" t="s">
        <v>1298</v>
      </c>
      <c r="F109" t="s">
        <v>1299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1073</v>
      </c>
      <c r="L109" s="6">
        <f>+[100]Main!$K$3</f>
        <v>158.98400000000001</v>
      </c>
      <c r="M109" s="9">
        <v>45600</v>
      </c>
    </row>
    <row r="110" spans="1:31" x14ac:dyDescent="0.25">
      <c r="A110" t="s">
        <v>334</v>
      </c>
      <c r="B110"/>
      <c r="C110"/>
      <c r="D110" s="1">
        <f>+D100+1</f>
        <v>100</v>
      </c>
      <c r="E110" s="5" t="s">
        <v>847</v>
      </c>
      <c r="F110" t="s">
        <v>848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1279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ht="13" x14ac:dyDescent="0.3">
      <c r="A111" s="25" t="s">
        <v>334</v>
      </c>
      <c r="D111" s="1">
        <f t="shared" si="14"/>
        <v>101</v>
      </c>
      <c r="E111" s="43" t="s">
        <v>663</v>
      </c>
      <c r="F111" s="25" t="s">
        <v>664</v>
      </c>
      <c r="G111" s="54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1073</v>
      </c>
      <c r="L111" s="30">
        <f>+[102]Main!$N$3</f>
        <v>57.196520333333332</v>
      </c>
      <c r="M111" s="37">
        <v>45572</v>
      </c>
      <c r="N111" s="26"/>
      <c r="O111" s="26"/>
      <c r="P111" s="26"/>
      <c r="Q111" s="26"/>
      <c r="R111" s="26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</row>
    <row r="112" spans="1:31" x14ac:dyDescent="0.25">
      <c r="A112" t="s">
        <v>334</v>
      </c>
      <c r="B112"/>
      <c r="C112"/>
      <c r="D112" s="1">
        <f t="shared" si="14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1043</v>
      </c>
      <c r="L112" s="6">
        <f>+[103]Main!$M$3</f>
        <v>206.37708799999999</v>
      </c>
      <c r="M112" s="9">
        <v>45567</v>
      </c>
    </row>
    <row r="113" spans="1:32" x14ac:dyDescent="0.25">
      <c r="A113" t="s">
        <v>334</v>
      </c>
      <c r="B113"/>
      <c r="C113"/>
      <c r="D113" s="1">
        <f t="shared" si="14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1073</v>
      </c>
      <c r="L113" s="6">
        <f>[104]Main!$K$3</f>
        <v>286.64083299999999</v>
      </c>
      <c r="M113" s="9">
        <v>45572</v>
      </c>
    </row>
    <row r="114" spans="1:32" x14ac:dyDescent="0.25">
      <c r="A114" t="s">
        <v>334</v>
      </c>
      <c r="B114"/>
      <c r="C114"/>
      <c r="D114" s="1">
        <f t="shared" si="14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1073</v>
      </c>
      <c r="L114" s="6">
        <f>+[105]Main!$K$3</f>
        <v>90.956000000000003</v>
      </c>
      <c r="M114" s="9">
        <v>45573</v>
      </c>
    </row>
    <row r="115" spans="1:32" x14ac:dyDescent="0.25">
      <c r="D115" s="1">
        <f>+D121+1</f>
        <v>110</v>
      </c>
      <c r="E115" s="5" t="s">
        <v>739</v>
      </c>
      <c r="F115" t="s">
        <v>740</v>
      </c>
      <c r="G115" s="3">
        <v>5.92</v>
      </c>
      <c r="H115" s="6">
        <f>+G115*L115</f>
        <v>1317.2</v>
      </c>
      <c r="I115" s="6">
        <f>+[106]Main!$I$5-[106]Main!$I$6</f>
        <v>251.643</v>
      </c>
      <c r="J115" s="6">
        <f>+H115-I115</f>
        <v>1065.557</v>
      </c>
      <c r="K115" s="3" t="s">
        <v>1073</v>
      </c>
      <c r="L115" s="6">
        <f>+[106]Main!$I$3</f>
        <v>222.5</v>
      </c>
      <c r="M115" s="9">
        <v>45593</v>
      </c>
    </row>
    <row r="116" spans="1:32" x14ac:dyDescent="0.25">
      <c r="A116" t="s">
        <v>334</v>
      </c>
      <c r="B116"/>
      <c r="C116"/>
      <c r="D116" s="1">
        <f>+D114+1</f>
        <v>105</v>
      </c>
      <c r="E116" s="5" t="s">
        <v>158</v>
      </c>
      <c r="F116" s="1" t="s">
        <v>159</v>
      </c>
      <c r="G116" s="7">
        <v>24.5</v>
      </c>
      <c r="H116" s="6">
        <f>+G116*L116</f>
        <v>2019.1826655000002</v>
      </c>
      <c r="I116" s="6">
        <f>+[107]Main!$K$5-[107]Main!$K$6</f>
        <v>1008.165</v>
      </c>
      <c r="J116" s="6">
        <f>+H116-I116</f>
        <v>1011.0176655000002</v>
      </c>
      <c r="K116" s="3" t="s">
        <v>1073</v>
      </c>
      <c r="L116" s="6">
        <f>+[107]Main!$K$3</f>
        <v>82.415619000000007</v>
      </c>
      <c r="M116" s="9">
        <v>45565</v>
      </c>
    </row>
    <row r="117" spans="1:32" x14ac:dyDescent="0.25">
      <c r="A117" t="s">
        <v>334</v>
      </c>
      <c r="B117"/>
      <c r="C117"/>
      <c r="D117" s="1">
        <f t="shared" si="14"/>
        <v>106</v>
      </c>
      <c r="E117" s="5" t="s">
        <v>145</v>
      </c>
      <c r="F117" s="1" t="s">
        <v>146</v>
      </c>
      <c r="G117" s="7">
        <v>20</v>
      </c>
      <c r="H117" s="6">
        <f>+G117*L117</f>
        <v>1929.5</v>
      </c>
      <c r="I117" s="6">
        <f>+[108]Main!$J$5-[108]Main!$J$6</f>
        <v>939.9</v>
      </c>
      <c r="J117" s="6">
        <f t="shared" ref="J117" si="20">+H117-I117</f>
        <v>989.6</v>
      </c>
      <c r="K117" s="3" t="s">
        <v>1043</v>
      </c>
      <c r="L117" s="6">
        <f>+[108]Main!$J$3</f>
        <v>96.474999999999994</v>
      </c>
      <c r="M117" s="9">
        <v>45565</v>
      </c>
    </row>
    <row r="118" spans="1:32" x14ac:dyDescent="0.25">
      <c r="A118" t="s">
        <v>334</v>
      </c>
      <c r="B118"/>
      <c r="C118"/>
      <c r="D118" s="1">
        <f>+D117+1</f>
        <v>107</v>
      </c>
      <c r="E118" s="5" t="s">
        <v>370</v>
      </c>
      <c r="F118" t="s">
        <v>371</v>
      </c>
      <c r="G118" s="19">
        <v>10.7</v>
      </c>
      <c r="H118" s="6">
        <f>+G118*L118/HKD</f>
        <v>1352.1643102179487</v>
      </c>
      <c r="I118" s="6">
        <f>([109]Main!$J$6-[109]Main!$J$7)/HKD</f>
        <v>376.08884615384613</v>
      </c>
      <c r="J118" s="6">
        <f t="shared" si="19"/>
        <v>976.07546406410256</v>
      </c>
      <c r="K118" s="3" t="s">
        <v>1116</v>
      </c>
      <c r="L118" s="6">
        <f>+[109]Main!$J$4</f>
        <v>985.68987100000004</v>
      </c>
      <c r="M118" s="9">
        <v>45543</v>
      </c>
      <c r="AF118" s="1">
        <v>2012</v>
      </c>
    </row>
    <row r="119" spans="1:32" x14ac:dyDescent="0.25">
      <c r="A119"/>
      <c r="B119"/>
      <c r="C119"/>
      <c r="D119" s="1">
        <f>+D118</f>
        <v>107</v>
      </c>
      <c r="E119" s="5" t="s">
        <v>370</v>
      </c>
      <c r="F119" t="s">
        <v>1186</v>
      </c>
      <c r="G119" s="7">
        <v>27.72</v>
      </c>
      <c r="H119" s="6"/>
      <c r="K119" s="3" t="str">
        <f>+K118</f>
        <v>Q423</v>
      </c>
      <c r="L119" s="6"/>
      <c r="M119" s="9">
        <f>+M118</f>
        <v>45543</v>
      </c>
    </row>
    <row r="120" spans="1:32" x14ac:dyDescent="0.25">
      <c r="A120" s="1" t="s">
        <v>334</v>
      </c>
      <c r="D120" s="1">
        <f>+D119+1</f>
        <v>108</v>
      </c>
      <c r="E120" s="5" t="s">
        <v>214</v>
      </c>
      <c r="F120" s="1" t="s">
        <v>215</v>
      </c>
      <c r="G120" s="3">
        <v>4.07</v>
      </c>
      <c r="H120" s="6">
        <f>+G120*L120</f>
        <v>1235.3014590400001</v>
      </c>
      <c r="I120" s="6">
        <f>+[110]Main!$I$5-[110]Main!$I$6</f>
        <v>417.97200000000004</v>
      </c>
      <c r="J120" s="6">
        <f>+H120-I120</f>
        <v>817.32945904000007</v>
      </c>
      <c r="K120" s="3" t="s">
        <v>1073</v>
      </c>
      <c r="L120" s="6">
        <f>+[110]Main!$I$3</f>
        <v>303.51387199999999</v>
      </c>
      <c r="M120" s="9">
        <v>45525</v>
      </c>
    </row>
    <row r="121" spans="1:32" x14ac:dyDescent="0.25">
      <c r="A121" s="1" t="s">
        <v>334</v>
      </c>
      <c r="D121" s="1">
        <f>+D120+1</f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5">
      <c r="A122" t="s">
        <v>334</v>
      </c>
      <c r="B122"/>
      <c r="C122"/>
      <c r="D122" s="1">
        <f>+D121+1</f>
        <v>110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5">
      <c r="A123"/>
      <c r="B123"/>
      <c r="C123"/>
      <c r="D123" s="1">
        <f>+D122+1</f>
        <v>111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5">
      <c r="A124" t="s">
        <v>334</v>
      </c>
      <c r="B124"/>
      <c r="C124"/>
      <c r="D124" s="1">
        <f>+D123+1</f>
        <v>112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5">
      <c r="D125" s="1">
        <f t="shared" si="14"/>
        <v>113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5">
      <c r="D126" s="1">
        <f t="shared" si="14"/>
        <v>114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5">
      <c r="A127" t="s">
        <v>334</v>
      </c>
      <c r="B127"/>
      <c r="C127"/>
      <c r="D127" s="1">
        <f t="shared" si="14"/>
        <v>115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5">
      <c r="A128" t="s">
        <v>334</v>
      </c>
      <c r="B128"/>
      <c r="C128"/>
      <c r="D128" s="1">
        <f t="shared" si="14"/>
        <v>116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5">
      <c r="A129" t="s">
        <v>334</v>
      </c>
      <c r="B129"/>
      <c r="C129"/>
      <c r="D129" s="1">
        <f t="shared" si="14"/>
        <v>117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5">
      <c r="A130" t="s">
        <v>334</v>
      </c>
      <c r="B130"/>
      <c r="C130"/>
      <c r="D130" s="1">
        <f t="shared" si="14"/>
        <v>118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5">
      <c r="A131"/>
      <c r="B131"/>
      <c r="C131"/>
      <c r="D131" s="1">
        <f t="shared" si="14"/>
        <v>119</v>
      </c>
      <c r="E131" s="1" t="s">
        <v>522</v>
      </c>
      <c r="F131" t="s">
        <v>124</v>
      </c>
      <c r="G131" s="3">
        <v>18.91</v>
      </c>
      <c r="H131" s="6"/>
    </row>
    <row r="132" spans="1:8" x14ac:dyDescent="0.25">
      <c r="A132"/>
      <c r="B132"/>
      <c r="C132"/>
      <c r="D132" s="1">
        <f t="shared" si="14"/>
        <v>120</v>
      </c>
      <c r="E132" t="s">
        <v>1820</v>
      </c>
      <c r="F132" t="s">
        <v>1821</v>
      </c>
      <c r="H132" s="6"/>
    </row>
    <row r="133" spans="1:8" x14ac:dyDescent="0.25">
      <c r="A133" t="s">
        <v>334</v>
      </c>
      <c r="B133"/>
      <c r="C133"/>
      <c r="D133" s="1">
        <f t="shared" si="14"/>
        <v>121</v>
      </c>
      <c r="E133" t="s">
        <v>716</v>
      </c>
      <c r="F133" t="s">
        <v>717</v>
      </c>
      <c r="G133" s="3">
        <v>4.0599999999999996</v>
      </c>
      <c r="H133" s="6">
        <v>2400</v>
      </c>
    </row>
    <row r="134" spans="1:8" x14ac:dyDescent="0.25">
      <c r="A134" t="s">
        <v>334</v>
      </c>
      <c r="B134"/>
      <c r="C134"/>
      <c r="D134" s="1">
        <f t="shared" si="14"/>
        <v>122</v>
      </c>
      <c r="E134" s="1" t="s">
        <v>173</v>
      </c>
      <c r="F134" s="1" t="s">
        <v>174</v>
      </c>
      <c r="G134" s="7">
        <v>20.010000000000002</v>
      </c>
      <c r="H134" s="6">
        <v>2150</v>
      </c>
    </row>
    <row r="135" spans="1:8" x14ac:dyDescent="0.25">
      <c r="A135" t="s">
        <v>334</v>
      </c>
      <c r="B135"/>
      <c r="C135"/>
      <c r="D135" s="1">
        <f t="shared" si="14"/>
        <v>123</v>
      </c>
      <c r="E135" s="1" t="s">
        <v>202</v>
      </c>
      <c r="F135" s="1" t="s">
        <v>203</v>
      </c>
      <c r="G135" s="7">
        <v>57.1</v>
      </c>
      <c r="H135" s="6">
        <v>2590</v>
      </c>
    </row>
    <row r="136" spans="1:8" x14ac:dyDescent="0.25">
      <c r="A136" t="s">
        <v>334</v>
      </c>
      <c r="B136"/>
      <c r="C136"/>
      <c r="D136" s="1">
        <f t="shared" si="14"/>
        <v>124</v>
      </c>
      <c r="E136" s="1" t="s">
        <v>179</v>
      </c>
      <c r="F136" s="1" t="s">
        <v>180</v>
      </c>
      <c r="G136" s="3">
        <v>48.73</v>
      </c>
      <c r="H136" s="6">
        <v>2540</v>
      </c>
    </row>
    <row r="137" spans="1:8" x14ac:dyDescent="0.25">
      <c r="A137" t="s">
        <v>334</v>
      </c>
      <c r="B137"/>
      <c r="C137"/>
      <c r="D137" s="1">
        <f t="shared" si="14"/>
        <v>125</v>
      </c>
      <c r="E137" s="1" t="s">
        <v>190</v>
      </c>
      <c r="F137" s="1" t="s">
        <v>191</v>
      </c>
      <c r="G137" s="3">
        <v>37.96</v>
      </c>
      <c r="H137" s="6">
        <v>2360</v>
      </c>
    </row>
    <row r="138" spans="1:8" x14ac:dyDescent="0.25">
      <c r="A138" t="s">
        <v>334</v>
      </c>
      <c r="B138"/>
      <c r="C138"/>
      <c r="D138" s="1">
        <f t="shared" ref="D138:D140" si="21">+D137+1</f>
        <v>126</v>
      </c>
      <c r="E138" s="1" t="s">
        <v>210</v>
      </c>
      <c r="F138" s="1" t="s">
        <v>211</v>
      </c>
      <c r="G138" s="3">
        <v>36.86</v>
      </c>
      <c r="H138" s="6">
        <v>1990</v>
      </c>
    </row>
    <row r="139" spans="1:8" x14ac:dyDescent="0.25">
      <c r="A139"/>
      <c r="B139"/>
      <c r="C139"/>
      <c r="D139" s="1">
        <f t="shared" si="21"/>
        <v>127</v>
      </c>
      <c r="E139" t="s">
        <v>358</v>
      </c>
      <c r="F139" t="s">
        <v>359</v>
      </c>
    </row>
    <row r="140" spans="1:8" x14ac:dyDescent="0.25">
      <c r="A140"/>
      <c r="B140"/>
      <c r="C140"/>
      <c r="D140" s="1">
        <f t="shared" si="21"/>
        <v>128</v>
      </c>
      <c r="E140" t="s">
        <v>356</v>
      </c>
      <c r="F140" t="s">
        <v>357</v>
      </c>
    </row>
    <row r="141" spans="1:8" x14ac:dyDescent="0.25">
      <c r="D141" s="1">
        <f t="shared" ref="D141:D203" si="22">+D140+1</f>
        <v>129</v>
      </c>
      <c r="E141" t="s">
        <v>272</v>
      </c>
      <c r="F141" t="s">
        <v>273</v>
      </c>
    </row>
    <row r="142" spans="1:8" x14ac:dyDescent="0.25">
      <c r="D142" s="1">
        <f t="shared" si="22"/>
        <v>130</v>
      </c>
      <c r="E142" t="s">
        <v>1425</v>
      </c>
      <c r="F142" t="s">
        <v>1426</v>
      </c>
      <c r="G142" s="7">
        <v>2.1</v>
      </c>
    </row>
    <row r="143" spans="1:8" x14ac:dyDescent="0.25">
      <c r="D143" s="1">
        <f t="shared" si="22"/>
        <v>131</v>
      </c>
      <c r="E143" t="s">
        <v>1427</v>
      </c>
      <c r="F143" t="s">
        <v>1428</v>
      </c>
      <c r="G143" s="7"/>
    </row>
    <row r="144" spans="1:8" x14ac:dyDescent="0.25">
      <c r="D144" s="1">
        <f t="shared" si="22"/>
        <v>132</v>
      </c>
      <c r="E144" t="s">
        <v>269</v>
      </c>
      <c r="F144" t="s">
        <v>270</v>
      </c>
    </row>
    <row r="145" spans="1:8" x14ac:dyDescent="0.25">
      <c r="D145" s="1">
        <f t="shared" si="22"/>
        <v>133</v>
      </c>
      <c r="E145" s="5" t="s">
        <v>1429</v>
      </c>
      <c r="F145" t="s">
        <v>1430</v>
      </c>
      <c r="G145" s="7">
        <v>2.06</v>
      </c>
    </row>
    <row r="146" spans="1:8" x14ac:dyDescent="0.25">
      <c r="D146" s="1">
        <f>+D144+1</f>
        <v>133</v>
      </c>
      <c r="E146" t="s">
        <v>362</v>
      </c>
      <c r="F146" t="s">
        <v>363</v>
      </c>
    </row>
    <row r="147" spans="1:8" x14ac:dyDescent="0.25">
      <c r="A147"/>
      <c r="B147"/>
      <c r="C147"/>
      <c r="D147" s="1">
        <f t="shared" si="22"/>
        <v>134</v>
      </c>
      <c r="E147" t="s">
        <v>1059</v>
      </c>
      <c r="F147" t="s">
        <v>1060</v>
      </c>
    </row>
    <row r="148" spans="1:8" x14ac:dyDescent="0.25">
      <c r="A148" s="89" t="s">
        <v>334</v>
      </c>
      <c r="B148"/>
      <c r="C148"/>
      <c r="D148" s="1">
        <f t="shared" si="22"/>
        <v>135</v>
      </c>
      <c r="E148" t="s">
        <v>1057</v>
      </c>
      <c r="F148" t="s">
        <v>1058</v>
      </c>
      <c r="G148" s="7"/>
    </row>
    <row r="149" spans="1:8" x14ac:dyDescent="0.25">
      <c r="A149"/>
      <c r="B149"/>
      <c r="C149"/>
      <c r="D149" s="1">
        <f t="shared" si="22"/>
        <v>136</v>
      </c>
      <c r="E149" t="s">
        <v>1431</v>
      </c>
      <c r="F149"/>
      <c r="G149" s="7"/>
    </row>
    <row r="150" spans="1:8" x14ac:dyDescent="0.25">
      <c r="A150"/>
      <c r="B150"/>
      <c r="C150"/>
      <c r="D150" s="1">
        <f t="shared" si="22"/>
        <v>137</v>
      </c>
      <c r="E150" t="s">
        <v>597</v>
      </c>
      <c r="F150" t="s">
        <v>598</v>
      </c>
    </row>
    <row r="151" spans="1:8" x14ac:dyDescent="0.25">
      <c r="D151" s="1">
        <f t="shared" si="22"/>
        <v>138</v>
      </c>
      <c r="E151" s="1" t="s">
        <v>116</v>
      </c>
      <c r="F151" s="1" t="s">
        <v>117</v>
      </c>
      <c r="G151" s="3">
        <v>83.97</v>
      </c>
    </row>
    <row r="152" spans="1:8" x14ac:dyDescent="0.25">
      <c r="A152"/>
      <c r="B152"/>
      <c r="C152"/>
      <c r="D152" s="1">
        <f t="shared" si="22"/>
        <v>139</v>
      </c>
      <c r="E152" t="s">
        <v>1063</v>
      </c>
      <c r="F152" t="s">
        <v>1064</v>
      </c>
      <c r="H152" s="6"/>
    </row>
    <row r="153" spans="1:8" x14ac:dyDescent="0.25">
      <c r="A153"/>
      <c r="B153"/>
      <c r="C153"/>
      <c r="D153" s="1">
        <f t="shared" si="22"/>
        <v>140</v>
      </c>
      <c r="E153" t="s">
        <v>1119</v>
      </c>
      <c r="F153" t="s">
        <v>1120</v>
      </c>
      <c r="H153" s="6"/>
    </row>
    <row r="154" spans="1:8" x14ac:dyDescent="0.25">
      <c r="A154"/>
      <c r="B154"/>
      <c r="C154"/>
      <c r="D154" s="1">
        <f t="shared" si="22"/>
        <v>141</v>
      </c>
      <c r="E154" t="s">
        <v>1068</v>
      </c>
      <c r="H154" s="6"/>
    </row>
    <row r="155" spans="1:8" x14ac:dyDescent="0.25">
      <c r="A155"/>
      <c r="B155"/>
      <c r="C155"/>
      <c r="D155" s="1">
        <f t="shared" si="22"/>
        <v>142</v>
      </c>
      <c r="E155" s="5" t="s">
        <v>1818</v>
      </c>
      <c r="F155" t="s">
        <v>1819</v>
      </c>
      <c r="G155" s="7">
        <v>50</v>
      </c>
      <c r="H155" s="6"/>
    </row>
    <row r="156" spans="1:8" x14ac:dyDescent="0.25">
      <c r="A156"/>
      <c r="B156"/>
      <c r="C156"/>
      <c r="D156" s="1">
        <f t="shared" si="22"/>
        <v>143</v>
      </c>
      <c r="E156" t="s">
        <v>1069</v>
      </c>
      <c r="H156" s="6"/>
    </row>
    <row r="157" spans="1:8" x14ac:dyDescent="0.25">
      <c r="A157"/>
      <c r="B157"/>
      <c r="C157"/>
      <c r="D157" s="1">
        <f t="shared" si="22"/>
        <v>144</v>
      </c>
      <c r="E157" t="s">
        <v>336</v>
      </c>
      <c r="F157" t="s">
        <v>337</v>
      </c>
      <c r="H157" s="6"/>
    </row>
    <row r="158" spans="1:8" x14ac:dyDescent="0.25">
      <c r="A158"/>
      <c r="B158"/>
      <c r="C158"/>
      <c r="D158" s="1">
        <f t="shared" si="22"/>
        <v>145</v>
      </c>
      <c r="E158" t="s">
        <v>1067</v>
      </c>
      <c r="H158" s="6"/>
    </row>
    <row r="159" spans="1:8" x14ac:dyDescent="0.25">
      <c r="A159"/>
      <c r="B159"/>
      <c r="C159"/>
      <c r="D159" s="1">
        <f t="shared" si="22"/>
        <v>146</v>
      </c>
      <c r="E159" t="s">
        <v>1149</v>
      </c>
      <c r="F159" s="1" t="s">
        <v>1150</v>
      </c>
      <c r="H159" s="6"/>
    </row>
    <row r="160" spans="1:8" x14ac:dyDescent="0.25">
      <c r="A160" t="s">
        <v>334</v>
      </c>
      <c r="B160"/>
      <c r="C160"/>
      <c r="D160" s="1">
        <f t="shared" si="22"/>
        <v>147</v>
      </c>
      <c r="E160" t="s">
        <v>682</v>
      </c>
      <c r="F160" t="s">
        <v>683</v>
      </c>
    </row>
    <row r="161" spans="1:31" x14ac:dyDescent="0.25">
      <c r="A161"/>
      <c r="B161"/>
      <c r="C161"/>
      <c r="D161" s="1">
        <f t="shared" si="22"/>
        <v>148</v>
      </c>
      <c r="E161" t="s">
        <v>307</v>
      </c>
      <c r="F161" t="s">
        <v>308</v>
      </c>
      <c r="G161" s="3">
        <v>4.26</v>
      </c>
      <c r="H161" s="6"/>
      <c r="AE161" s="1">
        <v>2011</v>
      </c>
    </row>
    <row r="162" spans="1:31" x14ac:dyDescent="0.25">
      <c r="A162" t="s">
        <v>334</v>
      </c>
      <c r="B162"/>
      <c r="C162"/>
      <c r="D162" s="1">
        <f t="shared" si="22"/>
        <v>149</v>
      </c>
      <c r="E162" s="5" t="s">
        <v>375</v>
      </c>
      <c r="F162" t="s">
        <v>376</v>
      </c>
      <c r="G162" s="7">
        <v>49</v>
      </c>
      <c r="H162" s="6">
        <f>+G162*L162</f>
        <v>3632.5077390000001</v>
      </c>
      <c r="I162" s="6">
        <f>+[115]Main!$K$5-[115]Main!$K$6</f>
        <v>461.9</v>
      </c>
      <c r="J162" s="6">
        <f t="shared" ref="J162:J165" si="23">+H162-I162</f>
        <v>3170.607739</v>
      </c>
      <c r="K162" s="3" t="s">
        <v>1280</v>
      </c>
      <c r="L162" s="6">
        <f>+[115]Main!$K$3</f>
        <v>74.132811000000004</v>
      </c>
      <c r="M162" s="9">
        <v>45733</v>
      </c>
    </row>
    <row r="163" spans="1:31" x14ac:dyDescent="0.25">
      <c r="A163" t="s">
        <v>334</v>
      </c>
      <c r="B163"/>
      <c r="C163"/>
      <c r="D163" s="1">
        <f t="shared" si="22"/>
        <v>150</v>
      </c>
      <c r="E163" s="5" t="s">
        <v>183</v>
      </c>
      <c r="F163" s="1" t="s">
        <v>184</v>
      </c>
      <c r="G163" s="3">
        <v>20.14</v>
      </c>
      <c r="H163" s="6">
        <f>+G163*L163</f>
        <v>1383.8798199999999</v>
      </c>
      <c r="I163" s="6">
        <f>+[116]Main!$O$5-[116]Main!$O$6</f>
        <v>1121.0000000000002</v>
      </c>
      <c r="J163" s="6">
        <f>+H163-I163</f>
        <v>262.87981999999965</v>
      </c>
      <c r="K163" s="3" t="s">
        <v>1279</v>
      </c>
      <c r="L163" s="6">
        <f>+[116]Main!$O$3</f>
        <v>68.712999999999994</v>
      </c>
      <c r="M163" s="9">
        <v>45684</v>
      </c>
    </row>
    <row r="164" spans="1:31" x14ac:dyDescent="0.25">
      <c r="A164" t="s">
        <v>334</v>
      </c>
      <c r="B164"/>
      <c r="C164"/>
      <c r="D164" s="1">
        <f t="shared" si="22"/>
        <v>151</v>
      </c>
      <c r="E164" s="5" t="s">
        <v>512</v>
      </c>
      <c r="F164" t="s">
        <v>513</v>
      </c>
      <c r="G164" s="3">
        <v>12.41</v>
      </c>
      <c r="H164" s="6">
        <f>G164*L164</f>
        <v>686.11028007999994</v>
      </c>
      <c r="I164" s="6">
        <f>[117]Main!$L$5-[117]Main!$L$6</f>
        <v>578</v>
      </c>
      <c r="J164" s="6">
        <f t="shared" si="23"/>
        <v>108.11028007999994</v>
      </c>
      <c r="K164" s="3" t="s">
        <v>649</v>
      </c>
      <c r="L164" s="6">
        <f>[117]Main!$L$3</f>
        <v>55.286887999999998</v>
      </c>
      <c r="M164" s="9">
        <v>45064</v>
      </c>
    </row>
    <row r="165" spans="1:31" x14ac:dyDescent="0.25">
      <c r="A165" t="s">
        <v>334</v>
      </c>
      <c r="B165"/>
      <c r="C165"/>
      <c r="D165" s="1">
        <f t="shared" si="22"/>
        <v>152</v>
      </c>
      <c r="E165" s="5" t="s">
        <v>782</v>
      </c>
      <c r="F165" t="s">
        <v>783</v>
      </c>
      <c r="G165" s="7">
        <v>3.06</v>
      </c>
      <c r="H165" s="6">
        <f>G165*L165</f>
        <v>205.55876502000001</v>
      </c>
      <c r="I165" s="6">
        <f>[118]Main!$O$5-[118]Main!$O$6</f>
        <v>345.67399999999998</v>
      </c>
      <c r="J165" s="6">
        <f t="shared" si="23"/>
        <v>-140.11523497999997</v>
      </c>
      <c r="K165" s="3" t="s">
        <v>649</v>
      </c>
      <c r="L165" s="6">
        <f>[118]Main!$O$3</f>
        <v>67.176067000000003</v>
      </c>
      <c r="M165" s="9">
        <v>45067</v>
      </c>
    </row>
    <row r="166" spans="1:31" x14ac:dyDescent="0.25">
      <c r="A166" t="s">
        <v>334</v>
      </c>
      <c r="B166"/>
      <c r="C166"/>
      <c r="D166" s="1">
        <f t="shared" si="22"/>
        <v>153</v>
      </c>
      <c r="E166" s="5" t="s">
        <v>181</v>
      </c>
      <c r="F166" s="1" t="s">
        <v>182</v>
      </c>
      <c r="G166" s="7">
        <v>7.28</v>
      </c>
      <c r="H166" s="6">
        <f>G166*L166</f>
        <v>434.74418623999998</v>
      </c>
      <c r="I166" s="6">
        <f>[119]Main!$K$5-[119]Main!$K$6</f>
        <v>1272.4940000000001</v>
      </c>
      <c r="J166" s="6">
        <f>H166-I166</f>
        <v>-837.74981376000017</v>
      </c>
      <c r="K166" s="3" t="s">
        <v>517</v>
      </c>
      <c r="L166" s="6">
        <f>[119]Main!$K$3</f>
        <v>59.717607999999998</v>
      </c>
      <c r="M166" s="9">
        <v>44999</v>
      </c>
    </row>
    <row r="167" spans="1:31" x14ac:dyDescent="0.25">
      <c r="A167"/>
      <c r="B167"/>
      <c r="C167"/>
      <c r="D167" s="1">
        <f t="shared" si="22"/>
        <v>154</v>
      </c>
      <c r="E167" s="5" t="s">
        <v>141</v>
      </c>
      <c r="F167" t="s">
        <v>1179</v>
      </c>
      <c r="G167" s="7">
        <v>5.91</v>
      </c>
      <c r="H167" s="6"/>
    </row>
    <row r="168" spans="1:31" x14ac:dyDescent="0.25">
      <c r="A168"/>
      <c r="B168"/>
      <c r="C168"/>
      <c r="D168" s="1">
        <f t="shared" si="22"/>
        <v>155</v>
      </c>
      <c r="E168" s="5" t="s">
        <v>141</v>
      </c>
      <c r="F168" t="s">
        <v>142</v>
      </c>
      <c r="G168" s="7">
        <v>3.32</v>
      </c>
      <c r="H168" s="6"/>
    </row>
    <row r="169" spans="1:31" x14ac:dyDescent="0.25">
      <c r="A169"/>
      <c r="B169"/>
      <c r="C169"/>
      <c r="D169" s="1">
        <f t="shared" si="22"/>
        <v>156</v>
      </c>
      <c r="E169" s="1" t="s">
        <v>216</v>
      </c>
      <c r="F169" s="1" t="s">
        <v>217</v>
      </c>
      <c r="G169" s="3">
        <v>18.309999999999999</v>
      </c>
      <c r="H169" s="6">
        <v>1930</v>
      </c>
    </row>
    <row r="170" spans="1:31" x14ac:dyDescent="0.25">
      <c r="A170"/>
      <c r="B170"/>
      <c r="C170"/>
      <c r="D170" s="1">
        <f t="shared" si="22"/>
        <v>157</v>
      </c>
      <c r="E170" t="s">
        <v>1181</v>
      </c>
      <c r="F170" t="s">
        <v>1182</v>
      </c>
      <c r="H170" s="6"/>
    </row>
    <row r="171" spans="1:31" x14ac:dyDescent="0.25">
      <c r="A171"/>
      <c r="B171"/>
      <c r="C171"/>
      <c r="D171" s="1">
        <f t="shared" si="22"/>
        <v>158</v>
      </c>
      <c r="E171" t="s">
        <v>1123</v>
      </c>
      <c r="F171" t="s">
        <v>1124</v>
      </c>
      <c r="H171" s="6"/>
    </row>
    <row r="172" spans="1:31" x14ac:dyDescent="0.25">
      <c r="D172" s="1">
        <f t="shared" si="22"/>
        <v>159</v>
      </c>
      <c r="E172" t="s">
        <v>1125</v>
      </c>
      <c r="F172" t="s">
        <v>1126</v>
      </c>
    </row>
    <row r="173" spans="1:31" x14ac:dyDescent="0.25">
      <c r="A173" t="s">
        <v>334</v>
      </c>
      <c r="B173"/>
      <c r="C173"/>
      <c r="D173" s="1">
        <f t="shared" si="22"/>
        <v>160</v>
      </c>
      <c r="E173" s="1" t="s">
        <v>187</v>
      </c>
      <c r="F173" s="1" t="s">
        <v>188</v>
      </c>
      <c r="G173" s="7">
        <v>10.1</v>
      </c>
      <c r="H173" s="6">
        <v>1880</v>
      </c>
    </row>
    <row r="174" spans="1:31" x14ac:dyDescent="0.25">
      <c r="A174" t="s">
        <v>334</v>
      </c>
      <c r="B174"/>
      <c r="C174"/>
      <c r="D174" s="1">
        <f t="shared" si="22"/>
        <v>161</v>
      </c>
      <c r="E174" s="1" t="s">
        <v>784</v>
      </c>
      <c r="F174" s="1" t="s">
        <v>170</v>
      </c>
      <c r="G174" s="3">
        <v>38.67</v>
      </c>
      <c r="H174" s="6">
        <v>1770</v>
      </c>
    </row>
    <row r="175" spans="1:31" x14ac:dyDescent="0.25">
      <c r="A175" t="s">
        <v>334</v>
      </c>
      <c r="B175"/>
      <c r="C175"/>
      <c r="D175" s="1">
        <f t="shared" si="22"/>
        <v>162</v>
      </c>
      <c r="E175" t="s">
        <v>377</v>
      </c>
      <c r="F175" t="s">
        <v>378</v>
      </c>
      <c r="G175" s="7">
        <v>43.5</v>
      </c>
    </row>
    <row r="176" spans="1:31" x14ac:dyDescent="0.25">
      <c r="A176"/>
      <c r="B176"/>
      <c r="C176"/>
      <c r="D176" s="1">
        <f t="shared" si="22"/>
        <v>163</v>
      </c>
      <c r="E176" s="5" t="s">
        <v>1071</v>
      </c>
      <c r="F176" t="s">
        <v>1072</v>
      </c>
      <c r="G176" s="7">
        <v>17</v>
      </c>
      <c r="H176" s="6"/>
    </row>
    <row r="177" spans="1:30" x14ac:dyDescent="0.25">
      <c r="A177" t="s">
        <v>334</v>
      </c>
      <c r="B177"/>
      <c r="C177"/>
      <c r="D177" s="1">
        <f t="shared" si="22"/>
        <v>164</v>
      </c>
      <c r="E177" t="s">
        <v>726</v>
      </c>
      <c r="H177" s="6"/>
    </row>
    <row r="178" spans="1:30" x14ac:dyDescent="0.25">
      <c r="A178" t="s">
        <v>334</v>
      </c>
      <c r="B178"/>
      <c r="C178"/>
      <c r="D178" s="1">
        <f t="shared" si="22"/>
        <v>165</v>
      </c>
      <c r="E178" s="1" t="s">
        <v>177</v>
      </c>
      <c r="F178" s="1" t="s">
        <v>178</v>
      </c>
      <c r="G178" s="3">
        <v>22.22</v>
      </c>
      <c r="H178" s="6">
        <v>1720</v>
      </c>
    </row>
    <row r="179" spans="1:30" ht="13" x14ac:dyDescent="0.3">
      <c r="A179" s="1" t="s">
        <v>334</v>
      </c>
      <c r="D179" s="1">
        <f t="shared" si="22"/>
        <v>166</v>
      </c>
      <c r="E179" s="25" t="s">
        <v>623</v>
      </c>
      <c r="F179" s="25" t="s">
        <v>624</v>
      </c>
      <c r="G179" s="26">
        <v>20.66</v>
      </c>
      <c r="H179" s="27">
        <v>1400</v>
      </c>
    </row>
    <row r="180" spans="1:30" x14ac:dyDescent="0.25">
      <c r="A180" t="s">
        <v>334</v>
      </c>
      <c r="B180"/>
      <c r="C180"/>
      <c r="D180" s="1">
        <f t="shared" si="22"/>
        <v>167</v>
      </c>
      <c r="E180" t="s">
        <v>765</v>
      </c>
      <c r="F180" t="s">
        <v>766</v>
      </c>
      <c r="G180" s="7"/>
      <c r="H180" s="6"/>
    </row>
    <row r="181" spans="1:30" x14ac:dyDescent="0.25">
      <c r="A181"/>
      <c r="B181"/>
      <c r="C181"/>
      <c r="D181" s="1">
        <f t="shared" si="22"/>
        <v>168</v>
      </c>
      <c r="E181" t="s">
        <v>780</v>
      </c>
      <c r="F181" t="s">
        <v>781</v>
      </c>
      <c r="G181" s="7"/>
      <c r="H181" s="6"/>
    </row>
    <row r="182" spans="1:30" x14ac:dyDescent="0.25">
      <c r="A182" t="s">
        <v>334</v>
      </c>
      <c r="B182"/>
      <c r="C182"/>
      <c r="D182" s="1">
        <f t="shared" si="22"/>
        <v>169</v>
      </c>
      <c r="E182" t="s">
        <v>779</v>
      </c>
      <c r="F182"/>
      <c r="G182" s="7"/>
      <c r="H182" s="6"/>
    </row>
    <row r="183" spans="1:30" x14ac:dyDescent="0.25">
      <c r="A183" t="s">
        <v>334</v>
      </c>
      <c r="B183"/>
      <c r="C183"/>
      <c r="D183" s="1">
        <f t="shared" si="22"/>
        <v>170</v>
      </c>
      <c r="E183" s="1" t="s">
        <v>160</v>
      </c>
      <c r="F183" s="1" t="s">
        <v>161</v>
      </c>
      <c r="G183" s="7">
        <v>5.75</v>
      </c>
      <c r="H183" s="6">
        <v>1100</v>
      </c>
    </row>
    <row r="184" spans="1:30" x14ac:dyDescent="0.25">
      <c r="A184" t="s">
        <v>334</v>
      </c>
      <c r="B184"/>
      <c r="C184"/>
      <c r="D184" s="1">
        <f t="shared" si="22"/>
        <v>171</v>
      </c>
      <c r="E184" t="s">
        <v>777</v>
      </c>
      <c r="F184" t="s">
        <v>778</v>
      </c>
      <c r="G184" s="7"/>
      <c r="H184" s="6"/>
    </row>
    <row r="185" spans="1:30" x14ac:dyDescent="0.25">
      <c r="A185" t="s">
        <v>334</v>
      </c>
      <c r="B185"/>
      <c r="C185"/>
      <c r="D185" s="1">
        <f t="shared" si="22"/>
        <v>172</v>
      </c>
      <c r="E185" t="s">
        <v>438</v>
      </c>
      <c r="F185" t="s">
        <v>439</v>
      </c>
      <c r="G185" s="3">
        <v>23.13</v>
      </c>
      <c r="H185" s="6">
        <v>1000</v>
      </c>
    </row>
    <row r="186" spans="1:30" x14ac:dyDescent="0.25">
      <c r="A186" s="1" t="s">
        <v>334</v>
      </c>
      <c r="D186" s="1">
        <f t="shared" si="22"/>
        <v>173</v>
      </c>
      <c r="E186" s="1" t="s">
        <v>104</v>
      </c>
      <c r="F186" s="1" t="s">
        <v>105</v>
      </c>
      <c r="G186" s="3">
        <v>24.78</v>
      </c>
    </row>
    <row r="187" spans="1:30" x14ac:dyDescent="0.25">
      <c r="A187" t="s">
        <v>334</v>
      </c>
      <c r="B187"/>
      <c r="C187"/>
      <c r="D187" s="1">
        <f t="shared" si="22"/>
        <v>174</v>
      </c>
      <c r="E187" s="1" t="s">
        <v>106</v>
      </c>
      <c r="F187" s="1" t="s">
        <v>107</v>
      </c>
      <c r="G187" s="3">
        <v>4.72</v>
      </c>
    </row>
    <row r="188" spans="1:30" x14ac:dyDescent="0.25">
      <c r="A188" t="s">
        <v>334</v>
      </c>
      <c r="B188"/>
      <c r="C188"/>
      <c r="D188" s="1">
        <f t="shared" si="22"/>
        <v>175</v>
      </c>
      <c r="E188" s="1" t="s">
        <v>108</v>
      </c>
      <c r="F188" s="1" t="s">
        <v>109</v>
      </c>
      <c r="G188" s="3">
        <v>24.53</v>
      </c>
    </row>
    <row r="189" spans="1:30" x14ac:dyDescent="0.25">
      <c r="A189" t="s">
        <v>334</v>
      </c>
      <c r="B189"/>
      <c r="C189"/>
      <c r="D189" s="1">
        <f t="shared" si="22"/>
        <v>176</v>
      </c>
      <c r="E189" t="s">
        <v>769</v>
      </c>
      <c r="F189" t="s">
        <v>770</v>
      </c>
      <c r="H189" s="6"/>
    </row>
    <row r="190" spans="1:30" s="25" customFormat="1" ht="13" x14ac:dyDescent="0.3">
      <c r="A190" s="25" t="s">
        <v>334</v>
      </c>
      <c r="D190" s="25">
        <f t="shared" si="22"/>
        <v>177</v>
      </c>
      <c r="E190" s="25" t="s">
        <v>767</v>
      </c>
      <c r="F190" s="25" t="s">
        <v>768</v>
      </c>
      <c r="G190" s="47">
        <v>19.7</v>
      </c>
      <c r="H190" s="27">
        <v>800</v>
      </c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</row>
    <row r="191" spans="1:30" x14ac:dyDescent="0.25">
      <c r="A191" t="s">
        <v>334</v>
      </c>
      <c r="B191"/>
      <c r="C191"/>
      <c r="D191" s="1">
        <f t="shared" si="22"/>
        <v>178</v>
      </c>
      <c r="E191" s="1" t="s">
        <v>171</v>
      </c>
      <c r="F191" s="1" t="s">
        <v>172</v>
      </c>
      <c r="G191" s="7">
        <v>21.6</v>
      </c>
      <c r="H191" s="6">
        <v>991</v>
      </c>
    </row>
    <row r="192" spans="1:30" x14ac:dyDescent="0.25">
      <c r="A192" t="s">
        <v>334</v>
      </c>
      <c r="B192"/>
      <c r="C192"/>
      <c r="D192" s="1">
        <f t="shared" si="22"/>
        <v>179</v>
      </c>
      <c r="E192" t="s">
        <v>720</v>
      </c>
      <c r="F192" t="s">
        <v>721</v>
      </c>
      <c r="H192" s="6"/>
    </row>
    <row r="193" spans="1:30" x14ac:dyDescent="0.25">
      <c r="D193" s="1">
        <f t="shared" si="22"/>
        <v>180</v>
      </c>
      <c r="E193" s="1" t="s">
        <v>196</v>
      </c>
      <c r="F193" s="1" t="s">
        <v>197</v>
      </c>
      <c r="G193" s="3">
        <v>2.42</v>
      </c>
      <c r="H193" s="6">
        <v>823</v>
      </c>
    </row>
    <row r="194" spans="1:30" x14ac:dyDescent="0.25">
      <c r="A194" t="s">
        <v>334</v>
      </c>
      <c r="B194"/>
      <c r="C194"/>
      <c r="D194" s="1">
        <f t="shared" si="22"/>
        <v>181</v>
      </c>
      <c r="E194" t="s">
        <v>718</v>
      </c>
      <c r="F194" t="s">
        <v>719</v>
      </c>
      <c r="H194" s="6"/>
    </row>
    <row r="195" spans="1:30" s="25" customFormat="1" ht="13" x14ac:dyDescent="0.3">
      <c r="D195" s="1">
        <f t="shared" si="22"/>
        <v>182</v>
      </c>
      <c r="E195" s="25" t="s">
        <v>1187</v>
      </c>
      <c r="F195" s="25" t="s">
        <v>1188</v>
      </c>
      <c r="G195" s="47">
        <v>28.76</v>
      </c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</row>
    <row r="196" spans="1:30" x14ac:dyDescent="0.25">
      <c r="A196" t="s">
        <v>334</v>
      </c>
      <c r="B196"/>
      <c r="C196"/>
      <c r="D196" s="1">
        <f t="shared" si="22"/>
        <v>183</v>
      </c>
      <c r="E196" t="s">
        <v>798</v>
      </c>
      <c r="F196" t="s">
        <v>799</v>
      </c>
      <c r="H196" s="6"/>
    </row>
    <row r="197" spans="1:30" x14ac:dyDescent="0.25">
      <c r="A197" t="s">
        <v>334</v>
      </c>
      <c r="B197"/>
      <c r="C197"/>
      <c r="D197" s="1">
        <f t="shared" si="22"/>
        <v>184</v>
      </c>
      <c r="E197" t="s">
        <v>796</v>
      </c>
      <c r="F197" t="s">
        <v>797</v>
      </c>
      <c r="H197" s="6"/>
    </row>
    <row r="198" spans="1:30" x14ac:dyDescent="0.25">
      <c r="A198"/>
      <c r="B198"/>
      <c r="C198"/>
      <c r="D198" s="1">
        <f t="shared" si="22"/>
        <v>185</v>
      </c>
      <c r="E198" t="s">
        <v>1271</v>
      </c>
      <c r="F198" t="s">
        <v>1272</v>
      </c>
      <c r="G198" s="7">
        <v>3.5</v>
      </c>
      <c r="H198" s="6"/>
    </row>
    <row r="199" spans="1:30" x14ac:dyDescent="0.25">
      <c r="A199" t="s">
        <v>334</v>
      </c>
      <c r="B199"/>
      <c r="C199"/>
      <c r="D199" s="1">
        <f t="shared" si="22"/>
        <v>186</v>
      </c>
      <c r="E199" t="s">
        <v>794</v>
      </c>
      <c r="F199" t="s">
        <v>795</v>
      </c>
      <c r="H199" s="6"/>
    </row>
    <row r="200" spans="1:30" x14ac:dyDescent="0.25">
      <c r="A200" t="s">
        <v>334</v>
      </c>
      <c r="B200"/>
      <c r="C200"/>
      <c r="D200" s="1">
        <f t="shared" si="22"/>
        <v>187</v>
      </c>
      <c r="E200" t="s">
        <v>793</v>
      </c>
      <c r="F200" t="s">
        <v>792</v>
      </c>
      <c r="H200" s="6"/>
    </row>
    <row r="201" spans="1:30" x14ac:dyDescent="0.25">
      <c r="A201" t="s">
        <v>334</v>
      </c>
      <c r="B201"/>
      <c r="C201"/>
      <c r="D201" s="1">
        <f t="shared" si="22"/>
        <v>188</v>
      </c>
      <c r="E201" t="s">
        <v>790</v>
      </c>
      <c r="F201" t="s">
        <v>791</v>
      </c>
      <c r="H201" s="6"/>
    </row>
    <row r="202" spans="1:30" x14ac:dyDescent="0.25">
      <c r="A202" t="s">
        <v>334</v>
      </c>
      <c r="B202"/>
      <c r="C202"/>
      <c r="D202" s="1">
        <f t="shared" si="22"/>
        <v>189</v>
      </c>
      <c r="E202" t="s">
        <v>771</v>
      </c>
      <c r="F202" t="s">
        <v>772</v>
      </c>
      <c r="H202" s="6"/>
    </row>
    <row r="203" spans="1:30" x14ac:dyDescent="0.25">
      <c r="A203" t="s">
        <v>334</v>
      </c>
      <c r="B203"/>
      <c r="C203"/>
      <c r="D203" s="1">
        <f t="shared" si="22"/>
        <v>190</v>
      </c>
      <c r="E203" s="1" t="s">
        <v>194</v>
      </c>
      <c r="F203" s="1" t="s">
        <v>195</v>
      </c>
      <c r="G203" s="7">
        <v>5.7</v>
      </c>
      <c r="H203" s="6">
        <v>821</v>
      </c>
    </row>
    <row r="204" spans="1:30" x14ac:dyDescent="0.25">
      <c r="A204" t="s">
        <v>334</v>
      </c>
      <c r="B204"/>
      <c r="C204"/>
      <c r="D204" s="1">
        <f t="shared" ref="D204:D271" si="24">+D203+1</f>
        <v>191</v>
      </c>
      <c r="E204" t="s">
        <v>304</v>
      </c>
      <c r="F204" t="s">
        <v>305</v>
      </c>
      <c r="G204" s="3">
        <v>3.23</v>
      </c>
      <c r="H204" s="6">
        <v>630</v>
      </c>
    </row>
    <row r="205" spans="1:30" x14ac:dyDescent="0.25">
      <c r="A205" t="s">
        <v>334</v>
      </c>
      <c r="B205"/>
      <c r="C205"/>
      <c r="D205" s="1">
        <f t="shared" si="24"/>
        <v>192</v>
      </c>
      <c r="E205" t="s">
        <v>706</v>
      </c>
      <c r="F205" t="s">
        <v>707</v>
      </c>
      <c r="G205" s="3">
        <v>26.06</v>
      </c>
      <c r="H205" s="6"/>
    </row>
    <row r="206" spans="1:30" x14ac:dyDescent="0.25">
      <c r="A206" t="s">
        <v>334</v>
      </c>
      <c r="B206"/>
      <c r="C206"/>
      <c r="D206" s="1">
        <f>+D212+1</f>
        <v>194</v>
      </c>
      <c r="E206" s="1" t="s">
        <v>200</v>
      </c>
      <c r="F206" s="1" t="s">
        <v>201</v>
      </c>
      <c r="G206" s="3">
        <v>4.16</v>
      </c>
      <c r="H206" s="6">
        <v>590</v>
      </c>
    </row>
    <row r="207" spans="1:30" x14ac:dyDescent="0.25">
      <c r="A207" t="s">
        <v>334</v>
      </c>
      <c r="B207"/>
      <c r="C207"/>
      <c r="D207" s="1">
        <f t="shared" si="24"/>
        <v>195</v>
      </c>
      <c r="E207" t="s">
        <v>291</v>
      </c>
      <c r="F207" t="s">
        <v>292</v>
      </c>
      <c r="G207" s="3">
        <v>8.4499999999999993</v>
      </c>
      <c r="H207" s="6">
        <f>4406/HKD</f>
        <v>564.87179487179492</v>
      </c>
    </row>
    <row r="208" spans="1:30" x14ac:dyDescent="0.25">
      <c r="A208" t="s">
        <v>334</v>
      </c>
      <c r="B208"/>
      <c r="C208"/>
      <c r="D208" s="1">
        <f t="shared" si="24"/>
        <v>196</v>
      </c>
      <c r="E208" s="5" t="s">
        <v>727</v>
      </c>
      <c r="F208" t="s">
        <v>728</v>
      </c>
      <c r="G208" s="3">
        <v>11.46</v>
      </c>
      <c r="H208" s="6">
        <f>+G208*L208</f>
        <v>464.21490714000004</v>
      </c>
      <c r="I208" s="6">
        <f>+[120]Main!$L$5-[120]Main!$L$6</f>
        <v>732.13299999999992</v>
      </c>
      <c r="J208" s="6">
        <f>+H208-I208</f>
        <v>-267.91809285999989</v>
      </c>
      <c r="K208" s="3" t="s">
        <v>1279</v>
      </c>
      <c r="L208" s="6">
        <f>+[120]Main!$L$3</f>
        <v>40.507409000000003</v>
      </c>
      <c r="M208" s="9">
        <v>45684</v>
      </c>
    </row>
    <row r="209" spans="1:31" x14ac:dyDescent="0.25">
      <c r="D209" s="1">
        <f t="shared" si="24"/>
        <v>197</v>
      </c>
      <c r="E209" s="1" t="s">
        <v>143</v>
      </c>
      <c r="F209" s="1" t="s">
        <v>144</v>
      </c>
      <c r="G209" s="3">
        <v>2.37</v>
      </c>
      <c r="H209" s="6"/>
    </row>
    <row r="210" spans="1:31" x14ac:dyDescent="0.25">
      <c r="A210" t="s">
        <v>334</v>
      </c>
      <c r="B210"/>
      <c r="C210"/>
      <c r="D210" s="1">
        <f t="shared" si="24"/>
        <v>198</v>
      </c>
      <c r="E210" t="s">
        <v>510</v>
      </c>
      <c r="F210" t="s">
        <v>511</v>
      </c>
      <c r="G210" s="7">
        <v>3.19</v>
      </c>
      <c r="H210" s="6">
        <v>439</v>
      </c>
    </row>
    <row r="211" spans="1:31" x14ac:dyDescent="0.25">
      <c r="A211" t="s">
        <v>334</v>
      </c>
      <c r="B211"/>
      <c r="C211"/>
      <c r="D211" s="1">
        <f t="shared" si="24"/>
        <v>199</v>
      </c>
      <c r="E211" s="1" t="s">
        <v>208</v>
      </c>
      <c r="F211" s="1" t="s">
        <v>209</v>
      </c>
      <c r="G211" s="3">
        <v>10.98</v>
      </c>
      <c r="H211" s="6">
        <v>548</v>
      </c>
    </row>
    <row r="212" spans="1:31" x14ac:dyDescent="0.25">
      <c r="A212" t="s">
        <v>334</v>
      </c>
      <c r="B212"/>
      <c r="C212"/>
      <c r="D212" s="1">
        <f>+D205+1</f>
        <v>193</v>
      </c>
      <c r="E212" s="5" t="s">
        <v>704</v>
      </c>
      <c r="F212" t="s">
        <v>705</v>
      </c>
      <c r="G212" s="7">
        <v>41.52</v>
      </c>
      <c r="H212" s="6">
        <f t="shared" ref="H212:H217" si="25">+G212*L212</f>
        <v>2689.0541764800005</v>
      </c>
      <c r="I212" s="6">
        <f>+[121]Main!$L$5-[121]Main!$L$6</f>
        <v>911.00500000000011</v>
      </c>
      <c r="J212" s="6">
        <f>+H212-I212</f>
        <v>1778.0491764800004</v>
      </c>
      <c r="K212" s="3" t="s">
        <v>1279</v>
      </c>
      <c r="L212" s="6">
        <f>+[121]Main!$L$3</f>
        <v>64.765274000000005</v>
      </c>
      <c r="M212" s="9">
        <v>45632</v>
      </c>
    </row>
    <row r="213" spans="1:31" x14ac:dyDescent="0.25">
      <c r="A213" t="s">
        <v>334</v>
      </c>
      <c r="B213"/>
      <c r="C213"/>
      <c r="D213" s="1">
        <f>+D206+1</f>
        <v>195</v>
      </c>
      <c r="E213" s="5" t="s">
        <v>288</v>
      </c>
      <c r="F213" t="s">
        <v>289</v>
      </c>
      <c r="G213" s="7">
        <v>0.61</v>
      </c>
      <c r="H213" s="6">
        <f t="shared" si="25"/>
        <v>89.294191199999986</v>
      </c>
      <c r="I213" s="6">
        <f>+[122]Main!$L$5-[122]Main!$L$6</f>
        <v>24.916284999999998</v>
      </c>
      <c r="J213" s="6">
        <f t="shared" ref="J213:J219" si="26">+H213-I213</f>
        <v>64.377906199999984</v>
      </c>
      <c r="K213" s="3" t="s">
        <v>1279</v>
      </c>
      <c r="L213" s="6">
        <f>+[122]Main!$L$3</f>
        <v>146.38391999999999</v>
      </c>
      <c r="M213" s="9">
        <v>45684</v>
      </c>
    </row>
    <row r="214" spans="1:31" s="95" customFormat="1" x14ac:dyDescent="0.25">
      <c r="D214" s="95">
        <f t="shared" si="24"/>
        <v>196</v>
      </c>
      <c r="E214" s="96" t="s">
        <v>951</v>
      </c>
      <c r="F214" s="95" t="s">
        <v>952</v>
      </c>
      <c r="G214" s="97">
        <v>33.89</v>
      </c>
      <c r="H214" s="98">
        <f t="shared" si="25"/>
        <v>1318.30476669</v>
      </c>
      <c r="I214" s="98">
        <f>+[123]Main!$K$5-[123]Main!$K$6</f>
        <v>304.87299999999999</v>
      </c>
      <c r="J214" s="98">
        <f>+H214-I214</f>
        <v>1013.4317666899999</v>
      </c>
      <c r="K214" s="97" t="s">
        <v>1073</v>
      </c>
      <c r="L214" s="98">
        <f>+[123]Main!$K$3</f>
        <v>38.899521</v>
      </c>
      <c r="M214" s="99">
        <v>45558</v>
      </c>
      <c r="N214" s="97"/>
      <c r="O214" s="97"/>
      <c r="P214" s="97"/>
      <c r="Q214" s="97"/>
      <c r="R214" s="97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</row>
    <row r="215" spans="1:31" x14ac:dyDescent="0.25">
      <c r="A215" t="s">
        <v>334</v>
      </c>
      <c r="B215"/>
      <c r="C215"/>
      <c r="D215" s="1">
        <f t="shared" si="24"/>
        <v>197</v>
      </c>
      <c r="E215" s="5" t="s">
        <v>224</v>
      </c>
      <c r="F215" s="1" t="s">
        <v>225</v>
      </c>
      <c r="G215" s="3">
        <v>23.75</v>
      </c>
      <c r="H215" s="6">
        <f t="shared" si="25"/>
        <v>1355.4004112499999</v>
      </c>
      <c r="I215" s="6">
        <f>+[124]Main!$K$5-[124]Main!$K$6</f>
        <v>449.76100000000002</v>
      </c>
      <c r="J215" s="6">
        <f t="shared" si="26"/>
        <v>905.63941124999997</v>
      </c>
      <c r="K215" s="3" t="s">
        <v>419</v>
      </c>
      <c r="L215" s="6">
        <f>+[124]Main!$K$3</f>
        <v>57.069490999999999</v>
      </c>
      <c r="M215" s="9">
        <v>44947</v>
      </c>
      <c r="AE215" s="1">
        <v>2015</v>
      </c>
    </row>
    <row r="216" spans="1:31" x14ac:dyDescent="0.25">
      <c r="A216" t="s">
        <v>334</v>
      </c>
      <c r="B216"/>
      <c r="C216"/>
      <c r="D216" s="1">
        <f t="shared" si="24"/>
        <v>198</v>
      </c>
      <c r="E216" s="5" t="s">
        <v>755</v>
      </c>
      <c r="F216" t="s">
        <v>756</v>
      </c>
      <c r="G216" s="7">
        <v>14.34</v>
      </c>
      <c r="H216" s="6">
        <f t="shared" si="25"/>
        <v>1258.48493904</v>
      </c>
      <c r="I216" s="6">
        <f>+[125]Main!$K$5-[125]Main!$K$6</f>
        <v>361.86599999999999</v>
      </c>
      <c r="J216" s="6">
        <f t="shared" si="26"/>
        <v>896.61893903999999</v>
      </c>
      <c r="K216" s="3" t="s">
        <v>1073</v>
      </c>
      <c r="L216" s="6">
        <f>+[125]Main!$K$3</f>
        <v>87.760456000000005</v>
      </c>
      <c r="M216" s="9">
        <v>45555</v>
      </c>
    </row>
    <row r="217" spans="1:31" x14ac:dyDescent="0.25">
      <c r="D217" s="1">
        <f t="shared" si="24"/>
        <v>199</v>
      </c>
      <c r="E217" s="5" t="s">
        <v>1194</v>
      </c>
      <c r="F217" s="41" t="s">
        <v>1195</v>
      </c>
      <c r="G217" s="7">
        <v>8.39</v>
      </c>
      <c r="H217" s="6">
        <f t="shared" si="25"/>
        <v>963.56021369000007</v>
      </c>
      <c r="I217" s="6">
        <f>+[126]Main!$L$5-[126]Main!$L$6</f>
        <v>122.197</v>
      </c>
      <c r="J217" s="6">
        <f>+H217-I217</f>
        <v>841.36321369000007</v>
      </c>
      <c r="K217" s="3" t="s">
        <v>1073</v>
      </c>
      <c r="L217" s="6">
        <f>+[126]Main!$L$3</f>
        <v>114.846271</v>
      </c>
      <c r="M217" s="9">
        <v>45567</v>
      </c>
    </row>
    <row r="218" spans="1:31" x14ac:dyDescent="0.25">
      <c r="A218" t="s">
        <v>334</v>
      </c>
      <c r="B218"/>
      <c r="C218"/>
      <c r="D218" s="1">
        <f t="shared" si="24"/>
        <v>200</v>
      </c>
      <c r="E218" s="5" t="s">
        <v>298</v>
      </c>
      <c r="F218" t="s">
        <v>299</v>
      </c>
      <c r="G218" s="3">
        <v>11</v>
      </c>
      <c r="H218" s="6">
        <f>+G218*[127]Main!$L$3</f>
        <v>798.23003700000004</v>
      </c>
      <c r="I218" s="6">
        <f>+[127]Main!$L$5-[127]Main!$L$6</f>
        <v>153.25991400000001</v>
      </c>
      <c r="J218" s="6">
        <f t="shared" si="26"/>
        <v>644.97012300000006</v>
      </c>
      <c r="K218" s="3" t="s">
        <v>16</v>
      </c>
      <c r="M218" s="9">
        <v>44771</v>
      </c>
      <c r="N218" s="9"/>
      <c r="O218" s="9"/>
      <c r="P218" s="9"/>
      <c r="Q218" s="9"/>
      <c r="R218" s="9"/>
    </row>
    <row r="219" spans="1:31" x14ac:dyDescent="0.25">
      <c r="A219" t="s">
        <v>334</v>
      </c>
      <c r="B219"/>
      <c r="C219"/>
      <c r="D219" s="1">
        <f t="shared" si="24"/>
        <v>201</v>
      </c>
      <c r="E219" s="5" t="s">
        <v>192</v>
      </c>
      <c r="F219" s="1" t="s">
        <v>193</v>
      </c>
      <c r="G219" s="3">
        <v>7.36</v>
      </c>
      <c r="H219" s="6">
        <f>+G219*L219</f>
        <v>897.18233664000002</v>
      </c>
      <c r="I219" s="6">
        <f>+[128]Main!$J$5-[128]Main!$J$6</f>
        <v>601.58999999999992</v>
      </c>
      <c r="J219" s="6">
        <f t="shared" si="26"/>
        <v>295.5923366400001</v>
      </c>
      <c r="K219" s="3" t="s">
        <v>16</v>
      </c>
      <c r="L219" s="6">
        <f>+[128]Main!$J$3</f>
        <v>121.89977399999999</v>
      </c>
      <c r="M219" s="9">
        <v>44827</v>
      </c>
    </row>
    <row r="220" spans="1:31" x14ac:dyDescent="0.25">
      <c r="A220"/>
      <c r="B220"/>
      <c r="C220"/>
      <c r="D220" s="1">
        <f t="shared" si="24"/>
        <v>202</v>
      </c>
      <c r="E220" s="5" t="s">
        <v>1198</v>
      </c>
      <c r="F220" t="s">
        <v>1199</v>
      </c>
      <c r="G220" s="3">
        <v>7.86</v>
      </c>
      <c r="H220" s="6">
        <f>+G220*L220</f>
        <v>491.65306866000003</v>
      </c>
      <c r="I220" s="6">
        <f>+[129]Main!$K$5-[129]Main!$K$6</f>
        <v>62.650000000000006</v>
      </c>
      <c r="J220" s="6">
        <f>+H220-I220</f>
        <v>429.00306866000005</v>
      </c>
      <c r="K220" s="3" t="s">
        <v>1073</v>
      </c>
      <c r="L220" s="6">
        <f>+[129]Main!$K$3</f>
        <v>62.551281000000003</v>
      </c>
      <c r="M220" s="9">
        <v>45569</v>
      </c>
      <c r="AE220" s="1">
        <v>2014</v>
      </c>
    </row>
    <row r="221" spans="1:31" x14ac:dyDescent="0.25">
      <c r="A221"/>
      <c r="B221"/>
      <c r="C221"/>
      <c r="D221" s="1">
        <f t="shared" si="24"/>
        <v>203</v>
      </c>
      <c r="E221" s="5" t="s">
        <v>1196</v>
      </c>
      <c r="F221" t="s">
        <v>1197</v>
      </c>
      <c r="G221" s="7">
        <v>1</v>
      </c>
      <c r="H221" s="6">
        <f>+G221*L221</f>
        <v>226.227259</v>
      </c>
      <c r="I221" s="6">
        <f>+[130]Main!$K$5-[130]Main!$K$6</f>
        <v>157.43700000000001</v>
      </c>
      <c r="J221" s="6">
        <f>+H221-I221</f>
        <v>68.790258999999992</v>
      </c>
      <c r="K221" s="3" t="s">
        <v>1073</v>
      </c>
      <c r="L221" s="6">
        <f>+[130]Main!$K$3</f>
        <v>226.227259</v>
      </c>
      <c r="M221" s="9">
        <v>45569</v>
      </c>
    </row>
    <row r="222" spans="1:31" customFormat="1" x14ac:dyDescent="0.25">
      <c r="A222" t="s">
        <v>334</v>
      </c>
      <c r="D222" s="1">
        <f t="shared" si="24"/>
        <v>204</v>
      </c>
      <c r="E222" s="5" t="s">
        <v>773</v>
      </c>
      <c r="F222" t="s">
        <v>774</v>
      </c>
      <c r="G222" s="54">
        <v>3.64</v>
      </c>
      <c r="H222" s="30">
        <f>+G222*L222</f>
        <v>174.63324424000001</v>
      </c>
      <c r="I222" s="30">
        <f>+[131]Main!$J$5-[131]Main!$J$6</f>
        <v>149</v>
      </c>
      <c r="J222" s="30">
        <f>+H222-I222</f>
        <v>25.63324424000001</v>
      </c>
      <c r="K222" s="28" t="s">
        <v>1279</v>
      </c>
      <c r="L222" s="30">
        <f>+[131]Main!$J$3</f>
        <v>47.976165999999999</v>
      </c>
      <c r="M222" s="37">
        <v>45628</v>
      </c>
      <c r="N222" s="28"/>
      <c r="O222" s="28"/>
      <c r="P222" s="28"/>
      <c r="Q222" s="28"/>
      <c r="R222" s="2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1" s="25" customFormat="1" ht="13" x14ac:dyDescent="0.3">
      <c r="A223" s="25" t="s">
        <v>334</v>
      </c>
      <c r="D223" s="1">
        <f t="shared" si="24"/>
        <v>205</v>
      </c>
      <c r="E223" s="25" t="s">
        <v>302</v>
      </c>
      <c r="F223" s="25" t="s">
        <v>303</v>
      </c>
      <c r="G223" s="26">
        <v>12.42</v>
      </c>
      <c r="H223" s="27">
        <v>516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</row>
    <row r="224" spans="1:31" x14ac:dyDescent="0.25">
      <c r="A224" t="s">
        <v>334</v>
      </c>
      <c r="B224"/>
      <c r="C224"/>
      <c r="D224" s="1">
        <f t="shared" si="24"/>
        <v>206</v>
      </c>
      <c r="E224" t="s">
        <v>309</v>
      </c>
      <c r="F224" t="s">
        <v>310</v>
      </c>
      <c r="G224" s="3">
        <v>3.26</v>
      </c>
      <c r="H224" s="6">
        <v>272</v>
      </c>
    </row>
    <row r="225" spans="1:31" x14ac:dyDescent="0.25">
      <c r="A225" t="s">
        <v>334</v>
      </c>
      <c r="B225"/>
      <c r="C225"/>
      <c r="D225" s="1">
        <f t="shared" si="24"/>
        <v>207</v>
      </c>
      <c r="E225" s="1" t="s">
        <v>218</v>
      </c>
      <c r="F225" s="1" t="s">
        <v>219</v>
      </c>
      <c r="G225" s="3">
        <v>6.34</v>
      </c>
      <c r="H225" s="3">
        <v>547</v>
      </c>
    </row>
    <row r="226" spans="1:31" x14ac:dyDescent="0.25">
      <c r="A226" t="s">
        <v>334</v>
      </c>
      <c r="B226"/>
      <c r="C226"/>
      <c r="D226" s="1">
        <f t="shared" si="24"/>
        <v>208</v>
      </c>
      <c r="E226" s="5" t="s">
        <v>1168</v>
      </c>
      <c r="F226" t="s">
        <v>1169</v>
      </c>
      <c r="G226" s="3">
        <v>9.34</v>
      </c>
      <c r="H226" s="6">
        <f>+G226*L226</f>
        <v>289.28000241999996</v>
      </c>
      <c r="I226" s="6">
        <f>+[132]Main!$J$5-[132]Main!$J$6</f>
        <v>220.43200000000002</v>
      </c>
      <c r="J226" s="6">
        <f>+H226-I226</f>
        <v>68.848002419999943</v>
      </c>
      <c r="K226" s="3" t="s">
        <v>1073</v>
      </c>
      <c r="L226" s="6">
        <f>+[132]Main!$J$3</f>
        <v>30.972162999999998</v>
      </c>
      <c r="M226" s="9">
        <v>45548</v>
      </c>
      <c r="AE226" s="1">
        <v>2018</v>
      </c>
    </row>
    <row r="227" spans="1:31" x14ac:dyDescent="0.25">
      <c r="A227" t="s">
        <v>334</v>
      </c>
      <c r="B227"/>
      <c r="C227"/>
      <c r="D227" s="1">
        <f t="shared" si="24"/>
        <v>209</v>
      </c>
      <c r="E227" s="1" t="s">
        <v>220</v>
      </c>
      <c r="F227" s="1" t="s">
        <v>221</v>
      </c>
      <c r="G227" s="7">
        <v>31.39</v>
      </c>
      <c r="H227" s="3">
        <v>1020</v>
      </c>
    </row>
    <row r="228" spans="1:31" x14ac:dyDescent="0.25">
      <c r="A228" t="s">
        <v>334</v>
      </c>
      <c r="B228"/>
      <c r="C228"/>
      <c r="D228" s="1">
        <f t="shared" si="24"/>
        <v>210</v>
      </c>
      <c r="E228" t="s">
        <v>761</v>
      </c>
      <c r="F228" t="s">
        <v>762</v>
      </c>
      <c r="G228" s="7"/>
    </row>
    <row r="229" spans="1:31" x14ac:dyDescent="0.25">
      <c r="A229" t="s">
        <v>334</v>
      </c>
      <c r="B229"/>
      <c r="C229"/>
      <c r="D229" s="1">
        <f t="shared" si="24"/>
        <v>211</v>
      </c>
      <c r="E229" t="s">
        <v>759</v>
      </c>
      <c r="F229" t="s">
        <v>760</v>
      </c>
      <c r="G229" s="7"/>
    </row>
    <row r="230" spans="1:31" x14ac:dyDescent="0.25">
      <c r="A230"/>
      <c r="B230"/>
      <c r="C230"/>
      <c r="D230" s="1">
        <f t="shared" si="24"/>
        <v>212</v>
      </c>
      <c r="E230" s="5" t="s">
        <v>1183</v>
      </c>
      <c r="F230" t="s">
        <v>1184</v>
      </c>
      <c r="G230" s="7">
        <v>1.08</v>
      </c>
      <c r="H230" s="6">
        <f>+G230*L230</f>
        <v>76.012537320000007</v>
      </c>
      <c r="I230" s="6">
        <f>+[133]Main!$L$5-[133]Main!$L$6</f>
        <v>10.994</v>
      </c>
      <c r="J230" s="6">
        <f>+H230-I230</f>
        <v>65.018537320000007</v>
      </c>
      <c r="K230" s="3" t="s">
        <v>1073</v>
      </c>
      <c r="L230" s="6">
        <f>+[133]Main!$L$3</f>
        <v>70.381979000000001</v>
      </c>
      <c r="M230" s="9">
        <v>45562</v>
      </c>
    </row>
    <row r="231" spans="1:31" x14ac:dyDescent="0.25">
      <c r="A231" t="s">
        <v>334</v>
      </c>
      <c r="B231"/>
      <c r="C231"/>
      <c r="D231" s="1">
        <f t="shared" si="24"/>
        <v>213</v>
      </c>
      <c r="E231" t="s">
        <v>757</v>
      </c>
      <c r="F231" t="s">
        <v>758</v>
      </c>
      <c r="G231" s="7"/>
    </row>
    <row r="232" spans="1:31" x14ac:dyDescent="0.25">
      <c r="A232"/>
      <c r="B232"/>
      <c r="C232"/>
      <c r="D232" s="1">
        <f t="shared" si="24"/>
        <v>214</v>
      </c>
      <c r="E232" t="s">
        <v>1174</v>
      </c>
      <c r="F232" t="s">
        <v>1175</v>
      </c>
      <c r="G232" s="7">
        <v>5.43</v>
      </c>
    </row>
    <row r="233" spans="1:31" x14ac:dyDescent="0.25">
      <c r="A233" t="s">
        <v>334</v>
      </c>
      <c r="B233"/>
      <c r="C233"/>
      <c r="D233" s="1">
        <f t="shared" si="24"/>
        <v>215</v>
      </c>
      <c r="E233" t="s">
        <v>753</v>
      </c>
      <c r="F233" t="s">
        <v>754</v>
      </c>
      <c r="G233" s="7">
        <v>5.55</v>
      </c>
      <c r="H233" s="3">
        <v>270</v>
      </c>
    </row>
    <row r="234" spans="1:31" x14ac:dyDescent="0.25">
      <c r="A234"/>
      <c r="B234"/>
      <c r="C234"/>
      <c r="D234" s="1">
        <f t="shared" si="24"/>
        <v>216</v>
      </c>
      <c r="E234" t="s">
        <v>1301</v>
      </c>
      <c r="F234" t="s">
        <v>1302</v>
      </c>
      <c r="G234" s="7">
        <v>2.0499999999999998</v>
      </c>
      <c r="H234" s="3">
        <v>164</v>
      </c>
    </row>
    <row r="235" spans="1:31" x14ac:dyDescent="0.25">
      <c r="A235" t="s">
        <v>334</v>
      </c>
      <c r="B235"/>
      <c r="C235"/>
      <c r="D235" s="1">
        <f t="shared" si="24"/>
        <v>217</v>
      </c>
      <c r="E235" s="1" t="s">
        <v>222</v>
      </c>
      <c r="F235" s="1" t="s">
        <v>223</v>
      </c>
      <c r="G235" s="7">
        <v>5.9</v>
      </c>
      <c r="H235" s="6">
        <v>508</v>
      </c>
    </row>
    <row r="236" spans="1:31" x14ac:dyDescent="0.25">
      <c r="A236" t="s">
        <v>334</v>
      </c>
      <c r="B236"/>
      <c r="C236"/>
      <c r="D236" s="1">
        <f t="shared" si="24"/>
        <v>218</v>
      </c>
      <c r="E236" s="1" t="s">
        <v>226</v>
      </c>
      <c r="F236" s="1" t="s">
        <v>227</v>
      </c>
      <c r="G236" s="3">
        <v>10.31</v>
      </c>
      <c r="H236" s="6">
        <v>1240</v>
      </c>
    </row>
    <row r="237" spans="1:31" x14ac:dyDescent="0.25">
      <c r="A237" t="s">
        <v>334</v>
      </c>
      <c r="B237"/>
      <c r="C237"/>
      <c r="D237" s="1">
        <f t="shared" si="24"/>
        <v>219</v>
      </c>
      <c r="E237" t="s">
        <v>785</v>
      </c>
      <c r="F237" t="s">
        <v>786</v>
      </c>
      <c r="H237" s="6"/>
    </row>
    <row r="238" spans="1:31" x14ac:dyDescent="0.25">
      <c r="A238" t="s">
        <v>334</v>
      </c>
      <c r="B238"/>
      <c r="C238"/>
      <c r="D238" s="1">
        <f t="shared" si="24"/>
        <v>220</v>
      </c>
      <c r="E238" t="s">
        <v>714</v>
      </c>
      <c r="F238" t="s">
        <v>715</v>
      </c>
      <c r="H238" s="6"/>
    </row>
    <row r="239" spans="1:31" x14ac:dyDescent="0.25">
      <c r="A239" t="s">
        <v>334</v>
      </c>
      <c r="B239"/>
      <c r="C239"/>
      <c r="D239" s="1">
        <f t="shared" si="24"/>
        <v>221</v>
      </c>
      <c r="E239" t="s">
        <v>710</v>
      </c>
      <c r="F239" t="s">
        <v>711</v>
      </c>
    </row>
    <row r="240" spans="1:31" x14ac:dyDescent="0.25">
      <c r="A240" t="s">
        <v>334</v>
      </c>
      <c r="B240"/>
      <c r="C240"/>
      <c r="D240" s="1">
        <f t="shared" si="24"/>
        <v>222</v>
      </c>
      <c r="E240" s="1" t="s">
        <v>228</v>
      </c>
      <c r="F240" s="1" t="s">
        <v>229</v>
      </c>
      <c r="G240" s="7">
        <v>1.3</v>
      </c>
      <c r="H240" s="3">
        <v>107</v>
      </c>
    </row>
    <row r="241" spans="1:31" x14ac:dyDescent="0.25">
      <c r="A241" t="s">
        <v>334</v>
      </c>
      <c r="B241"/>
      <c r="C241"/>
      <c r="D241" s="1">
        <f t="shared" si="24"/>
        <v>223</v>
      </c>
      <c r="E241" s="1" t="s">
        <v>230</v>
      </c>
      <c r="F241" s="1" t="s">
        <v>231</v>
      </c>
      <c r="G241" s="3">
        <v>3.35</v>
      </c>
      <c r="H241" s="3">
        <v>457</v>
      </c>
    </row>
    <row r="242" spans="1:31" x14ac:dyDescent="0.25">
      <c r="A242"/>
      <c r="B242"/>
      <c r="C242"/>
      <c r="D242" s="1">
        <f t="shared" si="24"/>
        <v>224</v>
      </c>
      <c r="E242" s="5" t="s">
        <v>1826</v>
      </c>
      <c r="F242" t="s">
        <v>1827</v>
      </c>
      <c r="G242" s="7">
        <v>40.130000000000003</v>
      </c>
      <c r="H242" s="6">
        <f>+G242*L242</f>
        <v>2387.8627739200001</v>
      </c>
      <c r="I242" s="6">
        <f>+[134]Main!$L$5-[134]Main!$L$6</f>
        <v>731.06899999999996</v>
      </c>
      <c r="J242" s="6">
        <f>+H242-I242</f>
        <v>1656.7937739200001</v>
      </c>
      <c r="K242" s="3" t="s">
        <v>1280</v>
      </c>
      <c r="L242" s="6">
        <f>+[134]Main!$L$3</f>
        <v>59.503183999999997</v>
      </c>
      <c r="M242" s="9">
        <v>45733</v>
      </c>
    </row>
    <row r="243" spans="1:31" x14ac:dyDescent="0.25">
      <c r="A243" t="s">
        <v>334</v>
      </c>
      <c r="B243"/>
      <c r="C243"/>
      <c r="D243" s="1">
        <f t="shared" si="24"/>
        <v>225</v>
      </c>
      <c r="E243" s="5" t="s">
        <v>871</v>
      </c>
      <c r="F243" t="s">
        <v>872</v>
      </c>
      <c r="G243" s="7">
        <v>5.7</v>
      </c>
      <c r="H243" s="6">
        <f>+G243*L243</f>
        <v>877.45876950000002</v>
      </c>
      <c r="I243" s="6">
        <f>+[135]Main!$L$5-[135]Main!$L$6</f>
        <v>-160.48700000000002</v>
      </c>
      <c r="J243" s="6">
        <f>+H243-I243</f>
        <v>1037.9457695000001</v>
      </c>
      <c r="K243" s="3" t="s">
        <v>1280</v>
      </c>
      <c r="L243" s="6">
        <f>+[135]Main!$L$3</f>
        <v>153.940135</v>
      </c>
      <c r="M243" s="9">
        <v>45743</v>
      </c>
    </row>
    <row r="244" spans="1:31" x14ac:dyDescent="0.25">
      <c r="D244" s="1">
        <f t="shared" si="24"/>
        <v>226</v>
      </c>
      <c r="E244" s="5" t="s">
        <v>423</v>
      </c>
      <c r="F244" t="s">
        <v>424</v>
      </c>
      <c r="G244" s="3">
        <v>19.47</v>
      </c>
      <c r="H244" s="6">
        <f>+G244*L244</f>
        <v>1542.2721840899999</v>
      </c>
      <c r="I244" s="6">
        <f>+[136]Main!$N$5-[136]Main!$N$6</f>
        <v>732.71699999999998</v>
      </c>
      <c r="J244" s="6">
        <f>+H244-I244</f>
        <v>809.5551840899999</v>
      </c>
      <c r="K244" s="3" t="s">
        <v>1279</v>
      </c>
      <c r="L244" s="6">
        <f>+[136]Main!$N$3</f>
        <v>79.212746999999993</v>
      </c>
      <c r="M244" s="9">
        <v>45636</v>
      </c>
    </row>
    <row r="245" spans="1:31" x14ac:dyDescent="0.25">
      <c r="A245" t="s">
        <v>334</v>
      </c>
      <c r="B245"/>
      <c r="C245"/>
      <c r="D245" s="1">
        <f t="shared" si="24"/>
        <v>227</v>
      </c>
      <c r="E245" s="5" t="s">
        <v>232</v>
      </c>
      <c r="F245" s="1" t="s">
        <v>233</v>
      </c>
      <c r="G245" s="3">
        <v>7.06</v>
      </c>
      <c r="H245" s="6">
        <f>G245*[137]Main!$J$3</f>
        <v>725.62786605999997</v>
      </c>
      <c r="I245" s="6">
        <f>[137]Main!$J$5-[137]Main!$J$6</f>
        <v>197.79600000000002</v>
      </c>
      <c r="J245" s="8">
        <f>+H245-I245</f>
        <v>527.83186605999992</v>
      </c>
      <c r="K245" s="3" t="s">
        <v>16</v>
      </c>
    </row>
    <row r="246" spans="1:31" x14ac:dyDescent="0.25">
      <c r="A246" t="s">
        <v>334</v>
      </c>
      <c r="B246"/>
      <c r="C246"/>
      <c r="D246" s="1">
        <f t="shared" si="24"/>
        <v>228</v>
      </c>
      <c r="E246" s="5" t="s">
        <v>351</v>
      </c>
      <c r="F246" s="1" t="s">
        <v>352</v>
      </c>
      <c r="G246" s="7">
        <v>0.6</v>
      </c>
      <c r="H246" s="6">
        <f>+G246*L246</f>
        <v>486.43225439999998</v>
      </c>
      <c r="I246" s="6">
        <f>+[138]Main!$K$5-[138]Main!$K$6</f>
        <v>-37.984000000000002</v>
      </c>
      <c r="J246" s="8">
        <f t="shared" ref="J246" si="27">+H246-I246</f>
        <v>524.41625439999996</v>
      </c>
      <c r="K246" s="3" t="s">
        <v>301</v>
      </c>
      <c r="L246" s="6">
        <f>+[138]Main!$K$3</f>
        <v>810.72042399999998</v>
      </c>
      <c r="M246" s="9">
        <v>44816</v>
      </c>
      <c r="AE246" s="1">
        <v>2002</v>
      </c>
    </row>
    <row r="247" spans="1:31" x14ac:dyDescent="0.25">
      <c r="A247" t="s">
        <v>334</v>
      </c>
      <c r="B247"/>
      <c r="C247"/>
      <c r="D247" s="1">
        <f t="shared" si="24"/>
        <v>229</v>
      </c>
      <c r="E247" s="5" t="s">
        <v>238</v>
      </c>
      <c r="F247" s="1" t="s">
        <v>239</v>
      </c>
      <c r="G247" s="7">
        <v>6.29</v>
      </c>
      <c r="H247" s="6">
        <f>+G247*L247</f>
        <v>491.58489229000003</v>
      </c>
      <c r="I247" s="6">
        <f>+[139]Main!$J$5-[139]Main!$J$6</f>
        <v>49.931000000000012</v>
      </c>
      <c r="J247" s="8">
        <f>+H247-I247</f>
        <v>441.65389229000004</v>
      </c>
      <c r="K247" s="3" t="s">
        <v>1279</v>
      </c>
      <c r="L247" s="6">
        <f>[139]Main!$J$3</f>
        <v>78.153401000000002</v>
      </c>
      <c r="M247" s="9">
        <v>45659</v>
      </c>
    </row>
    <row r="248" spans="1:31" x14ac:dyDescent="0.25">
      <c r="D248" s="1">
        <f t="shared" si="24"/>
        <v>230</v>
      </c>
      <c r="E248" s="5" t="s">
        <v>561</v>
      </c>
      <c r="F248" t="s">
        <v>562</v>
      </c>
      <c r="G248" s="3">
        <v>12.34</v>
      </c>
      <c r="H248" s="6">
        <f>+G248*L248</f>
        <v>520.74076875999992</v>
      </c>
      <c r="I248" s="6">
        <f>+[140]Main!$J$5-[140]Main!$J$6</f>
        <v>127.87499999999999</v>
      </c>
      <c r="J248" s="6">
        <f>+H248-I248</f>
        <v>392.86576875999992</v>
      </c>
      <c r="K248" s="3" t="s">
        <v>1279</v>
      </c>
      <c r="L248" s="6">
        <f>+[140]Main!$J$3</f>
        <v>42.199413999999997</v>
      </c>
      <c r="M248" s="9">
        <v>45631</v>
      </c>
    </row>
    <row r="249" spans="1:31" x14ac:dyDescent="0.25">
      <c r="A249" t="s">
        <v>334</v>
      </c>
      <c r="B249"/>
      <c r="C249"/>
      <c r="D249" s="1">
        <f t="shared" si="24"/>
        <v>231</v>
      </c>
      <c r="E249" s="5" t="s">
        <v>234</v>
      </c>
      <c r="F249" s="1" t="s">
        <v>235</v>
      </c>
      <c r="G249" s="3">
        <v>14.68</v>
      </c>
      <c r="H249" s="6">
        <f>G249*[141]Main!$L$3</f>
        <v>587.26396075999992</v>
      </c>
      <c r="I249" s="6">
        <f>[141]Main!$L$5-[141]Main!$L$6</f>
        <v>277.88299999999998</v>
      </c>
      <c r="J249" s="8">
        <f>+H249-I249</f>
        <v>309.38096075999994</v>
      </c>
      <c r="K249" s="3" t="s">
        <v>16</v>
      </c>
    </row>
    <row r="250" spans="1:31" x14ac:dyDescent="0.25">
      <c r="A250" t="s">
        <v>334</v>
      </c>
      <c r="B250"/>
      <c r="C250"/>
      <c r="D250" s="1">
        <f t="shared" si="24"/>
        <v>232</v>
      </c>
      <c r="E250" s="5" t="s">
        <v>236</v>
      </c>
      <c r="F250" s="1" t="s">
        <v>237</v>
      </c>
      <c r="G250" s="3">
        <v>4.8600000000000003</v>
      </c>
      <c r="H250" s="6">
        <f>G250*[142]Main!$J$3</f>
        <v>312.71415336000001</v>
      </c>
      <c r="I250" s="8">
        <f>+[142]Main!$J$5-[142]Main!$J$6</f>
        <v>92.317999999999998</v>
      </c>
      <c r="J250" s="8">
        <f>+H250-I250</f>
        <v>220.39615336000003</v>
      </c>
      <c r="K250" s="3" t="s">
        <v>16</v>
      </c>
    </row>
    <row r="251" spans="1:31" x14ac:dyDescent="0.25">
      <c r="D251" s="1">
        <f>+D247+1</f>
        <v>230</v>
      </c>
      <c r="E251" s="5" t="s">
        <v>240</v>
      </c>
      <c r="F251" s="1" t="s">
        <v>241</v>
      </c>
      <c r="G251" s="7">
        <v>0.7</v>
      </c>
      <c r="H251" s="6">
        <f>G251*[143]Main!$M$3</f>
        <v>128.9392503</v>
      </c>
      <c r="I251" s="6">
        <f>[143]Main!$M$5-[143]Main!$M$6</f>
        <v>-59.50200000000001</v>
      </c>
      <c r="J251" s="8">
        <f t="shared" ref="J251:J258" si="28">+H251-I251</f>
        <v>188.44125030000001</v>
      </c>
      <c r="K251" s="3" t="s">
        <v>16</v>
      </c>
    </row>
    <row r="252" spans="1:31" x14ac:dyDescent="0.25">
      <c r="D252" s="1">
        <f t="shared" si="24"/>
        <v>231</v>
      </c>
      <c r="E252" s="5" t="s">
        <v>994</v>
      </c>
      <c r="F252" t="s">
        <v>995</v>
      </c>
      <c r="G252" s="3">
        <v>1.91</v>
      </c>
      <c r="H252" s="6">
        <f>+G252*L252</f>
        <v>144.77073818</v>
      </c>
      <c r="I252" s="6">
        <f>+[144]Main!$K$5-[144]Main!$K$6</f>
        <v>78.481999999999999</v>
      </c>
      <c r="J252" s="6">
        <f>+H252-I252</f>
        <v>66.288738179999996</v>
      </c>
      <c r="K252" s="3" t="s">
        <v>1073</v>
      </c>
      <c r="L252" s="6">
        <f>+[144]Main!$K$3</f>
        <v>75.796198000000004</v>
      </c>
      <c r="M252" s="9">
        <v>45573</v>
      </c>
    </row>
    <row r="253" spans="1:31" x14ac:dyDescent="0.25">
      <c r="A253" t="s">
        <v>334</v>
      </c>
      <c r="B253"/>
      <c r="C253"/>
      <c r="D253" s="1">
        <f t="shared" si="24"/>
        <v>232</v>
      </c>
      <c r="E253" s="5" t="s">
        <v>321</v>
      </c>
      <c r="F253" t="s">
        <v>322</v>
      </c>
      <c r="G253" s="3">
        <v>3.23</v>
      </c>
      <c r="H253" s="6">
        <f>+G253*L253</f>
        <v>30.407559149999997</v>
      </c>
      <c r="I253" s="6">
        <f>+[145]Main!$N$5-[145]Main!$N$6</f>
        <v>-7.4640000000000004</v>
      </c>
      <c r="J253" s="6">
        <f>+H253-I253</f>
        <v>37.871559149999996</v>
      </c>
      <c r="K253" s="3" t="s">
        <v>301</v>
      </c>
      <c r="L253" s="6">
        <f>+[145]Main!$N$3</f>
        <v>9.4141049999999993</v>
      </c>
      <c r="M253" s="9">
        <v>44780</v>
      </c>
    </row>
    <row r="254" spans="1:31" x14ac:dyDescent="0.25">
      <c r="A254" t="s">
        <v>334</v>
      </c>
      <c r="B254"/>
      <c r="C254"/>
      <c r="D254" s="1">
        <f t="shared" si="24"/>
        <v>233</v>
      </c>
      <c r="E254" s="5" t="s">
        <v>242</v>
      </c>
      <c r="F254" s="1" t="s">
        <v>243</v>
      </c>
      <c r="G254" s="3">
        <v>1.98</v>
      </c>
      <c r="H254" s="6">
        <f>G254*[146]Main!$N$3</f>
        <v>39.757463459999997</v>
      </c>
      <c r="I254" s="6">
        <f>[146]Main!$N$5-[146]Main!$N$6</f>
        <v>15.942</v>
      </c>
      <c r="J254" s="8">
        <f t="shared" si="28"/>
        <v>23.815463459999997</v>
      </c>
      <c r="K254" s="3" t="s">
        <v>16</v>
      </c>
    </row>
    <row r="255" spans="1:31" x14ac:dyDescent="0.25">
      <c r="D255" s="1">
        <f t="shared" si="24"/>
        <v>234</v>
      </c>
      <c r="E255" s="5" t="s">
        <v>244</v>
      </c>
      <c r="F255" s="1" t="s">
        <v>245</v>
      </c>
      <c r="G255" s="3">
        <v>0.62</v>
      </c>
      <c r="H255" s="6">
        <f>G255*[147]Main!$L$3</f>
        <v>30.1881658</v>
      </c>
      <c r="I255" s="6">
        <f>[147]Main!$L$5-[147]Main!$L$6</f>
        <v>13.262999999999998</v>
      </c>
      <c r="J255" s="8">
        <f t="shared" si="28"/>
        <v>16.925165800000002</v>
      </c>
      <c r="K255" s="3" t="s">
        <v>16</v>
      </c>
    </row>
    <row r="256" spans="1:31" x14ac:dyDescent="0.25">
      <c r="D256" s="1">
        <f t="shared" si="24"/>
        <v>235</v>
      </c>
      <c r="E256" s="5" t="s">
        <v>246</v>
      </c>
      <c r="F256" s="1" t="s">
        <v>247</v>
      </c>
      <c r="G256" s="3">
        <v>6.12</v>
      </c>
      <c r="H256" s="6">
        <f>G256*[148]Main!$M$3</f>
        <v>125.46108324000001</v>
      </c>
      <c r="I256" s="6">
        <f>[148]Main!$M$5-[148]Main!$M$6</f>
        <v>131.17699999999999</v>
      </c>
      <c r="J256" s="8">
        <f t="shared" si="28"/>
        <v>-5.7159167599999847</v>
      </c>
      <c r="K256" s="3" t="s">
        <v>16</v>
      </c>
    </row>
    <row r="257" spans="4:31" x14ac:dyDescent="0.25">
      <c r="D257" s="1">
        <f t="shared" si="24"/>
        <v>236</v>
      </c>
      <c r="E257" s="5" t="s">
        <v>248</v>
      </c>
      <c r="F257" s="1" t="s">
        <v>249</v>
      </c>
      <c r="G257" s="3">
        <v>0.98</v>
      </c>
      <c r="H257" s="6">
        <f>G257*[149]Main!$M$3</f>
        <v>20.935517539999999</v>
      </c>
      <c r="I257" s="6">
        <f>[149]Main!$M$5-[149]Main!$M$6</f>
        <v>55.28</v>
      </c>
      <c r="J257" s="8">
        <f t="shared" si="28"/>
        <v>-34.344482460000002</v>
      </c>
      <c r="K257" s="3" t="s">
        <v>16</v>
      </c>
    </row>
    <row r="258" spans="4:31" x14ac:dyDescent="0.25">
      <c r="D258" s="1">
        <f t="shared" si="24"/>
        <v>237</v>
      </c>
      <c r="E258" s="5" t="s">
        <v>1308</v>
      </c>
      <c r="F258" t="s">
        <v>1189</v>
      </c>
      <c r="G258" s="7">
        <v>5</v>
      </c>
      <c r="H258" s="6">
        <f>+G258*L258</f>
        <v>639.20965000000001</v>
      </c>
      <c r="I258" s="6">
        <f>+[150]Main!$J$5-[150]Main!$J$6</f>
        <v>115.78</v>
      </c>
      <c r="J258" s="8">
        <f t="shared" si="28"/>
        <v>523.42965000000004</v>
      </c>
      <c r="K258" s="3" t="s">
        <v>1073</v>
      </c>
      <c r="L258" s="6">
        <f>+[150]Main!$J$3</f>
        <v>127.84193</v>
      </c>
    </row>
    <row r="259" spans="4:31" x14ac:dyDescent="0.25">
      <c r="D259" s="1">
        <f t="shared" si="24"/>
        <v>238</v>
      </c>
      <c r="E259" s="5" t="s">
        <v>545</v>
      </c>
      <c r="F259" t="s">
        <v>546</v>
      </c>
      <c r="G259" s="3">
        <v>0.94</v>
      </c>
      <c r="H259" s="6">
        <f>+G259*L259</f>
        <v>56.676359999999995</v>
      </c>
      <c r="I259" s="6">
        <f>+[151]Main!$K$5-[151]Main!$K$6</f>
        <v>136.64599999999999</v>
      </c>
      <c r="J259" s="6">
        <f>+H259-I259</f>
        <v>-79.969639999999998</v>
      </c>
      <c r="K259" s="3" t="s">
        <v>1073</v>
      </c>
      <c r="L259" s="6">
        <f>+[151]Main!$K$3</f>
        <v>60.293999999999997</v>
      </c>
      <c r="M259" s="9">
        <v>45550</v>
      </c>
      <c r="AE259" s="1">
        <v>2017</v>
      </c>
    </row>
    <row r="260" spans="4:31" x14ac:dyDescent="0.25">
      <c r="D260" s="1">
        <f t="shared" si="24"/>
        <v>239</v>
      </c>
      <c r="E260" s="1" t="s">
        <v>250</v>
      </c>
      <c r="F260" s="1" t="s">
        <v>251</v>
      </c>
      <c r="G260" s="3">
        <v>0.61</v>
      </c>
    </row>
    <row r="261" spans="4:31" x14ac:dyDescent="0.25">
      <c r="D261" s="1">
        <f t="shared" si="24"/>
        <v>240</v>
      </c>
      <c r="E261" s="1" t="s">
        <v>252</v>
      </c>
      <c r="F261" s="1" t="s">
        <v>253</v>
      </c>
      <c r="G261" s="3">
        <v>1.75</v>
      </c>
      <c r="H261" s="3">
        <v>96</v>
      </c>
    </row>
    <row r="262" spans="4:31" x14ac:dyDescent="0.25">
      <c r="D262" s="1">
        <f t="shared" si="24"/>
        <v>241</v>
      </c>
      <c r="E262" s="1" t="s">
        <v>348</v>
      </c>
      <c r="F262" t="s">
        <v>349</v>
      </c>
      <c r="G262" s="7">
        <v>0.96</v>
      </c>
      <c r="H262" s="3">
        <v>52</v>
      </c>
    </row>
    <row r="263" spans="4:31" x14ac:dyDescent="0.25">
      <c r="D263" s="1">
        <f t="shared" si="24"/>
        <v>242</v>
      </c>
      <c r="E263" s="1" t="s">
        <v>332</v>
      </c>
      <c r="F263" t="s">
        <v>333</v>
      </c>
      <c r="G263" s="7">
        <v>4.0999999999999996</v>
      </c>
      <c r="H263" s="3">
        <v>380</v>
      </c>
    </row>
    <row r="264" spans="4:31" x14ac:dyDescent="0.25">
      <c r="D264" s="1">
        <f t="shared" si="24"/>
        <v>243</v>
      </c>
      <c r="E264" t="s">
        <v>1309</v>
      </c>
      <c r="F264" t="s">
        <v>1310</v>
      </c>
      <c r="G264" s="7">
        <v>14.68</v>
      </c>
      <c r="H264" s="3">
        <v>396</v>
      </c>
    </row>
    <row r="265" spans="4:31" x14ac:dyDescent="0.25">
      <c r="D265" s="1">
        <f t="shared" si="24"/>
        <v>244</v>
      </c>
      <c r="E265" s="1" t="s">
        <v>379</v>
      </c>
      <c r="F265" s="1" t="s">
        <v>380</v>
      </c>
      <c r="G265" s="3">
        <v>25.85</v>
      </c>
    </row>
    <row r="266" spans="4:31" x14ac:dyDescent="0.25">
      <c r="D266" s="1">
        <f t="shared" si="24"/>
        <v>245</v>
      </c>
      <c r="E266" t="s">
        <v>385</v>
      </c>
      <c r="F266" t="s">
        <v>386</v>
      </c>
      <c r="G266" s="3">
        <v>9.26</v>
      </c>
      <c r="H266" s="3">
        <v>204</v>
      </c>
    </row>
    <row r="267" spans="4:31" ht="13" x14ac:dyDescent="0.3">
      <c r="D267" s="1">
        <f t="shared" si="24"/>
        <v>246</v>
      </c>
      <c r="E267" s="25" t="s">
        <v>1354</v>
      </c>
      <c r="F267" t="s">
        <v>1355</v>
      </c>
      <c r="G267" s="3">
        <v>30.21</v>
      </c>
    </row>
    <row r="268" spans="4:31" x14ac:dyDescent="0.25">
      <c r="D268" s="1">
        <f t="shared" si="24"/>
        <v>247</v>
      </c>
      <c r="E268" t="s">
        <v>429</v>
      </c>
      <c r="F268" t="s">
        <v>430</v>
      </c>
      <c r="G268" s="7">
        <v>17.55</v>
      </c>
      <c r="H268" s="3">
        <v>593</v>
      </c>
    </row>
    <row r="269" spans="4:31" x14ac:dyDescent="0.25">
      <c r="D269" s="1">
        <f t="shared" si="24"/>
        <v>248</v>
      </c>
      <c r="E269" s="1" t="s">
        <v>395</v>
      </c>
      <c r="F269" s="1" t="s">
        <v>396</v>
      </c>
      <c r="G269" s="3">
        <v>4.09</v>
      </c>
      <c r="H269" s="3">
        <v>4</v>
      </c>
    </row>
    <row r="270" spans="4:31" x14ac:dyDescent="0.25">
      <c r="D270" s="1">
        <f t="shared" si="24"/>
        <v>249</v>
      </c>
      <c r="E270" t="s">
        <v>741</v>
      </c>
      <c r="F270" t="s">
        <v>742</v>
      </c>
      <c r="G270" s="7">
        <v>30.7</v>
      </c>
      <c r="H270" s="3">
        <v>1800</v>
      </c>
    </row>
    <row r="271" spans="4:31" x14ac:dyDescent="0.25">
      <c r="D271" s="1">
        <f t="shared" si="24"/>
        <v>250</v>
      </c>
      <c r="E271" t="s">
        <v>745</v>
      </c>
      <c r="F271" t="s">
        <v>746</v>
      </c>
    </row>
    <row r="272" spans="4:31" x14ac:dyDescent="0.25">
      <c r="D272" s="1">
        <f t="shared" ref="D272:D332" si="29">+D271+1</f>
        <v>251</v>
      </c>
      <c r="E272" t="s">
        <v>748</v>
      </c>
      <c r="F272" t="s">
        <v>749</v>
      </c>
    </row>
    <row r="273" spans="1:8" x14ac:dyDescent="0.25">
      <c r="A273"/>
      <c r="B273"/>
      <c r="C273"/>
      <c r="D273" s="1">
        <f t="shared" si="29"/>
        <v>252</v>
      </c>
      <c r="E273" t="s">
        <v>750</v>
      </c>
      <c r="F273" t="s">
        <v>751</v>
      </c>
      <c r="G273" s="3">
        <v>6.62</v>
      </c>
      <c r="H273" s="6">
        <v>1800</v>
      </c>
    </row>
    <row r="274" spans="1:8" x14ac:dyDescent="0.25">
      <c r="D274" s="1">
        <f t="shared" si="29"/>
        <v>253</v>
      </c>
      <c r="E274" t="s">
        <v>743</v>
      </c>
      <c r="F274" t="s">
        <v>744</v>
      </c>
    </row>
    <row r="275" spans="1:8" x14ac:dyDescent="0.25">
      <c r="D275" s="1">
        <f>+D244+1</f>
        <v>227</v>
      </c>
      <c r="E275" t="s">
        <v>504</v>
      </c>
      <c r="F275" t="s">
        <v>505</v>
      </c>
    </row>
    <row r="276" spans="1:8" x14ac:dyDescent="0.25">
      <c r="D276" s="1">
        <f t="shared" si="29"/>
        <v>228</v>
      </c>
      <c r="E276" t="s">
        <v>733</v>
      </c>
      <c r="F276" t="s">
        <v>734</v>
      </c>
    </row>
    <row r="277" spans="1:8" x14ac:dyDescent="0.25">
      <c r="D277" s="1">
        <f t="shared" si="29"/>
        <v>229</v>
      </c>
      <c r="E277" t="s">
        <v>729</v>
      </c>
      <c r="F277" t="s">
        <v>730</v>
      </c>
    </row>
    <row r="278" spans="1:8" x14ac:dyDescent="0.25">
      <c r="D278" s="1">
        <f t="shared" si="29"/>
        <v>230</v>
      </c>
      <c r="E278" s="1" t="s">
        <v>515</v>
      </c>
      <c r="F278" s="1" t="s">
        <v>516</v>
      </c>
    </row>
    <row r="279" spans="1:8" x14ac:dyDescent="0.25">
      <c r="D279" s="1">
        <f t="shared" si="29"/>
        <v>231</v>
      </c>
      <c r="E279" t="s">
        <v>520</v>
      </c>
      <c r="F279" t="s">
        <v>1300</v>
      </c>
      <c r="G279" s="3">
        <v>13.13</v>
      </c>
    </row>
    <row r="280" spans="1:8" x14ac:dyDescent="0.25">
      <c r="D280" s="1">
        <f t="shared" si="29"/>
        <v>232</v>
      </c>
      <c r="E280" s="1" t="s">
        <v>523</v>
      </c>
      <c r="F280" s="1" t="s">
        <v>524</v>
      </c>
      <c r="G280" s="3">
        <v>7.08</v>
      </c>
    </row>
    <row r="281" spans="1:8" x14ac:dyDescent="0.25">
      <c r="D281" s="1">
        <f t="shared" si="29"/>
        <v>233</v>
      </c>
      <c r="E281" t="s">
        <v>526</v>
      </c>
      <c r="F281" t="s">
        <v>525</v>
      </c>
      <c r="G281" s="7">
        <v>20.3</v>
      </c>
    </row>
    <row r="282" spans="1:8" x14ac:dyDescent="0.25">
      <c r="D282" s="1">
        <f t="shared" si="29"/>
        <v>234</v>
      </c>
      <c r="E282" t="s">
        <v>527</v>
      </c>
      <c r="F282" t="s">
        <v>528</v>
      </c>
      <c r="G282" s="3">
        <v>0.38</v>
      </c>
    </row>
    <row r="283" spans="1:8" x14ac:dyDescent="0.25">
      <c r="D283" s="1">
        <f t="shared" si="29"/>
        <v>235</v>
      </c>
      <c r="E283" t="s">
        <v>529</v>
      </c>
      <c r="F283" t="s">
        <v>530</v>
      </c>
      <c r="G283" s="3">
        <v>4.24</v>
      </c>
    </row>
    <row r="284" spans="1:8" x14ac:dyDescent="0.25">
      <c r="A284" s="1" t="s">
        <v>334</v>
      </c>
      <c r="D284" s="1">
        <f t="shared" si="29"/>
        <v>236</v>
      </c>
      <c r="E284" t="s">
        <v>531</v>
      </c>
      <c r="F284" t="s">
        <v>532</v>
      </c>
      <c r="G284" s="3">
        <v>13.74</v>
      </c>
    </row>
    <row r="285" spans="1:8" x14ac:dyDescent="0.25">
      <c r="D285" s="1">
        <f t="shared" si="29"/>
        <v>237</v>
      </c>
      <c r="E285" t="s">
        <v>533</v>
      </c>
      <c r="F285" t="s">
        <v>534</v>
      </c>
      <c r="G285" s="3">
        <v>4.3600000000000003</v>
      </c>
    </row>
    <row r="286" spans="1:8" x14ac:dyDescent="0.25">
      <c r="D286" s="1">
        <f t="shared" si="29"/>
        <v>238</v>
      </c>
      <c r="E286" t="s">
        <v>535</v>
      </c>
      <c r="F286" t="s">
        <v>536</v>
      </c>
      <c r="G286" s="3">
        <v>7.06</v>
      </c>
    </row>
    <row r="287" spans="1:8" x14ac:dyDescent="0.25">
      <c r="D287" s="1">
        <f t="shared" si="29"/>
        <v>239</v>
      </c>
      <c r="E287" t="s">
        <v>787</v>
      </c>
      <c r="F287" t="s">
        <v>788</v>
      </c>
    </row>
    <row r="288" spans="1:8" x14ac:dyDescent="0.25">
      <c r="A288" s="1" t="s">
        <v>334</v>
      </c>
      <c r="D288" s="1">
        <f t="shared" si="29"/>
        <v>240</v>
      </c>
      <c r="E288" t="s">
        <v>537</v>
      </c>
      <c r="F288" t="s">
        <v>538</v>
      </c>
      <c r="G288" s="3">
        <v>1.04</v>
      </c>
    </row>
    <row r="289" spans="4:13" ht="13" x14ac:dyDescent="0.3">
      <c r="D289" s="1">
        <f t="shared" si="29"/>
        <v>241</v>
      </c>
      <c r="E289" s="34" t="s">
        <v>539</v>
      </c>
      <c r="F289" s="34" t="s">
        <v>540</v>
      </c>
    </row>
    <row r="290" spans="4:13" x14ac:dyDescent="0.25">
      <c r="D290" s="1">
        <f t="shared" si="29"/>
        <v>242</v>
      </c>
      <c r="E290" t="s">
        <v>541</v>
      </c>
      <c r="F290" t="s">
        <v>542</v>
      </c>
      <c r="G290" s="3">
        <v>2.97</v>
      </c>
    </row>
    <row r="291" spans="4:13" x14ac:dyDescent="0.25">
      <c r="D291" s="1">
        <f t="shared" si="29"/>
        <v>243</v>
      </c>
      <c r="E291" t="s">
        <v>543</v>
      </c>
      <c r="F291" t="s">
        <v>544</v>
      </c>
      <c r="G291" s="3">
        <v>3.28</v>
      </c>
    </row>
    <row r="292" spans="4:13" x14ac:dyDescent="0.25">
      <c r="D292" s="1">
        <f t="shared" si="29"/>
        <v>244</v>
      </c>
      <c r="E292" t="s">
        <v>547</v>
      </c>
      <c r="F292" t="s">
        <v>548</v>
      </c>
    </row>
    <row r="293" spans="4:13" x14ac:dyDescent="0.25">
      <c r="D293" s="1">
        <f t="shared" si="29"/>
        <v>245</v>
      </c>
      <c r="E293" t="s">
        <v>549</v>
      </c>
      <c r="F293" t="s">
        <v>550</v>
      </c>
      <c r="G293" s="3">
        <v>18.07</v>
      </c>
    </row>
    <row r="294" spans="4:13" x14ac:dyDescent="0.25">
      <c r="D294" s="1">
        <f t="shared" si="29"/>
        <v>246</v>
      </c>
      <c r="E294" t="s">
        <v>551</v>
      </c>
      <c r="F294" t="s">
        <v>552</v>
      </c>
      <c r="G294" s="3">
        <v>2.68</v>
      </c>
    </row>
    <row r="295" spans="4:13" x14ac:dyDescent="0.25">
      <c r="D295" s="1">
        <f t="shared" si="29"/>
        <v>247</v>
      </c>
      <c r="E295" t="s">
        <v>553</v>
      </c>
      <c r="F295" t="s">
        <v>554</v>
      </c>
      <c r="G295" s="7">
        <v>7</v>
      </c>
    </row>
    <row r="296" spans="4:13" x14ac:dyDescent="0.25">
      <c r="D296" s="1">
        <f t="shared" si="29"/>
        <v>248</v>
      </c>
      <c r="E296" t="s">
        <v>555</v>
      </c>
      <c r="F296" t="s">
        <v>556</v>
      </c>
      <c r="G296" s="3">
        <v>1.76</v>
      </c>
    </row>
    <row r="297" spans="4:13" x14ac:dyDescent="0.25">
      <c r="D297" s="1">
        <f t="shared" si="29"/>
        <v>249</v>
      </c>
      <c r="E297" t="s">
        <v>991</v>
      </c>
      <c r="F297" t="s">
        <v>992</v>
      </c>
    </row>
    <row r="298" spans="4:13" x14ac:dyDescent="0.25">
      <c r="D298" s="1">
        <f t="shared" si="29"/>
        <v>250</v>
      </c>
      <c r="E298" t="s">
        <v>557</v>
      </c>
      <c r="F298" t="s">
        <v>558</v>
      </c>
      <c r="G298" s="3">
        <v>0.61</v>
      </c>
    </row>
    <row r="299" spans="4:13" x14ac:dyDescent="0.25">
      <c r="D299" s="1">
        <f t="shared" si="29"/>
        <v>251</v>
      </c>
      <c r="E299" t="s">
        <v>559</v>
      </c>
      <c r="F299" t="s">
        <v>560</v>
      </c>
      <c r="G299" s="3">
        <v>0.68</v>
      </c>
    </row>
    <row r="300" spans="4:13" x14ac:dyDescent="0.25">
      <c r="D300" s="1">
        <f t="shared" si="29"/>
        <v>252</v>
      </c>
      <c r="E300" t="s">
        <v>563</v>
      </c>
      <c r="F300" t="s">
        <v>564</v>
      </c>
      <c r="G300" s="3">
        <v>1.86</v>
      </c>
    </row>
    <row r="301" spans="4:13" x14ac:dyDescent="0.25">
      <c r="D301" s="1">
        <f t="shared" si="29"/>
        <v>253</v>
      </c>
      <c r="E301" t="s">
        <v>565</v>
      </c>
      <c r="F301" t="s">
        <v>566</v>
      </c>
      <c r="G301" s="3">
        <v>1.87</v>
      </c>
    </row>
    <row r="302" spans="4:13" ht="13" x14ac:dyDescent="0.3">
      <c r="D302" s="1">
        <f t="shared" si="29"/>
        <v>254</v>
      </c>
      <c r="E302" s="34" t="s">
        <v>567</v>
      </c>
      <c r="F302" s="34" t="s">
        <v>568</v>
      </c>
      <c r="G302"/>
    </row>
    <row r="303" spans="4:13" x14ac:dyDescent="0.25">
      <c r="D303" s="1">
        <f t="shared" si="29"/>
        <v>255</v>
      </c>
      <c r="E303" s="5" t="s">
        <v>570</v>
      </c>
      <c r="F303" t="s">
        <v>569</v>
      </c>
      <c r="G303" s="3">
        <v>7.46</v>
      </c>
      <c r="H303" s="6">
        <f>+G303*L303</f>
        <v>165.40648446</v>
      </c>
      <c r="I303" s="6">
        <f>+[152]Main!$M$5-[152]Main!$M$6</f>
        <v>31.058</v>
      </c>
      <c r="J303" s="6">
        <f>+H303-I303</f>
        <v>134.34848446000001</v>
      </c>
      <c r="K303" s="3" t="s">
        <v>1279</v>
      </c>
      <c r="L303" s="6">
        <f>+[152]Main!$M$3</f>
        <v>22.172450999999999</v>
      </c>
      <c r="M303" s="9">
        <v>45684</v>
      </c>
    </row>
    <row r="304" spans="4:13" x14ac:dyDescent="0.25">
      <c r="D304" s="1">
        <f t="shared" si="29"/>
        <v>256</v>
      </c>
      <c r="E304" t="s">
        <v>801</v>
      </c>
      <c r="F304" t="s">
        <v>802</v>
      </c>
    </row>
    <row r="305" spans="1:7" x14ac:dyDescent="0.25">
      <c r="D305" s="1">
        <f t="shared" si="29"/>
        <v>257</v>
      </c>
      <c r="E305" s="5" t="s">
        <v>800</v>
      </c>
      <c r="F305" t="s">
        <v>1811</v>
      </c>
      <c r="G305" s="3">
        <v>8.77</v>
      </c>
    </row>
    <row r="306" spans="1:7" x14ac:dyDescent="0.25">
      <c r="D306" s="1">
        <f t="shared" si="29"/>
        <v>258</v>
      </c>
      <c r="E306" t="s">
        <v>571</v>
      </c>
      <c r="F306" t="s">
        <v>572</v>
      </c>
      <c r="G306" s="3">
        <v>2.77</v>
      </c>
    </row>
    <row r="307" spans="1:7" x14ac:dyDescent="0.25">
      <c r="D307" s="1">
        <f t="shared" si="29"/>
        <v>259</v>
      </c>
      <c r="E307" t="s">
        <v>348</v>
      </c>
      <c r="F307" t="s">
        <v>349</v>
      </c>
      <c r="G307" s="3">
        <v>2.67</v>
      </c>
    </row>
    <row r="308" spans="1:7" x14ac:dyDescent="0.25">
      <c r="A308" s="1" t="s">
        <v>334</v>
      </c>
      <c r="D308" s="1">
        <f t="shared" si="29"/>
        <v>260</v>
      </c>
      <c r="E308" t="s">
        <v>979</v>
      </c>
      <c r="F308" t="s">
        <v>980</v>
      </c>
    </row>
    <row r="309" spans="1:7" x14ac:dyDescent="0.25">
      <c r="A309" s="1" t="s">
        <v>334</v>
      </c>
      <c r="D309" s="1">
        <f t="shared" si="29"/>
        <v>261</v>
      </c>
      <c r="E309" t="s">
        <v>977</v>
      </c>
      <c r="F309" t="s">
        <v>978</v>
      </c>
    </row>
    <row r="310" spans="1:7" x14ac:dyDescent="0.25">
      <c r="A310" t="s">
        <v>334</v>
      </c>
      <c r="B310"/>
      <c r="C310"/>
      <c r="D310" s="1">
        <f t="shared" si="29"/>
        <v>262</v>
      </c>
      <c r="E310" t="s">
        <v>983</v>
      </c>
      <c r="F310" t="s">
        <v>984</v>
      </c>
    </row>
    <row r="311" spans="1:7" x14ac:dyDescent="0.25">
      <c r="A311"/>
      <c r="B311"/>
      <c r="C311"/>
      <c r="D311" s="1">
        <f t="shared" si="29"/>
        <v>263</v>
      </c>
      <c r="E311" t="s">
        <v>985</v>
      </c>
      <c r="F311" t="s">
        <v>986</v>
      </c>
    </row>
    <row r="312" spans="1:7" x14ac:dyDescent="0.25">
      <c r="A312" t="s">
        <v>334</v>
      </c>
      <c r="B312"/>
      <c r="C312"/>
      <c r="D312" s="1">
        <f t="shared" si="29"/>
        <v>264</v>
      </c>
      <c r="E312" t="s">
        <v>987</v>
      </c>
      <c r="F312" t="s">
        <v>988</v>
      </c>
    </row>
    <row r="313" spans="1:7" x14ac:dyDescent="0.25">
      <c r="A313" t="s">
        <v>334</v>
      </c>
      <c r="B313"/>
      <c r="C313"/>
      <c r="D313" s="1">
        <f t="shared" si="29"/>
        <v>265</v>
      </c>
      <c r="E313" t="s">
        <v>989</v>
      </c>
      <c r="F313" t="s">
        <v>990</v>
      </c>
    </row>
    <row r="314" spans="1:7" x14ac:dyDescent="0.25">
      <c r="A314" t="s">
        <v>334</v>
      </c>
      <c r="B314"/>
      <c r="C314"/>
      <c r="D314" s="1">
        <f t="shared" si="29"/>
        <v>266</v>
      </c>
      <c r="E314" t="s">
        <v>981</v>
      </c>
      <c r="F314" t="s">
        <v>982</v>
      </c>
      <c r="G314" s="7">
        <v>0.92</v>
      </c>
    </row>
    <row r="315" spans="1:7" x14ac:dyDescent="0.25">
      <c r="A315" s="1" t="s">
        <v>334</v>
      </c>
      <c r="D315" s="1">
        <f t="shared" si="29"/>
        <v>267</v>
      </c>
      <c r="E315" t="s">
        <v>975</v>
      </c>
      <c r="F315" t="s">
        <v>976</v>
      </c>
    </row>
    <row r="316" spans="1:7" x14ac:dyDescent="0.25">
      <c r="A316" s="1" t="s">
        <v>334</v>
      </c>
      <c r="D316" s="1">
        <f t="shared" si="29"/>
        <v>268</v>
      </c>
      <c r="E316" t="s">
        <v>573</v>
      </c>
      <c r="F316" t="s">
        <v>574</v>
      </c>
      <c r="G316" s="7">
        <v>2.2000000000000002</v>
      </c>
    </row>
    <row r="317" spans="1:7" x14ac:dyDescent="0.25">
      <c r="A317" s="1" t="s">
        <v>334</v>
      </c>
      <c r="D317" s="1">
        <f t="shared" si="29"/>
        <v>269</v>
      </c>
      <c r="E317" t="s">
        <v>577</v>
      </c>
      <c r="F317" t="s">
        <v>578</v>
      </c>
      <c r="G317" s="3">
        <v>0.92</v>
      </c>
    </row>
    <row r="318" spans="1:7" x14ac:dyDescent="0.25">
      <c r="A318" s="1" t="s">
        <v>334</v>
      </c>
      <c r="D318" s="1">
        <f t="shared" si="29"/>
        <v>270</v>
      </c>
      <c r="E318" t="s">
        <v>579</v>
      </c>
      <c r="F318" t="s">
        <v>580</v>
      </c>
      <c r="G318" s="3">
        <v>2.94</v>
      </c>
    </row>
    <row r="319" spans="1:7" x14ac:dyDescent="0.25">
      <c r="A319" s="1" t="s">
        <v>334</v>
      </c>
      <c r="D319" s="1">
        <f t="shared" si="29"/>
        <v>271</v>
      </c>
      <c r="E319" t="s">
        <v>581</v>
      </c>
      <c r="F319" t="s">
        <v>582</v>
      </c>
      <c r="G319" s="3">
        <v>5.88</v>
      </c>
    </row>
    <row r="320" spans="1:7" x14ac:dyDescent="0.25">
      <c r="A320" s="1" t="s">
        <v>334</v>
      </c>
      <c r="D320" s="1">
        <f t="shared" si="29"/>
        <v>272</v>
      </c>
      <c r="E320" t="s">
        <v>583</v>
      </c>
      <c r="F320" t="s">
        <v>584</v>
      </c>
      <c r="G320" s="7">
        <v>3.46</v>
      </c>
    </row>
    <row r="321" spans="1:31" x14ac:dyDescent="0.25">
      <c r="A321" t="s">
        <v>334</v>
      </c>
      <c r="B321"/>
      <c r="C321"/>
      <c r="D321" s="1">
        <f t="shared" si="29"/>
        <v>273</v>
      </c>
      <c r="E321" s="5" t="s">
        <v>885</v>
      </c>
      <c r="F321" t="s">
        <v>886</v>
      </c>
      <c r="G321" s="7">
        <v>13.21</v>
      </c>
      <c r="H321" s="6">
        <f>+G321*L321</f>
        <v>588.73448214000007</v>
      </c>
      <c r="I321" s="6">
        <f>+[153]Main!$M$5-[153]Main!$M$6</f>
        <v>99.997</v>
      </c>
      <c r="J321" s="6">
        <f>+H321-I321</f>
        <v>488.73748214000005</v>
      </c>
      <c r="K321" s="3" t="s">
        <v>1073</v>
      </c>
      <c r="L321" s="6">
        <f>+[153]Main!$M$3</f>
        <v>44.567334000000002</v>
      </c>
      <c r="M321" s="9">
        <v>45568</v>
      </c>
    </row>
    <row r="322" spans="1:31" x14ac:dyDescent="0.25">
      <c r="A322" t="s">
        <v>334</v>
      </c>
      <c r="B322"/>
      <c r="C322"/>
      <c r="D322" s="1">
        <f t="shared" si="29"/>
        <v>274</v>
      </c>
      <c r="E322" s="5" t="s">
        <v>869</v>
      </c>
      <c r="F322" t="s">
        <v>870</v>
      </c>
      <c r="G322" s="7">
        <v>11.39</v>
      </c>
      <c r="H322" s="6">
        <f>+G322*L322</f>
        <v>492.22422607999999</v>
      </c>
      <c r="I322" s="6">
        <f>+[154]Main!$K$5-[154]Main!$K$6</f>
        <v>174.27199999999999</v>
      </c>
      <c r="J322" s="6">
        <f>+H322-I322</f>
        <v>317.95222608</v>
      </c>
      <c r="K322" s="3" t="s">
        <v>1073</v>
      </c>
      <c r="L322" s="6">
        <f>+[154]Main!$K$3</f>
        <v>43.215471999999998</v>
      </c>
      <c r="M322" s="9">
        <v>45567</v>
      </c>
    </row>
    <row r="323" spans="1:31" x14ac:dyDescent="0.25">
      <c r="A323" s="1" t="s">
        <v>334</v>
      </c>
      <c r="D323" s="1">
        <f t="shared" si="29"/>
        <v>275</v>
      </c>
      <c r="E323" s="5" t="s">
        <v>585</v>
      </c>
      <c r="F323" t="s">
        <v>586</v>
      </c>
      <c r="G323" s="7">
        <v>33</v>
      </c>
      <c r="H323" s="6">
        <f>G323*L323</f>
        <v>653.378781</v>
      </c>
      <c r="I323" s="6">
        <f>[155]Main!$M$5-[155]Main!$M$6</f>
        <v>236.422</v>
      </c>
      <c r="J323" s="6">
        <f>H323-I323</f>
        <v>416.95678099999998</v>
      </c>
      <c r="L323" s="6">
        <f>[155]Main!$M$3</f>
        <v>19.799357000000001</v>
      </c>
      <c r="M323" s="9">
        <v>45063</v>
      </c>
      <c r="AE323" s="1">
        <v>2017</v>
      </c>
    </row>
    <row r="324" spans="1:31" x14ac:dyDescent="0.25">
      <c r="A324"/>
      <c r="B324"/>
      <c r="C324"/>
      <c r="D324" s="1">
        <f t="shared" si="29"/>
        <v>276</v>
      </c>
      <c r="E324" s="5" t="s">
        <v>939</v>
      </c>
      <c r="F324" t="s">
        <v>940</v>
      </c>
      <c r="G324" s="3">
        <v>8.91</v>
      </c>
      <c r="H324" s="6">
        <f>+G324*L324</f>
        <v>476.84725110000005</v>
      </c>
      <c r="I324" s="6">
        <f>+[156]Main!$K$5-[156]Main!$K$6</f>
        <v>280.24800000000005</v>
      </c>
      <c r="J324" s="6">
        <f>+H324-I324</f>
        <v>196.5992511</v>
      </c>
      <c r="K324" s="3" t="s">
        <v>1073</v>
      </c>
      <c r="L324" s="6">
        <f>+[156]Main!$K$3</f>
        <v>53.518210000000003</v>
      </c>
      <c r="M324" s="9">
        <v>45557</v>
      </c>
    </row>
    <row r="325" spans="1:31" x14ac:dyDescent="0.25">
      <c r="A325" s="1" t="s">
        <v>334</v>
      </c>
      <c r="D325" s="1">
        <f t="shared" si="29"/>
        <v>277</v>
      </c>
      <c r="E325" s="5" t="s">
        <v>575</v>
      </c>
      <c r="F325" t="s">
        <v>576</v>
      </c>
      <c r="G325" s="3">
        <v>3.34</v>
      </c>
      <c r="H325" s="6">
        <f>+G325*L325</f>
        <v>242.45700277999998</v>
      </c>
      <c r="I325" s="6">
        <f>+[157]Main!$J$5-[157]Main!$J$6</f>
        <v>69.49499999999999</v>
      </c>
      <c r="J325" s="6">
        <f>+H325-I325</f>
        <v>172.96200277999998</v>
      </c>
      <c r="K325" s="3" t="s">
        <v>1073</v>
      </c>
      <c r="L325" s="6">
        <f>+[157]Main!$J$3</f>
        <v>72.591916999999995</v>
      </c>
      <c r="M325" s="9">
        <v>45548</v>
      </c>
    </row>
    <row r="326" spans="1:31" x14ac:dyDescent="0.25">
      <c r="A326"/>
      <c r="B326"/>
      <c r="C326"/>
      <c r="D326" s="1">
        <f t="shared" si="29"/>
        <v>278</v>
      </c>
      <c r="E326" s="5" t="s">
        <v>1170</v>
      </c>
      <c r="F326" t="s">
        <v>1171</v>
      </c>
      <c r="G326" s="7">
        <v>1.28</v>
      </c>
      <c r="H326" s="6">
        <f>+G326*L326</f>
        <v>95.674332159999992</v>
      </c>
      <c r="I326" s="6">
        <f>+[158]Main!$K$5-[158]Main!$K$6</f>
        <v>29.36</v>
      </c>
      <c r="J326" s="6">
        <f>+H326-I326</f>
        <v>66.314332159999992</v>
      </c>
      <c r="K326" s="3" t="s">
        <v>1073</v>
      </c>
      <c r="L326" s="6">
        <f>+[158]Main!$K$3</f>
        <v>74.745571999999996</v>
      </c>
      <c r="M326" s="9">
        <v>45554</v>
      </c>
    </row>
    <row r="327" spans="1:31" x14ac:dyDescent="0.25">
      <c r="A327"/>
      <c r="B327"/>
      <c r="C327"/>
      <c r="D327" s="1">
        <f t="shared" si="29"/>
        <v>279</v>
      </c>
      <c r="E327" s="5" t="s">
        <v>1177</v>
      </c>
      <c r="F327" t="s">
        <v>1178</v>
      </c>
      <c r="G327" s="3">
        <v>0.85</v>
      </c>
      <c r="H327" s="6">
        <f>+G327*L327</f>
        <v>30.110729799999998</v>
      </c>
      <c r="I327" s="6">
        <f>+[159]Main!$L$5-[159]Main!$L$6</f>
        <v>33.298999999999999</v>
      </c>
      <c r="J327" s="6">
        <f>+H327-I327</f>
        <v>-3.1882702000000016</v>
      </c>
      <c r="K327" s="3" t="s">
        <v>1073</v>
      </c>
      <c r="L327" s="6">
        <f>+[159]Main!$L$3</f>
        <v>35.424388</v>
      </c>
      <c r="M327" s="9">
        <v>45558</v>
      </c>
    </row>
    <row r="328" spans="1:31" x14ac:dyDescent="0.25">
      <c r="D328" s="1">
        <f t="shared" si="29"/>
        <v>280</v>
      </c>
      <c r="E328" s="5" t="s">
        <v>587</v>
      </c>
      <c r="F328" t="s">
        <v>588</v>
      </c>
      <c r="G328" s="3">
        <f>0.35</f>
        <v>0.35</v>
      </c>
      <c r="H328" s="6">
        <f>G328*L328</f>
        <v>12.513184599999999</v>
      </c>
      <c r="I328" s="6">
        <f>[160]Main!$K$5-[160]Main!$K$6</f>
        <v>54.983000000000004</v>
      </c>
      <c r="J328" s="6">
        <f>H328-I328</f>
        <v>-42.469815400000002</v>
      </c>
      <c r="L328" s="6">
        <f>[160]Main!$K$3</f>
        <v>35.751956</v>
      </c>
      <c r="M328" s="9">
        <v>45063</v>
      </c>
    </row>
    <row r="329" spans="1:31" x14ac:dyDescent="0.25">
      <c r="A329"/>
      <c r="B329"/>
      <c r="C329"/>
      <c r="D329" s="1">
        <f t="shared" si="29"/>
        <v>281</v>
      </c>
      <c r="E329" s="5" t="s">
        <v>935</v>
      </c>
      <c r="F329" t="s">
        <v>936</v>
      </c>
      <c r="G329" s="7">
        <v>4.63</v>
      </c>
      <c r="H329" s="6">
        <f>+G329*L329</f>
        <v>326.68703101999995</v>
      </c>
      <c r="I329" s="6">
        <f>+[161]Main!$K$5-[161]Main!$K$6</f>
        <v>426.65000000000003</v>
      </c>
      <c r="J329" s="6">
        <f>+H329-I329</f>
        <v>-99.962968980000085</v>
      </c>
      <c r="K329" s="3" t="s">
        <v>1073</v>
      </c>
      <c r="L329" s="6">
        <f>+[161]Main!$K$3</f>
        <v>70.558753999999993</v>
      </c>
      <c r="M329" s="9">
        <v>45564</v>
      </c>
      <c r="AE329" s="1">
        <v>2015</v>
      </c>
    </row>
    <row r="330" spans="1:31" x14ac:dyDescent="0.25">
      <c r="A330" s="1" t="s">
        <v>334</v>
      </c>
      <c r="D330" s="1">
        <f t="shared" si="29"/>
        <v>282</v>
      </c>
      <c r="E330" s="1" t="s">
        <v>589</v>
      </c>
      <c r="F330" s="1" t="s">
        <v>590</v>
      </c>
    </row>
    <row r="331" spans="1:31" x14ac:dyDescent="0.25">
      <c r="D331" s="1">
        <f t="shared" si="29"/>
        <v>283</v>
      </c>
      <c r="E331" t="s">
        <v>591</v>
      </c>
      <c r="F331" t="s">
        <v>592</v>
      </c>
    </row>
    <row r="332" spans="1:31" x14ac:dyDescent="0.25">
      <c r="A332" s="1" t="s">
        <v>334</v>
      </c>
      <c r="D332" s="1">
        <f t="shared" si="29"/>
        <v>284</v>
      </c>
      <c r="E332" t="s">
        <v>593</v>
      </c>
      <c r="F332" t="s">
        <v>594</v>
      </c>
    </row>
    <row r="333" spans="1:31" x14ac:dyDescent="0.25">
      <c r="A333" s="1" t="s">
        <v>334</v>
      </c>
      <c r="D333" s="1">
        <f t="shared" ref="D333:D395" si="30">+D332+1</f>
        <v>285</v>
      </c>
      <c r="E333" s="1" t="s">
        <v>449</v>
      </c>
      <c r="F333" s="1" t="s">
        <v>662</v>
      </c>
    </row>
    <row r="334" spans="1:31" x14ac:dyDescent="0.25">
      <c r="D334" s="1">
        <f t="shared" si="30"/>
        <v>286</v>
      </c>
      <c r="E334" t="s">
        <v>1172</v>
      </c>
      <c r="F334" t="s">
        <v>1173</v>
      </c>
    </row>
    <row r="335" spans="1:31" x14ac:dyDescent="0.25">
      <c r="A335" s="1" t="s">
        <v>334</v>
      </c>
      <c r="D335" s="1">
        <f t="shared" si="30"/>
        <v>287</v>
      </c>
      <c r="E335" t="s">
        <v>775</v>
      </c>
      <c r="F335" t="s">
        <v>776</v>
      </c>
    </row>
    <row r="336" spans="1:31" x14ac:dyDescent="0.25">
      <c r="A336" s="1" t="s">
        <v>334</v>
      </c>
      <c r="D336" s="1">
        <f t="shared" si="30"/>
        <v>288</v>
      </c>
      <c r="E336" t="s">
        <v>665</v>
      </c>
      <c r="F336" t="s">
        <v>666</v>
      </c>
    </row>
    <row r="337" spans="1:7" x14ac:dyDescent="0.25">
      <c r="A337" t="s">
        <v>334</v>
      </c>
      <c r="B337"/>
      <c r="C337"/>
      <c r="D337" s="1">
        <f t="shared" si="30"/>
        <v>289</v>
      </c>
      <c r="E337" t="s">
        <v>667</v>
      </c>
      <c r="F337" t="s">
        <v>668</v>
      </c>
    </row>
    <row r="338" spans="1:7" x14ac:dyDescent="0.25">
      <c r="A338" t="s">
        <v>334</v>
      </c>
      <c r="B338"/>
      <c r="C338"/>
      <c r="D338" s="1">
        <f t="shared" si="30"/>
        <v>290</v>
      </c>
      <c r="E338" t="s">
        <v>669</v>
      </c>
      <c r="F338" t="s">
        <v>670</v>
      </c>
    </row>
    <row r="339" spans="1:7" x14ac:dyDescent="0.25">
      <c r="D339" s="1">
        <f t="shared" si="30"/>
        <v>291</v>
      </c>
      <c r="E339" t="s">
        <v>671</v>
      </c>
      <c r="F339" t="s">
        <v>672</v>
      </c>
    </row>
    <row r="340" spans="1:7" x14ac:dyDescent="0.25">
      <c r="A340" s="1" t="s">
        <v>334</v>
      </c>
      <c r="D340" s="1">
        <f t="shared" si="30"/>
        <v>292</v>
      </c>
      <c r="E340" t="s">
        <v>807</v>
      </c>
      <c r="F340" t="s">
        <v>808</v>
      </c>
    </row>
    <row r="341" spans="1:7" x14ac:dyDescent="0.25">
      <c r="A341" s="1" t="s">
        <v>334</v>
      </c>
      <c r="D341" s="1">
        <f t="shared" si="30"/>
        <v>293</v>
      </c>
      <c r="E341" t="s">
        <v>811</v>
      </c>
      <c r="F341" t="s">
        <v>812</v>
      </c>
    </row>
    <row r="342" spans="1:7" x14ac:dyDescent="0.25">
      <c r="A342" t="s">
        <v>334</v>
      </c>
      <c r="B342"/>
      <c r="C342"/>
      <c r="D342" s="1">
        <f t="shared" si="30"/>
        <v>294</v>
      </c>
      <c r="E342" t="s">
        <v>817</v>
      </c>
      <c r="F342" t="s">
        <v>818</v>
      </c>
    </row>
    <row r="343" spans="1:7" x14ac:dyDescent="0.25">
      <c r="A343" t="s">
        <v>334</v>
      </c>
      <c r="B343"/>
      <c r="C343"/>
      <c r="D343" s="1">
        <f t="shared" si="30"/>
        <v>295</v>
      </c>
      <c r="E343" t="s">
        <v>821</v>
      </c>
      <c r="F343" t="s">
        <v>822</v>
      </c>
    </row>
    <row r="344" spans="1:7" x14ac:dyDescent="0.25">
      <c r="A344" t="s">
        <v>334</v>
      </c>
      <c r="B344"/>
      <c r="C344"/>
      <c r="D344" s="1">
        <f t="shared" si="30"/>
        <v>296</v>
      </c>
      <c r="E344" t="s">
        <v>819</v>
      </c>
      <c r="F344" t="s">
        <v>820</v>
      </c>
    </row>
    <row r="345" spans="1:7" x14ac:dyDescent="0.25">
      <c r="A345" t="s">
        <v>334</v>
      </c>
      <c r="B345"/>
      <c r="C345"/>
      <c r="D345" s="1">
        <f t="shared" si="30"/>
        <v>297</v>
      </c>
      <c r="E345" t="s">
        <v>815</v>
      </c>
      <c r="F345" t="s">
        <v>816</v>
      </c>
    </row>
    <row r="346" spans="1:7" x14ac:dyDescent="0.25">
      <c r="A346" t="s">
        <v>334</v>
      </c>
      <c r="B346"/>
      <c r="C346"/>
      <c r="D346" s="1">
        <f t="shared" si="30"/>
        <v>298</v>
      </c>
      <c r="E346" t="s">
        <v>813</v>
      </c>
      <c r="F346" t="s">
        <v>814</v>
      </c>
    </row>
    <row r="347" spans="1:7" x14ac:dyDescent="0.25">
      <c r="A347" s="1" t="s">
        <v>334</v>
      </c>
      <c r="D347" s="1">
        <f t="shared" si="30"/>
        <v>299</v>
      </c>
      <c r="E347" t="s">
        <v>809</v>
      </c>
      <c r="F347" t="s">
        <v>810</v>
      </c>
    </row>
    <row r="348" spans="1:7" x14ac:dyDescent="0.25">
      <c r="A348" s="1" t="s">
        <v>334</v>
      </c>
      <c r="D348" s="1">
        <f t="shared" si="30"/>
        <v>300</v>
      </c>
      <c r="E348" t="s">
        <v>803</v>
      </c>
      <c r="F348" t="s">
        <v>804</v>
      </c>
    </row>
    <row r="349" spans="1:7" x14ac:dyDescent="0.25">
      <c r="A349" s="1" t="s">
        <v>334</v>
      </c>
      <c r="D349" s="1">
        <f t="shared" si="30"/>
        <v>301</v>
      </c>
      <c r="E349" t="s">
        <v>673</v>
      </c>
      <c r="F349" t="s">
        <v>674</v>
      </c>
    </row>
    <row r="350" spans="1:7" x14ac:dyDescent="0.25">
      <c r="A350" s="1" t="s">
        <v>334</v>
      </c>
      <c r="D350" s="1">
        <f t="shared" si="30"/>
        <v>302</v>
      </c>
      <c r="E350" t="s">
        <v>737</v>
      </c>
      <c r="F350" t="s">
        <v>738</v>
      </c>
    </row>
    <row r="351" spans="1:7" x14ac:dyDescent="0.25">
      <c r="A351" s="1" t="s">
        <v>334</v>
      </c>
      <c r="D351" s="1">
        <f t="shared" si="30"/>
        <v>303</v>
      </c>
      <c r="E351" s="5" t="s">
        <v>735</v>
      </c>
      <c r="F351" t="s">
        <v>736</v>
      </c>
      <c r="G351" s="3">
        <v>6.71</v>
      </c>
    </row>
    <row r="352" spans="1:7" x14ac:dyDescent="0.25">
      <c r="A352" s="1" t="s">
        <v>334</v>
      </c>
      <c r="D352" s="1">
        <f t="shared" si="30"/>
        <v>304</v>
      </c>
      <c r="E352" t="s">
        <v>675</v>
      </c>
      <c r="F352" t="s">
        <v>676</v>
      </c>
    </row>
    <row r="353" spans="1:13" x14ac:dyDescent="0.25">
      <c r="A353" t="s">
        <v>334</v>
      </c>
      <c r="B353"/>
      <c r="C353"/>
      <c r="D353" s="1">
        <f t="shared" si="30"/>
        <v>305</v>
      </c>
      <c r="E353" t="s">
        <v>722</v>
      </c>
      <c r="F353" t="s">
        <v>723</v>
      </c>
    </row>
    <row r="354" spans="1:13" x14ac:dyDescent="0.25">
      <c r="A354" s="1" t="s">
        <v>334</v>
      </c>
      <c r="D354" s="1">
        <f t="shared" si="30"/>
        <v>306</v>
      </c>
      <c r="E354" t="s">
        <v>677</v>
      </c>
      <c r="F354" t="s">
        <v>678</v>
      </c>
    </row>
    <row r="355" spans="1:13" x14ac:dyDescent="0.25">
      <c r="A355" s="1" t="s">
        <v>334</v>
      </c>
      <c r="D355" s="1">
        <f t="shared" si="30"/>
        <v>307</v>
      </c>
      <c r="E355" s="1" t="s">
        <v>696</v>
      </c>
      <c r="F355" s="1" t="s">
        <v>697</v>
      </c>
    </row>
    <row r="356" spans="1:13" x14ac:dyDescent="0.25">
      <c r="A356" t="s">
        <v>334</v>
      </c>
      <c r="B356"/>
      <c r="C356"/>
      <c r="D356" s="1">
        <f t="shared" si="30"/>
        <v>308</v>
      </c>
      <c r="E356" t="s">
        <v>700</v>
      </c>
      <c r="F356" t="s">
        <v>701</v>
      </c>
    </row>
    <row r="357" spans="1:13" x14ac:dyDescent="0.25">
      <c r="A357" t="s">
        <v>334</v>
      </c>
      <c r="B357"/>
      <c r="C357"/>
      <c r="D357" s="1">
        <f t="shared" si="30"/>
        <v>309</v>
      </c>
      <c r="E357" t="s">
        <v>702</v>
      </c>
      <c r="F357" t="s">
        <v>703</v>
      </c>
    </row>
    <row r="358" spans="1:13" x14ac:dyDescent="0.25">
      <c r="A358" t="s">
        <v>334</v>
      </c>
      <c r="B358"/>
      <c r="C358"/>
      <c r="D358" s="1">
        <f t="shared" si="30"/>
        <v>310</v>
      </c>
      <c r="E358" t="s">
        <v>823</v>
      </c>
      <c r="F358" t="s">
        <v>824</v>
      </c>
    </row>
    <row r="359" spans="1:13" x14ac:dyDescent="0.25">
      <c r="A359" t="s">
        <v>334</v>
      </c>
      <c r="B359"/>
      <c r="C359"/>
      <c r="D359" s="1">
        <f t="shared" si="30"/>
        <v>311</v>
      </c>
      <c r="E359" t="s">
        <v>827</v>
      </c>
      <c r="F359" t="s">
        <v>828</v>
      </c>
      <c r="G359" s="3">
        <v>0.48</v>
      </c>
    </row>
    <row r="360" spans="1:13" x14ac:dyDescent="0.25">
      <c r="A360" t="s">
        <v>334</v>
      </c>
      <c r="B360"/>
      <c r="C360"/>
      <c r="D360" s="1">
        <f t="shared" si="30"/>
        <v>312</v>
      </c>
      <c r="E360" s="5" t="s">
        <v>829</v>
      </c>
      <c r="F360" t="s">
        <v>830</v>
      </c>
      <c r="G360" s="3">
        <v>9.11</v>
      </c>
      <c r="H360" s="6">
        <f>G360*L360</f>
        <v>772.48715987000003</v>
      </c>
      <c r="I360" s="6">
        <f>[162]Main!$I$5-[162]Main!$I$6</f>
        <v>138.756</v>
      </c>
      <c r="J360" s="6">
        <f>H360-I360</f>
        <v>633.73115987000006</v>
      </c>
      <c r="K360" s="9" t="s">
        <v>1618</v>
      </c>
      <c r="L360" s="6">
        <f>[162]Main!$I$3</f>
        <v>84.795517000000004</v>
      </c>
      <c r="M360" s="9">
        <v>45622</v>
      </c>
    </row>
    <row r="361" spans="1:13" x14ac:dyDescent="0.25">
      <c r="A361"/>
      <c r="B361"/>
      <c r="C361"/>
      <c r="D361" s="1">
        <f t="shared" si="30"/>
        <v>313</v>
      </c>
      <c r="E361" t="s">
        <v>831</v>
      </c>
      <c r="F361" t="s">
        <v>832</v>
      </c>
    </row>
    <row r="362" spans="1:13" x14ac:dyDescent="0.25">
      <c r="A362" t="s">
        <v>334</v>
      </c>
      <c r="B362"/>
      <c r="C362"/>
      <c r="D362" s="1">
        <f t="shared" si="30"/>
        <v>314</v>
      </c>
      <c r="E362" s="5" t="s">
        <v>833</v>
      </c>
      <c r="F362" t="s">
        <v>834</v>
      </c>
      <c r="G362" s="3">
        <v>1.73</v>
      </c>
    </row>
    <row r="363" spans="1:13" x14ac:dyDescent="0.25">
      <c r="A363" t="s">
        <v>334</v>
      </c>
      <c r="B363"/>
      <c r="C363"/>
      <c r="D363" s="1">
        <f t="shared" si="30"/>
        <v>315</v>
      </c>
      <c r="E363" t="s">
        <v>835</v>
      </c>
      <c r="F363" t="s">
        <v>836</v>
      </c>
    </row>
    <row r="364" spans="1:13" x14ac:dyDescent="0.25">
      <c r="A364" t="s">
        <v>334</v>
      </c>
      <c r="B364"/>
      <c r="C364"/>
      <c r="D364" s="1">
        <f t="shared" si="30"/>
        <v>316</v>
      </c>
      <c r="E364" t="s">
        <v>837</v>
      </c>
      <c r="F364" t="s">
        <v>838</v>
      </c>
    </row>
    <row r="365" spans="1:13" x14ac:dyDescent="0.25">
      <c r="A365"/>
      <c r="B365"/>
      <c r="C365"/>
      <c r="D365" s="1">
        <f t="shared" si="30"/>
        <v>317</v>
      </c>
      <c r="E365" t="s">
        <v>839</v>
      </c>
      <c r="F365" t="s">
        <v>840</v>
      </c>
    </row>
    <row r="366" spans="1:13" x14ac:dyDescent="0.25">
      <c r="A366"/>
      <c r="B366"/>
      <c r="C366"/>
      <c r="D366" s="1">
        <f t="shared" si="30"/>
        <v>318</v>
      </c>
      <c r="E366" t="s">
        <v>841</v>
      </c>
      <c r="F366" t="s">
        <v>842</v>
      </c>
    </row>
    <row r="367" spans="1:13" x14ac:dyDescent="0.25">
      <c r="A367" t="s">
        <v>334</v>
      </c>
      <c r="B367"/>
      <c r="C367"/>
      <c r="D367" s="1">
        <f t="shared" si="30"/>
        <v>319</v>
      </c>
      <c r="E367" t="s">
        <v>843</v>
      </c>
      <c r="F367" t="s">
        <v>844</v>
      </c>
    </row>
    <row r="368" spans="1:13" x14ac:dyDescent="0.25">
      <c r="A368" t="s">
        <v>334</v>
      </c>
      <c r="B368"/>
      <c r="C368"/>
      <c r="D368" s="1">
        <f t="shared" si="30"/>
        <v>320</v>
      </c>
      <c r="E368" t="s">
        <v>845</v>
      </c>
      <c r="F368" t="s">
        <v>846</v>
      </c>
    </row>
    <row r="369" spans="1:13" x14ac:dyDescent="0.25">
      <c r="A369" t="s">
        <v>334</v>
      </c>
      <c r="B369"/>
      <c r="C369"/>
      <c r="D369" s="1">
        <f t="shared" si="30"/>
        <v>321</v>
      </c>
      <c r="E369" s="5" t="s">
        <v>851</v>
      </c>
      <c r="F369" t="s">
        <v>852</v>
      </c>
      <c r="G369" s="3">
        <v>0.32</v>
      </c>
    </row>
    <row r="370" spans="1:13" x14ac:dyDescent="0.25">
      <c r="A370" t="s">
        <v>334</v>
      </c>
      <c r="B370"/>
      <c r="C370"/>
      <c r="D370" s="1">
        <f t="shared" si="30"/>
        <v>322</v>
      </c>
      <c r="E370" s="5" t="s">
        <v>853</v>
      </c>
      <c r="F370" t="s">
        <v>854</v>
      </c>
      <c r="G370" s="3">
        <v>14.25</v>
      </c>
    </row>
    <row r="371" spans="1:13" x14ac:dyDescent="0.25">
      <c r="A371"/>
      <c r="B371"/>
      <c r="C371"/>
      <c r="D371" s="1">
        <f t="shared" si="30"/>
        <v>323</v>
      </c>
      <c r="E371" t="s">
        <v>855</v>
      </c>
      <c r="F371" t="s">
        <v>856</v>
      </c>
    </row>
    <row r="372" spans="1:13" x14ac:dyDescent="0.25">
      <c r="A372" t="s">
        <v>334</v>
      </c>
      <c r="B372"/>
      <c r="C372"/>
      <c r="D372" s="1">
        <f t="shared" si="30"/>
        <v>324</v>
      </c>
      <c r="E372" s="5" t="s">
        <v>857</v>
      </c>
      <c r="F372" t="s">
        <v>858</v>
      </c>
      <c r="G372" s="3">
        <v>23.86</v>
      </c>
      <c r="H372" s="6">
        <f>+G372*L372</f>
        <v>725.98063251999997</v>
      </c>
      <c r="I372" s="6">
        <f>+[163]Main!$K$5-[163]Main!$K$6</f>
        <v>458.03099999999995</v>
      </c>
      <c r="J372" s="6">
        <f>+H372-I372</f>
        <v>267.94963252000002</v>
      </c>
      <c r="K372" s="3" t="s">
        <v>1279</v>
      </c>
      <c r="L372" s="6">
        <f>+[163]Main!$K$3</f>
        <v>30.426682</v>
      </c>
      <c r="M372" s="9">
        <v>45631</v>
      </c>
    </row>
    <row r="373" spans="1:13" x14ac:dyDescent="0.25">
      <c r="A373" t="s">
        <v>334</v>
      </c>
      <c r="B373"/>
      <c r="C373"/>
      <c r="D373" s="1">
        <f t="shared" si="30"/>
        <v>325</v>
      </c>
      <c r="E373" s="5" t="s">
        <v>859</v>
      </c>
      <c r="F373" t="s">
        <v>860</v>
      </c>
      <c r="G373" s="3">
        <v>1.74</v>
      </c>
      <c r="H373" s="6">
        <f>+G373*L373</f>
        <v>200.47132818</v>
      </c>
      <c r="I373" s="6">
        <f>+[164]Main!$J$5-[164]Main!$J$6</f>
        <v>316.5809999999999</v>
      </c>
      <c r="J373" s="6">
        <f>+H373-I373</f>
        <v>-116.1096718199999</v>
      </c>
      <c r="K373" s="3" t="s">
        <v>1279</v>
      </c>
      <c r="L373" s="6">
        <f>+[164]Main!$J$3</f>
        <v>115.213407</v>
      </c>
      <c r="M373" s="9">
        <v>45631</v>
      </c>
    </row>
    <row r="374" spans="1:13" x14ac:dyDescent="0.25">
      <c r="A374" t="s">
        <v>334</v>
      </c>
      <c r="B374"/>
      <c r="C374"/>
      <c r="D374" s="1">
        <f t="shared" si="30"/>
        <v>326</v>
      </c>
      <c r="E374" t="s">
        <v>861</v>
      </c>
      <c r="F374" t="s">
        <v>862</v>
      </c>
    </row>
    <row r="375" spans="1:13" x14ac:dyDescent="0.25">
      <c r="A375" t="s">
        <v>334</v>
      </c>
      <c r="B375"/>
      <c r="C375"/>
      <c r="D375" s="1">
        <f t="shared" si="30"/>
        <v>327</v>
      </c>
      <c r="E375" t="s">
        <v>863</v>
      </c>
      <c r="F375" t="s">
        <v>864</v>
      </c>
    </row>
    <row r="376" spans="1:13" x14ac:dyDescent="0.25">
      <c r="A376" t="s">
        <v>334</v>
      </c>
      <c r="B376"/>
      <c r="C376"/>
      <c r="D376" s="1">
        <f t="shared" si="30"/>
        <v>328</v>
      </c>
      <c r="E376" t="s">
        <v>865</v>
      </c>
      <c r="F376" t="s">
        <v>866</v>
      </c>
    </row>
    <row r="377" spans="1:13" x14ac:dyDescent="0.25">
      <c r="A377" t="s">
        <v>334</v>
      </c>
      <c r="B377"/>
      <c r="C377"/>
      <c r="D377" s="1">
        <f t="shared" si="30"/>
        <v>329</v>
      </c>
      <c r="E377" t="s">
        <v>867</v>
      </c>
      <c r="F377" t="s">
        <v>868</v>
      </c>
    </row>
    <row r="378" spans="1:13" x14ac:dyDescent="0.25">
      <c r="A378" t="s">
        <v>334</v>
      </c>
      <c r="B378"/>
      <c r="C378"/>
      <c r="D378" s="1">
        <f>+D243+1</f>
        <v>226</v>
      </c>
      <c r="E378" t="s">
        <v>873</v>
      </c>
      <c r="F378" t="s">
        <v>874</v>
      </c>
      <c r="G378" s="7">
        <v>2.02</v>
      </c>
    </row>
    <row r="379" spans="1:13" x14ac:dyDescent="0.25">
      <c r="A379" t="s">
        <v>334</v>
      </c>
      <c r="B379"/>
      <c r="C379"/>
      <c r="D379" s="1">
        <f t="shared" si="30"/>
        <v>227</v>
      </c>
      <c r="E379" t="s">
        <v>875</v>
      </c>
      <c r="F379" t="s">
        <v>876</v>
      </c>
      <c r="G379" s="7">
        <v>2</v>
      </c>
    </row>
    <row r="380" spans="1:13" x14ac:dyDescent="0.25">
      <c r="A380"/>
      <c r="B380"/>
      <c r="C380"/>
      <c r="D380" s="1">
        <f t="shared" si="30"/>
        <v>228</v>
      </c>
      <c r="E380" t="s">
        <v>1822</v>
      </c>
      <c r="F380" t="s">
        <v>1823</v>
      </c>
      <c r="G380" s="7"/>
    </row>
    <row r="381" spans="1:13" x14ac:dyDescent="0.25">
      <c r="A381" t="s">
        <v>334</v>
      </c>
      <c r="B381"/>
      <c r="C381"/>
      <c r="D381" s="1">
        <f>+D242+1</f>
        <v>225</v>
      </c>
      <c r="E381" t="s">
        <v>877</v>
      </c>
      <c r="F381" t="s">
        <v>878</v>
      </c>
      <c r="G381" s="7">
        <v>0.94</v>
      </c>
    </row>
    <row r="382" spans="1:13" x14ac:dyDescent="0.25">
      <c r="A382" t="s">
        <v>334</v>
      </c>
      <c r="B382"/>
      <c r="C382"/>
      <c r="D382" s="1">
        <f t="shared" si="30"/>
        <v>226</v>
      </c>
      <c r="E382" t="s">
        <v>879</v>
      </c>
      <c r="F382" t="s">
        <v>880</v>
      </c>
      <c r="G382" s="7">
        <v>2.36</v>
      </c>
    </row>
    <row r="383" spans="1:13" x14ac:dyDescent="0.25">
      <c r="A383" t="s">
        <v>334</v>
      </c>
      <c r="B383"/>
      <c r="C383"/>
      <c r="D383" s="1">
        <f t="shared" si="30"/>
        <v>227</v>
      </c>
      <c r="E383" t="s">
        <v>881</v>
      </c>
      <c r="F383" t="s">
        <v>882</v>
      </c>
      <c r="G383" s="7"/>
    </row>
    <row r="384" spans="1:13" x14ac:dyDescent="0.25">
      <c r="A384" t="s">
        <v>334</v>
      </c>
      <c r="B384"/>
      <c r="C384"/>
      <c r="D384" s="1">
        <f t="shared" si="30"/>
        <v>228</v>
      </c>
      <c r="E384" t="s">
        <v>883</v>
      </c>
      <c r="F384" t="s">
        <v>884</v>
      </c>
      <c r="G384" s="7">
        <v>7.3</v>
      </c>
    </row>
    <row r="385" spans="1:13" x14ac:dyDescent="0.25">
      <c r="A385" t="s">
        <v>334</v>
      </c>
      <c r="B385"/>
      <c r="C385"/>
      <c r="D385" s="1">
        <f t="shared" si="30"/>
        <v>229</v>
      </c>
      <c r="E385" t="s">
        <v>887</v>
      </c>
      <c r="F385" t="s">
        <v>888</v>
      </c>
      <c r="G385" s="7">
        <v>14.5</v>
      </c>
    </row>
    <row r="386" spans="1:13" x14ac:dyDescent="0.25">
      <c r="A386" t="s">
        <v>334</v>
      </c>
      <c r="B386"/>
      <c r="C386"/>
      <c r="D386" s="1">
        <f t="shared" si="30"/>
        <v>230</v>
      </c>
      <c r="E386" t="s">
        <v>889</v>
      </c>
      <c r="F386" t="s">
        <v>890</v>
      </c>
      <c r="G386" s="7">
        <v>16.95</v>
      </c>
    </row>
    <row r="387" spans="1:13" x14ac:dyDescent="0.25">
      <c r="A387" t="s">
        <v>334</v>
      </c>
      <c r="B387"/>
      <c r="C387"/>
      <c r="D387" s="1">
        <f t="shared" si="30"/>
        <v>231</v>
      </c>
      <c r="E387" t="s">
        <v>892</v>
      </c>
      <c r="F387" t="s">
        <v>891</v>
      </c>
      <c r="G387" s="7">
        <v>1.03</v>
      </c>
    </row>
    <row r="388" spans="1:13" x14ac:dyDescent="0.25">
      <c r="A388" t="s">
        <v>334</v>
      </c>
      <c r="B388"/>
      <c r="C388"/>
      <c r="D388" s="1">
        <f t="shared" si="30"/>
        <v>232</v>
      </c>
      <c r="E388" t="s">
        <v>893</v>
      </c>
      <c r="F388" t="s">
        <v>894</v>
      </c>
      <c r="G388" s="7">
        <v>2.4</v>
      </c>
    </row>
    <row r="389" spans="1:13" x14ac:dyDescent="0.25">
      <c r="A389" t="s">
        <v>334</v>
      </c>
      <c r="B389"/>
      <c r="C389"/>
      <c r="D389" s="1">
        <f t="shared" si="30"/>
        <v>233</v>
      </c>
      <c r="E389" t="s">
        <v>895</v>
      </c>
      <c r="F389" t="s">
        <v>896</v>
      </c>
      <c r="G389" s="7">
        <v>6.26</v>
      </c>
    </row>
    <row r="390" spans="1:13" x14ac:dyDescent="0.25">
      <c r="A390" t="s">
        <v>334</v>
      </c>
      <c r="B390"/>
      <c r="C390"/>
      <c r="D390" s="1">
        <f t="shared" si="30"/>
        <v>234</v>
      </c>
      <c r="E390" t="s">
        <v>897</v>
      </c>
      <c r="F390" t="s">
        <v>898</v>
      </c>
      <c r="G390" s="7">
        <v>17.100000000000001</v>
      </c>
    </row>
    <row r="391" spans="1:13" x14ac:dyDescent="0.25">
      <c r="A391" t="s">
        <v>334</v>
      </c>
      <c r="B391"/>
      <c r="C391"/>
      <c r="D391" s="1">
        <f t="shared" si="30"/>
        <v>235</v>
      </c>
      <c r="E391" t="s">
        <v>899</v>
      </c>
      <c r="F391" t="s">
        <v>900</v>
      </c>
      <c r="G391" s="3">
        <v>0.65</v>
      </c>
    </row>
    <row r="392" spans="1:13" x14ac:dyDescent="0.25">
      <c r="A392" t="s">
        <v>334</v>
      </c>
      <c r="B392"/>
      <c r="C392"/>
      <c r="D392" s="1">
        <f t="shared" si="30"/>
        <v>236</v>
      </c>
      <c r="E392" t="s">
        <v>901</v>
      </c>
      <c r="F392" t="s">
        <v>902</v>
      </c>
    </row>
    <row r="393" spans="1:13" x14ac:dyDescent="0.25">
      <c r="A393" t="s">
        <v>334</v>
      </c>
      <c r="B393"/>
      <c r="C393"/>
      <c r="D393" s="1">
        <f t="shared" si="30"/>
        <v>237</v>
      </c>
      <c r="E393" t="s">
        <v>903</v>
      </c>
      <c r="F393" t="s">
        <v>904</v>
      </c>
    </row>
    <row r="394" spans="1:13" x14ac:dyDescent="0.25">
      <c r="A394" t="s">
        <v>334</v>
      </c>
      <c r="B394"/>
      <c r="C394"/>
      <c r="D394" s="1">
        <f t="shared" si="30"/>
        <v>238</v>
      </c>
      <c r="E394" t="s">
        <v>905</v>
      </c>
      <c r="F394" t="s">
        <v>906</v>
      </c>
    </row>
    <row r="395" spans="1:13" x14ac:dyDescent="0.25">
      <c r="A395" t="s">
        <v>334</v>
      </c>
      <c r="B395"/>
      <c r="C395"/>
      <c r="D395" s="1">
        <f t="shared" si="30"/>
        <v>239</v>
      </c>
      <c r="E395" t="s">
        <v>907</v>
      </c>
      <c r="F395" t="s">
        <v>908</v>
      </c>
    </row>
    <row r="396" spans="1:13" x14ac:dyDescent="0.25">
      <c r="A396" t="s">
        <v>334</v>
      </c>
      <c r="B396"/>
      <c r="C396"/>
      <c r="D396" s="1">
        <f t="shared" ref="D396:D478" si="31">+D395+1</f>
        <v>240</v>
      </c>
      <c r="E396" t="s">
        <v>909</v>
      </c>
      <c r="F396" t="s">
        <v>910</v>
      </c>
    </row>
    <row r="397" spans="1:13" x14ac:dyDescent="0.25">
      <c r="A397"/>
      <c r="B397"/>
      <c r="C397"/>
      <c r="D397" s="1">
        <f t="shared" si="31"/>
        <v>241</v>
      </c>
      <c r="E397" s="5" t="s">
        <v>911</v>
      </c>
      <c r="F397" t="s">
        <v>912</v>
      </c>
      <c r="G397" s="7">
        <v>3.5</v>
      </c>
      <c r="H397" s="6">
        <f>+G397*L397</f>
        <v>663.22089749999998</v>
      </c>
      <c r="I397" s="6">
        <f>+[165]Main!$L$5-[165]Main!$L$6</f>
        <v>130.75800000000001</v>
      </c>
      <c r="J397" s="6">
        <f>+H397-I397</f>
        <v>532.46289749999994</v>
      </c>
      <c r="K397" s="3" t="s">
        <v>1279</v>
      </c>
      <c r="L397" s="6">
        <f>+[165]Main!$L$3</f>
        <v>189.49168499999999</v>
      </c>
      <c r="M397" s="9">
        <v>45712</v>
      </c>
    </row>
    <row r="398" spans="1:13" x14ac:dyDescent="0.25">
      <c r="A398"/>
      <c r="B398"/>
      <c r="C398"/>
      <c r="D398" s="1">
        <f t="shared" si="31"/>
        <v>242</v>
      </c>
      <c r="E398" t="s">
        <v>913</v>
      </c>
      <c r="F398" t="s">
        <v>914</v>
      </c>
    </row>
    <row r="399" spans="1:13" x14ac:dyDescent="0.25">
      <c r="A399"/>
      <c r="B399"/>
      <c r="C399"/>
      <c r="D399" s="1">
        <f t="shared" si="31"/>
        <v>243</v>
      </c>
      <c r="E399" t="s">
        <v>915</v>
      </c>
      <c r="F399" t="s">
        <v>916</v>
      </c>
    </row>
    <row r="400" spans="1:13" x14ac:dyDescent="0.25">
      <c r="A400"/>
      <c r="B400"/>
      <c r="C400"/>
      <c r="D400" s="1">
        <f t="shared" si="31"/>
        <v>244</v>
      </c>
      <c r="E400" t="s">
        <v>917</v>
      </c>
      <c r="F400" t="s">
        <v>918</v>
      </c>
    </row>
    <row r="401" spans="1:7" x14ac:dyDescent="0.25">
      <c r="A401"/>
      <c r="B401"/>
      <c r="C401"/>
      <c r="D401" s="1">
        <f t="shared" si="31"/>
        <v>245</v>
      </c>
      <c r="E401" t="s">
        <v>919</v>
      </c>
      <c r="F401" t="s">
        <v>920</v>
      </c>
    </row>
    <row r="402" spans="1:7" x14ac:dyDescent="0.25">
      <c r="A402"/>
      <c r="B402"/>
      <c r="C402"/>
      <c r="D402" s="1">
        <f t="shared" si="31"/>
        <v>246</v>
      </c>
      <c r="E402" t="s">
        <v>921</v>
      </c>
      <c r="F402" t="s">
        <v>922</v>
      </c>
    </row>
    <row r="403" spans="1:7" x14ac:dyDescent="0.25">
      <c r="A403"/>
      <c r="B403"/>
      <c r="C403"/>
      <c r="D403" s="1">
        <f t="shared" si="31"/>
        <v>247</v>
      </c>
      <c r="E403" s="5" t="s">
        <v>1295</v>
      </c>
      <c r="F403" t="s">
        <v>1296</v>
      </c>
      <c r="G403" s="7">
        <v>1</v>
      </c>
    </row>
    <row r="404" spans="1:7" x14ac:dyDescent="0.25">
      <c r="A404"/>
      <c r="B404"/>
      <c r="C404"/>
      <c r="D404" s="1">
        <f t="shared" si="31"/>
        <v>248</v>
      </c>
      <c r="E404" t="s">
        <v>923</v>
      </c>
      <c r="F404" t="s">
        <v>924</v>
      </c>
    </row>
    <row r="405" spans="1:7" x14ac:dyDescent="0.25">
      <c r="A405"/>
      <c r="B405"/>
      <c r="C405"/>
      <c r="D405" s="1">
        <f t="shared" si="31"/>
        <v>249</v>
      </c>
      <c r="E405" t="s">
        <v>925</v>
      </c>
      <c r="F405" t="s">
        <v>926</v>
      </c>
    </row>
    <row r="406" spans="1:7" x14ac:dyDescent="0.25">
      <c r="A406"/>
      <c r="B406"/>
      <c r="C406"/>
      <c r="D406" s="1">
        <f t="shared" si="31"/>
        <v>250</v>
      </c>
      <c r="E406" t="s">
        <v>927</v>
      </c>
      <c r="F406" t="s">
        <v>928</v>
      </c>
    </row>
    <row r="407" spans="1:7" x14ac:dyDescent="0.25">
      <c r="A407"/>
      <c r="B407"/>
      <c r="C407"/>
      <c r="D407" s="1">
        <f t="shared" si="31"/>
        <v>251</v>
      </c>
      <c r="E407" t="s">
        <v>929</v>
      </c>
      <c r="F407" t="s">
        <v>930</v>
      </c>
    </row>
    <row r="408" spans="1:7" x14ac:dyDescent="0.25">
      <c r="A408"/>
      <c r="B408"/>
      <c r="C408"/>
      <c r="D408" s="1">
        <f t="shared" si="31"/>
        <v>252</v>
      </c>
      <c r="E408" t="s">
        <v>931</v>
      </c>
      <c r="F408" t="s">
        <v>934</v>
      </c>
    </row>
    <row r="409" spans="1:7" x14ac:dyDescent="0.25">
      <c r="A409"/>
      <c r="B409"/>
      <c r="C409"/>
      <c r="D409" s="1">
        <f t="shared" si="31"/>
        <v>253</v>
      </c>
      <c r="E409" t="s">
        <v>932</v>
      </c>
      <c r="F409" t="s">
        <v>933</v>
      </c>
    </row>
    <row r="410" spans="1:7" x14ac:dyDescent="0.25">
      <c r="A410"/>
      <c r="B410"/>
      <c r="C410"/>
      <c r="D410" s="1">
        <f t="shared" si="31"/>
        <v>254</v>
      </c>
      <c r="E410" t="s">
        <v>937</v>
      </c>
      <c r="F410" t="s">
        <v>938</v>
      </c>
    </row>
    <row r="411" spans="1:7" ht="13" x14ac:dyDescent="0.3">
      <c r="A411"/>
      <c r="B411"/>
      <c r="C411"/>
      <c r="D411" s="1">
        <f t="shared" si="31"/>
        <v>255</v>
      </c>
      <c r="E411" s="25" t="s">
        <v>1352</v>
      </c>
      <c r="F411" t="s">
        <v>1353</v>
      </c>
      <c r="G411" s="3">
        <v>2.84</v>
      </c>
    </row>
    <row r="412" spans="1:7" x14ac:dyDescent="0.25">
      <c r="A412"/>
      <c r="B412"/>
      <c r="C412"/>
      <c r="D412" s="1">
        <f t="shared" si="31"/>
        <v>256</v>
      </c>
      <c r="E412" t="s">
        <v>941</v>
      </c>
      <c r="F412" t="s">
        <v>942</v>
      </c>
    </row>
    <row r="413" spans="1:7" x14ac:dyDescent="0.25">
      <c r="A413"/>
      <c r="B413"/>
      <c r="C413"/>
      <c r="D413" s="1">
        <f t="shared" si="31"/>
        <v>257</v>
      </c>
      <c r="E413" t="s">
        <v>943</v>
      </c>
      <c r="F413" t="s">
        <v>944</v>
      </c>
    </row>
    <row r="414" spans="1:7" x14ac:dyDescent="0.25">
      <c r="A414"/>
      <c r="B414"/>
      <c r="C414"/>
      <c r="D414" s="1">
        <f t="shared" si="31"/>
        <v>258</v>
      </c>
      <c r="E414" t="s">
        <v>945</v>
      </c>
      <c r="F414" t="s">
        <v>946</v>
      </c>
    </row>
    <row r="415" spans="1:7" x14ac:dyDescent="0.25">
      <c r="A415"/>
      <c r="B415"/>
      <c r="C415"/>
      <c r="D415" s="1">
        <f t="shared" si="31"/>
        <v>259</v>
      </c>
      <c r="E415" t="s">
        <v>947</v>
      </c>
      <c r="F415" t="s">
        <v>948</v>
      </c>
    </row>
    <row r="416" spans="1:7" x14ac:dyDescent="0.25">
      <c r="A416"/>
      <c r="B416"/>
      <c r="C416"/>
      <c r="D416" s="1">
        <f t="shared" si="31"/>
        <v>260</v>
      </c>
      <c r="E416" t="s">
        <v>949</v>
      </c>
      <c r="F416" t="s">
        <v>950</v>
      </c>
    </row>
    <row r="417" spans="1:13" x14ac:dyDescent="0.25">
      <c r="A417"/>
      <c r="B417"/>
      <c r="C417"/>
      <c r="D417" s="1">
        <f t="shared" si="31"/>
        <v>261</v>
      </c>
      <c r="E417" t="s">
        <v>953</v>
      </c>
      <c r="F417" t="s">
        <v>954</v>
      </c>
    </row>
    <row r="418" spans="1:13" x14ac:dyDescent="0.25">
      <c r="A418"/>
      <c r="B418"/>
      <c r="C418"/>
      <c r="D418" s="1">
        <f t="shared" si="31"/>
        <v>262</v>
      </c>
      <c r="E418" t="s">
        <v>955</v>
      </c>
      <c r="F418" t="s">
        <v>956</v>
      </c>
      <c r="G418" s="7">
        <v>2.19</v>
      </c>
    </row>
    <row r="419" spans="1:13" x14ac:dyDescent="0.25">
      <c r="A419"/>
      <c r="B419"/>
      <c r="C419"/>
      <c r="D419" s="1">
        <f t="shared" si="31"/>
        <v>263</v>
      </c>
      <c r="E419" t="s">
        <v>957</v>
      </c>
      <c r="F419" t="s">
        <v>958</v>
      </c>
    </row>
    <row r="420" spans="1:13" x14ac:dyDescent="0.25">
      <c r="A420"/>
      <c r="B420"/>
      <c r="C420"/>
      <c r="D420" s="1">
        <f t="shared" si="31"/>
        <v>264</v>
      </c>
      <c r="E420" t="s">
        <v>959</v>
      </c>
      <c r="F420" t="s">
        <v>960</v>
      </c>
    </row>
    <row r="421" spans="1:13" x14ac:dyDescent="0.25">
      <c r="A421"/>
      <c r="B421"/>
      <c r="C421"/>
      <c r="D421" s="1">
        <f t="shared" si="31"/>
        <v>265</v>
      </c>
      <c r="E421" t="s">
        <v>961</v>
      </c>
      <c r="F421" t="s">
        <v>962</v>
      </c>
    </row>
    <row r="422" spans="1:13" x14ac:dyDescent="0.25">
      <c r="A422"/>
      <c r="B422"/>
      <c r="C422"/>
      <c r="D422" s="1">
        <f t="shared" si="31"/>
        <v>266</v>
      </c>
      <c r="E422" t="s">
        <v>963</v>
      </c>
      <c r="F422" t="s">
        <v>964</v>
      </c>
    </row>
    <row r="423" spans="1:13" x14ac:dyDescent="0.25">
      <c r="A423"/>
      <c r="B423"/>
      <c r="C423"/>
      <c r="D423" s="1">
        <f t="shared" si="31"/>
        <v>267</v>
      </c>
      <c r="E423" t="s">
        <v>965</v>
      </c>
      <c r="F423" t="s">
        <v>966</v>
      </c>
    </row>
    <row r="424" spans="1:13" x14ac:dyDescent="0.25">
      <c r="A424"/>
      <c r="B424"/>
      <c r="C424"/>
      <c r="D424" s="1">
        <f t="shared" si="31"/>
        <v>268</v>
      </c>
      <c r="E424" t="s">
        <v>967</v>
      </c>
      <c r="F424" t="s">
        <v>968</v>
      </c>
    </row>
    <row r="425" spans="1:13" x14ac:dyDescent="0.25">
      <c r="A425"/>
      <c r="B425"/>
      <c r="C425"/>
      <c r="D425" s="1">
        <f t="shared" si="31"/>
        <v>269</v>
      </c>
      <c r="E425" t="s">
        <v>969</v>
      </c>
      <c r="F425" t="s">
        <v>970</v>
      </c>
    </row>
    <row r="426" spans="1:13" x14ac:dyDescent="0.25">
      <c r="A426"/>
      <c r="B426"/>
      <c r="C426"/>
      <c r="D426" s="1">
        <f t="shared" si="31"/>
        <v>270</v>
      </c>
      <c r="E426" t="s">
        <v>971</v>
      </c>
      <c r="F426" t="s">
        <v>972</v>
      </c>
    </row>
    <row r="427" spans="1:13" x14ac:dyDescent="0.25">
      <c r="A427"/>
      <c r="B427"/>
      <c r="C427"/>
      <c r="D427" s="1">
        <f t="shared" si="31"/>
        <v>271</v>
      </c>
      <c r="E427" t="s">
        <v>973</v>
      </c>
      <c r="F427" t="s">
        <v>974</v>
      </c>
    </row>
    <row r="428" spans="1:13" x14ac:dyDescent="0.25">
      <c r="D428" s="1">
        <f t="shared" si="31"/>
        <v>272</v>
      </c>
      <c r="E428" s="1" t="s">
        <v>1096</v>
      </c>
      <c r="F428" s="1" t="s">
        <v>1097</v>
      </c>
      <c r="G428" s="3">
        <v>8.11</v>
      </c>
      <c r="H428" s="3">
        <v>123</v>
      </c>
    </row>
    <row r="429" spans="1:13" x14ac:dyDescent="0.25">
      <c r="D429" s="1">
        <f>+D471+1</f>
        <v>312</v>
      </c>
      <c r="E429" s="5" t="s">
        <v>1792</v>
      </c>
      <c r="F429" s="1" t="s">
        <v>1793</v>
      </c>
      <c r="G429" s="7">
        <v>50.86</v>
      </c>
      <c r="H429" s="6">
        <f>+G429*L429</f>
        <v>750.32176254000001</v>
      </c>
      <c r="I429" s="6">
        <f>+[166]Main!$M$5-[166]Main!$M$6</f>
        <v>159.095</v>
      </c>
      <c r="J429" s="6">
        <f>+H429-I429</f>
        <v>591.22676253999998</v>
      </c>
      <c r="K429" s="3" t="s">
        <v>1279</v>
      </c>
      <c r="L429" s="6">
        <f>+[166]Main!$M$3</f>
        <v>14.752689</v>
      </c>
      <c r="M429" s="9">
        <v>45687</v>
      </c>
    </row>
    <row r="430" spans="1:13" x14ac:dyDescent="0.25">
      <c r="D430" s="1">
        <f>+D428+1</f>
        <v>273</v>
      </c>
      <c r="E430" s="5" t="s">
        <v>1610</v>
      </c>
      <c r="F430" t="s">
        <v>1611</v>
      </c>
      <c r="G430" s="7">
        <v>42.9</v>
      </c>
      <c r="H430" s="6">
        <f t="shared" ref="H430:H444" si="32">+G430*L430</f>
        <v>518.07807479999997</v>
      </c>
      <c r="I430" s="6">
        <f>+[167]Main!$K$5-[167]Main!$K$6</f>
        <v>89.078000000000003</v>
      </c>
      <c r="J430" s="6">
        <f t="shared" ref="J430:J444" si="33">+H430-I430</f>
        <v>429.00007479999999</v>
      </c>
      <c r="K430" s="3" t="s">
        <v>1279</v>
      </c>
      <c r="L430" s="6">
        <f>+[167]Main!$K$3</f>
        <v>12.076411999999999</v>
      </c>
      <c r="M430" s="9">
        <v>45608</v>
      </c>
    </row>
    <row r="431" spans="1:13" x14ac:dyDescent="0.25">
      <c r="D431" s="1">
        <f t="shared" si="31"/>
        <v>274</v>
      </c>
      <c r="E431" s="40" t="s">
        <v>1129</v>
      </c>
      <c r="F431" s="1" t="s">
        <v>1130</v>
      </c>
      <c r="G431" s="7">
        <v>10.54</v>
      </c>
      <c r="H431" s="6">
        <f t="shared" si="32"/>
        <v>295.11496187999995</v>
      </c>
      <c r="I431" s="6">
        <f>+[168]Main!$K$5-[168]Main!$K$6</f>
        <v>15.414999999999999</v>
      </c>
      <c r="J431" s="6">
        <f t="shared" si="33"/>
        <v>279.69996187999993</v>
      </c>
      <c r="K431" s="3" t="s">
        <v>1073</v>
      </c>
      <c r="L431" s="6">
        <f>+[168]Main!$K$3</f>
        <v>27.999521999999999</v>
      </c>
      <c r="M431" s="9">
        <v>45474</v>
      </c>
    </row>
    <row r="432" spans="1:13" x14ac:dyDescent="0.25">
      <c r="D432" s="1">
        <f t="shared" si="31"/>
        <v>275</v>
      </c>
      <c r="E432" s="5" t="s">
        <v>1620</v>
      </c>
      <c r="F432" s="1" t="s">
        <v>1619</v>
      </c>
      <c r="G432" s="3">
        <v>2.62</v>
      </c>
      <c r="H432" s="6">
        <f>+G432*L432</f>
        <v>164.43598150000003</v>
      </c>
      <c r="I432" s="6">
        <f>+[169]Main!$K$5-[169]Main!$K$6</f>
        <v>-77.494</v>
      </c>
      <c r="J432" s="6">
        <f>+H432-I432</f>
        <v>241.92998150000003</v>
      </c>
      <c r="K432" s="3" t="s">
        <v>1279</v>
      </c>
      <c r="L432" s="6">
        <f>+[169]Main!$K$3</f>
        <v>62.761825000000002</v>
      </c>
      <c r="M432" s="9">
        <v>45628</v>
      </c>
    </row>
    <row r="433" spans="2:13" x14ac:dyDescent="0.25">
      <c r="B433" s="1">
        <v>6</v>
      </c>
      <c r="C433" s="1">
        <v>2</v>
      </c>
      <c r="D433" s="1">
        <f t="shared" si="31"/>
        <v>276</v>
      </c>
      <c r="E433" s="5" t="s">
        <v>1638</v>
      </c>
      <c r="F433" t="s">
        <v>1637</v>
      </c>
      <c r="G433" s="3">
        <v>31.98</v>
      </c>
      <c r="H433" s="6">
        <f>+G433*L433</f>
        <v>195.84830226</v>
      </c>
      <c r="I433" s="6">
        <f>+[170]Main!$L$5-[170]Main!$L$6</f>
        <v>40.720092000000001</v>
      </c>
      <c r="J433" s="6">
        <f>+H433-I433</f>
        <v>155.12821026</v>
      </c>
      <c r="K433" s="3" t="s">
        <v>1073</v>
      </c>
      <c r="L433" s="6">
        <f>+[170]Main!$L$3</f>
        <v>6.1240869999999994</v>
      </c>
      <c r="M433" s="9">
        <v>45630</v>
      </c>
    </row>
    <row r="434" spans="2:13" x14ac:dyDescent="0.25">
      <c r="D434" s="1">
        <f t="shared" si="31"/>
        <v>277</v>
      </c>
      <c r="E434" s="5" t="s">
        <v>1626</v>
      </c>
      <c r="F434" t="s">
        <v>1625</v>
      </c>
      <c r="G434" s="7">
        <v>5</v>
      </c>
      <c r="H434" s="6">
        <f>+G434*L434</f>
        <v>289.71532999999999</v>
      </c>
      <c r="I434" s="6">
        <f>+[171]Main!$M$5-[171]Main!$M$6</f>
        <v>117.82499999999999</v>
      </c>
      <c r="J434" s="6">
        <f>+H434-I434</f>
        <v>171.89033000000001</v>
      </c>
      <c r="K434" s="3" t="s">
        <v>1279</v>
      </c>
      <c r="L434" s="6">
        <f>+[171]Main!$M$3</f>
        <v>57.943066000000002</v>
      </c>
      <c r="M434" s="9">
        <v>45629</v>
      </c>
    </row>
    <row r="435" spans="2:13" x14ac:dyDescent="0.25">
      <c r="D435" s="1">
        <f t="shared" si="31"/>
        <v>278</v>
      </c>
      <c r="E435" s="5" t="s">
        <v>1643</v>
      </c>
      <c r="F435" t="s">
        <v>1644</v>
      </c>
      <c r="G435" s="7">
        <v>4.5</v>
      </c>
      <c r="H435" s="6">
        <f>+G435*L435</f>
        <v>146.13991650000003</v>
      </c>
      <c r="I435" s="6">
        <f>+[172]Main!$M$5-[172]Main!$M$6</f>
        <v>1.9079999999999977</v>
      </c>
      <c r="J435" s="6">
        <f>+H435-I435</f>
        <v>144.23191650000004</v>
      </c>
      <c r="K435" s="3" t="s">
        <v>1279</v>
      </c>
      <c r="L435" s="6">
        <f>+[172]Main!$M$3</f>
        <v>32.475537000000003</v>
      </c>
      <c r="M435" s="9">
        <v>45630</v>
      </c>
    </row>
    <row r="436" spans="2:13" x14ac:dyDescent="0.25">
      <c r="D436" s="1">
        <f>+D467+1</f>
        <v>308</v>
      </c>
      <c r="E436" s="5" t="s">
        <v>1671</v>
      </c>
      <c r="F436" t="s">
        <v>1672</v>
      </c>
      <c r="G436" s="3">
        <v>6.41</v>
      </c>
      <c r="H436" s="6">
        <f>+G436*L436</f>
        <v>226.21900856999997</v>
      </c>
      <c r="I436" s="6">
        <f>+[173]Main!$K$5-[173]Main!$K$6</f>
        <v>98.310918000000001</v>
      </c>
      <c r="J436" s="6">
        <f>+H436-I436</f>
        <v>127.90809056999997</v>
      </c>
      <c r="K436" s="3" t="s">
        <v>1279</v>
      </c>
      <c r="L436" s="6">
        <f>+[173]Main!$K$3</f>
        <v>35.291576999999997</v>
      </c>
      <c r="M436" s="9">
        <v>45660</v>
      </c>
    </row>
    <row r="437" spans="2:13" x14ac:dyDescent="0.25">
      <c r="D437" s="1">
        <f>+D435+1</f>
        <v>279</v>
      </c>
      <c r="E437" s="5" t="s">
        <v>1614</v>
      </c>
      <c r="F437" t="s">
        <v>1615</v>
      </c>
      <c r="G437" s="3">
        <v>1.53</v>
      </c>
      <c r="H437" s="6">
        <f t="shared" si="32"/>
        <v>192.47591862000002</v>
      </c>
      <c r="I437" s="6">
        <f>+[174]Main!$L$5-[174]Main!$L$6</f>
        <v>74.8</v>
      </c>
      <c r="J437" s="6">
        <f t="shared" si="33"/>
        <v>117.67591862000002</v>
      </c>
      <c r="K437" s="3" t="s">
        <v>1279</v>
      </c>
      <c r="L437" s="6">
        <f>+[174]Main!$L$3</f>
        <v>125.801254</v>
      </c>
      <c r="M437" s="9">
        <v>45608</v>
      </c>
    </row>
    <row r="438" spans="2:13" x14ac:dyDescent="0.25">
      <c r="D438" s="1">
        <f t="shared" si="31"/>
        <v>280</v>
      </c>
      <c r="E438" s="5" t="s">
        <v>1098</v>
      </c>
      <c r="F438" t="s">
        <v>1099</v>
      </c>
      <c r="G438" s="7">
        <v>5</v>
      </c>
      <c r="H438" s="6">
        <f t="shared" si="32"/>
        <v>216.57198499999998</v>
      </c>
      <c r="I438" s="6">
        <f>+[175]Main!$J$5-[175]Main!$J$6</f>
        <v>104.35299999999999</v>
      </c>
      <c r="J438" s="6">
        <f t="shared" si="33"/>
        <v>112.21898499999999</v>
      </c>
      <c r="K438" s="3" t="s">
        <v>1073</v>
      </c>
      <c r="L438" s="6">
        <f>+[175]Main!$J$3</f>
        <v>43.314397</v>
      </c>
      <c r="M438" s="9">
        <v>45525</v>
      </c>
    </row>
    <row r="439" spans="2:13" x14ac:dyDescent="0.25">
      <c r="D439" s="1">
        <f t="shared" si="31"/>
        <v>281</v>
      </c>
      <c r="E439" s="5" t="s">
        <v>1162</v>
      </c>
      <c r="F439" t="s">
        <v>1163</v>
      </c>
      <c r="G439" s="7">
        <v>3.6</v>
      </c>
      <c r="H439" s="6">
        <f t="shared" si="32"/>
        <v>132.55131599999999</v>
      </c>
      <c r="I439" s="6">
        <f>+[176]Main!$L$5-[176]Main!$L$6</f>
        <v>33.507724000000003</v>
      </c>
      <c r="J439" s="6">
        <f t="shared" si="33"/>
        <v>99.04359199999999</v>
      </c>
      <c r="K439" s="3" t="s">
        <v>1073</v>
      </c>
      <c r="L439" s="6">
        <f>+[176]Main!$L$3</f>
        <v>36.819809999999997</v>
      </c>
      <c r="M439" s="9">
        <v>45567</v>
      </c>
    </row>
    <row r="440" spans="2:13" x14ac:dyDescent="0.25">
      <c r="D440" s="1">
        <f t="shared" si="31"/>
        <v>282</v>
      </c>
      <c r="E440" s="5" t="s">
        <v>1612</v>
      </c>
      <c r="F440" t="s">
        <v>1613</v>
      </c>
      <c r="G440" s="7">
        <v>13.15</v>
      </c>
      <c r="H440" s="6">
        <f t="shared" si="32"/>
        <v>319.40466320000002</v>
      </c>
      <c r="I440" s="6">
        <f>+[177]Main!$K$5-[177]Main!$K$6</f>
        <v>199.59700000000001</v>
      </c>
      <c r="J440" s="6">
        <f t="shared" si="33"/>
        <v>119.80766320000001</v>
      </c>
      <c r="K440" s="3" t="s">
        <v>1279</v>
      </c>
      <c r="L440" s="6">
        <f>+[177]Main!$K$3</f>
        <v>24.289328000000001</v>
      </c>
      <c r="M440" s="9">
        <v>45608</v>
      </c>
    </row>
    <row r="441" spans="2:13" x14ac:dyDescent="0.25">
      <c r="D441" s="1">
        <f t="shared" si="31"/>
        <v>283</v>
      </c>
      <c r="E441" s="5" t="s">
        <v>1628</v>
      </c>
      <c r="F441" t="s">
        <v>1627</v>
      </c>
      <c r="G441" s="3">
        <v>2.83</v>
      </c>
      <c r="H441" s="6">
        <f>+G441*L441</f>
        <v>108.43964851000001</v>
      </c>
      <c r="I441" s="6">
        <f>+[178]Main!$K$5-[178]Main!$K$6</f>
        <v>62.823</v>
      </c>
      <c r="J441" s="6">
        <f>+H441-I441</f>
        <v>45.616648510000012</v>
      </c>
      <c r="K441" s="3" t="s">
        <v>1279</v>
      </c>
      <c r="L441" s="6">
        <f>+[178]Main!$K$3</f>
        <v>38.317897000000002</v>
      </c>
      <c r="M441" s="9">
        <v>45629</v>
      </c>
    </row>
    <row r="442" spans="2:13" x14ac:dyDescent="0.25">
      <c r="D442" s="1">
        <f>+D459+1</f>
        <v>300</v>
      </c>
      <c r="E442" s="5" t="s">
        <v>1645</v>
      </c>
      <c r="F442" t="s">
        <v>1646</v>
      </c>
      <c r="G442" s="7">
        <v>2.69</v>
      </c>
      <c r="H442" s="6">
        <f>+G442*L442</f>
        <v>89.956825309999985</v>
      </c>
      <c r="I442" s="6">
        <f>+[179]Main!$K$5-[179]Main!$K$6</f>
        <v>5.4758170000000002</v>
      </c>
      <c r="J442" s="6">
        <f>+H442-I442</f>
        <v>84.481008309999979</v>
      </c>
      <c r="K442" s="3" t="s">
        <v>1279</v>
      </c>
      <c r="L442" s="6">
        <f>+[179]Main!$K$3</f>
        <v>33.441198999999997</v>
      </c>
      <c r="M442" s="9">
        <v>45630</v>
      </c>
    </row>
    <row r="443" spans="2:13" x14ac:dyDescent="0.25">
      <c r="D443" s="1">
        <f>+D465+1</f>
        <v>306</v>
      </c>
      <c r="E443" s="5" t="s">
        <v>1666</v>
      </c>
      <c r="F443" t="s">
        <v>1665</v>
      </c>
      <c r="G443" s="3">
        <v>1.02</v>
      </c>
      <c r="H443" s="6">
        <f>+G443*L443</f>
        <v>103.2980316</v>
      </c>
      <c r="I443" s="6">
        <f>+[180]Main!$L$5-[180]Main!$L$6</f>
        <v>59.1</v>
      </c>
      <c r="J443" s="6">
        <f>+H443-I443</f>
        <v>44.1980316</v>
      </c>
      <c r="K443" s="3" t="s">
        <v>1279</v>
      </c>
      <c r="L443" s="6">
        <f>+[180]Main!$L$3</f>
        <v>101.27258</v>
      </c>
      <c r="M443" s="9">
        <v>45656</v>
      </c>
    </row>
    <row r="444" spans="2:13" x14ac:dyDescent="0.25">
      <c r="D444" s="1">
        <f>+D441+1</f>
        <v>284</v>
      </c>
      <c r="E444" s="5" t="s">
        <v>1436</v>
      </c>
      <c r="F444" s="1" t="s">
        <v>1437</v>
      </c>
      <c r="G444" s="3">
        <v>0.19</v>
      </c>
      <c r="H444" s="6">
        <f t="shared" si="32"/>
        <v>4.1807902100000005</v>
      </c>
      <c r="I444" s="6">
        <f>+[181]Main!$P$5-[181]Main!$P$6</f>
        <v>-4.3319999999999999</v>
      </c>
      <c r="J444" s="6">
        <f t="shared" si="33"/>
        <v>8.5127902100000004</v>
      </c>
      <c r="K444" s="3" t="s">
        <v>1073</v>
      </c>
      <c r="L444" s="6">
        <f>+[181]Main!$P$3</f>
        <v>22.004159000000001</v>
      </c>
      <c r="M444" s="9">
        <v>45587</v>
      </c>
    </row>
    <row r="445" spans="2:13" x14ac:dyDescent="0.25">
      <c r="D445" s="1">
        <f t="shared" si="31"/>
        <v>285</v>
      </c>
      <c r="E445" s="40" t="s">
        <v>1630</v>
      </c>
      <c r="F445" t="s">
        <v>1629</v>
      </c>
      <c r="G445" s="7">
        <v>3.71</v>
      </c>
      <c r="H445" s="6">
        <f>+G445*L445</f>
        <v>181.33427843999999</v>
      </c>
      <c r="I445" s="6">
        <f>+[182]Main!$K$5-[182]Main!$K$6</f>
        <v>183.012</v>
      </c>
      <c r="J445" s="6">
        <f>+H445-I445</f>
        <v>-1.677721560000009</v>
      </c>
      <c r="K445" s="3" t="s">
        <v>1279</v>
      </c>
      <c r="L445" s="6">
        <f>+[182]Main!$K$3</f>
        <v>48.877164</v>
      </c>
      <c r="M445" s="9">
        <v>45629</v>
      </c>
    </row>
    <row r="446" spans="2:13" x14ac:dyDescent="0.25">
      <c r="D446" s="1">
        <f t="shared" si="31"/>
        <v>286</v>
      </c>
      <c r="E446" s="5" t="s">
        <v>1633</v>
      </c>
      <c r="F446" s="1" t="s">
        <v>1634</v>
      </c>
      <c r="G446" s="7">
        <v>6</v>
      </c>
      <c r="H446" s="6">
        <f>+G446*L446</f>
        <v>327.199524</v>
      </c>
      <c r="I446" s="6">
        <f>+[183]Main!$L$5-[183]Main!$L$6</f>
        <v>371.02100000000002</v>
      </c>
      <c r="J446" s="6">
        <f>+H446-I446</f>
        <v>-43.821476000000018</v>
      </c>
      <c r="K446" s="3" t="s">
        <v>1073</v>
      </c>
      <c r="L446" s="6">
        <f>+[183]Main!$L$3</f>
        <v>54.533253999999999</v>
      </c>
      <c r="M446" s="9">
        <v>45629</v>
      </c>
    </row>
    <row r="447" spans="2:13" x14ac:dyDescent="0.25">
      <c r="D447" s="1">
        <f t="shared" si="31"/>
        <v>287</v>
      </c>
      <c r="E447" s="1" t="s">
        <v>1192</v>
      </c>
      <c r="F447" s="1" t="s">
        <v>1193</v>
      </c>
      <c r="G447" s="3">
        <v>0.28999999999999998</v>
      </c>
    </row>
    <row r="448" spans="2:13" x14ac:dyDescent="0.25">
      <c r="D448" s="1">
        <f t="shared" si="31"/>
        <v>288</v>
      </c>
      <c r="E448" s="1" t="s">
        <v>1274</v>
      </c>
      <c r="F448" t="s">
        <v>1275</v>
      </c>
    </row>
    <row r="449" spans="4:7" x14ac:dyDescent="0.25">
      <c r="D449" s="1">
        <f t="shared" si="31"/>
        <v>289</v>
      </c>
      <c r="E449" s="1" t="s">
        <v>1303</v>
      </c>
      <c r="F449" s="1" t="s">
        <v>1304</v>
      </c>
    </row>
    <row r="450" spans="4:7" x14ac:dyDescent="0.25">
      <c r="D450" s="1">
        <f t="shared" si="31"/>
        <v>290</v>
      </c>
      <c r="E450" t="s">
        <v>1305</v>
      </c>
      <c r="F450" t="s">
        <v>1306</v>
      </c>
    </row>
    <row r="451" spans="4:7" x14ac:dyDescent="0.25">
      <c r="D451" s="1">
        <f t="shared" si="31"/>
        <v>291</v>
      </c>
      <c r="E451" s="1" t="s">
        <v>1356</v>
      </c>
    </row>
    <row r="452" spans="4:7" x14ac:dyDescent="0.25">
      <c r="D452" s="1">
        <f t="shared" si="31"/>
        <v>292</v>
      </c>
      <c r="E452" s="5" t="s">
        <v>1441</v>
      </c>
      <c r="F452" s="1" t="s">
        <v>1442</v>
      </c>
      <c r="G452" s="7">
        <v>30</v>
      </c>
    </row>
    <row r="453" spans="4:7" x14ac:dyDescent="0.25">
      <c r="D453" s="1">
        <f t="shared" si="31"/>
        <v>293</v>
      </c>
      <c r="E453" t="s">
        <v>1504</v>
      </c>
    </row>
    <row r="454" spans="4:7" x14ac:dyDescent="0.25">
      <c r="D454" s="1">
        <f t="shared" si="31"/>
        <v>294</v>
      </c>
      <c r="E454" s="1" t="s">
        <v>1616</v>
      </c>
      <c r="F454" t="s">
        <v>1617</v>
      </c>
    </row>
    <row r="455" spans="4:7" x14ac:dyDescent="0.25">
      <c r="D455" s="1">
        <f t="shared" si="31"/>
        <v>295</v>
      </c>
      <c r="E455" t="s">
        <v>1621</v>
      </c>
      <c r="F455" s="1" t="s">
        <v>1622</v>
      </c>
    </row>
    <row r="456" spans="4:7" x14ac:dyDescent="0.25">
      <c r="D456" s="1">
        <f t="shared" si="31"/>
        <v>296</v>
      </c>
      <c r="E456" t="s">
        <v>1623</v>
      </c>
      <c r="F456" t="s">
        <v>1624</v>
      </c>
    </row>
    <row r="457" spans="4:7" x14ac:dyDescent="0.25">
      <c r="D457" s="1">
        <f t="shared" si="31"/>
        <v>297</v>
      </c>
      <c r="E457" t="s">
        <v>1631</v>
      </c>
      <c r="F457" t="s">
        <v>1632</v>
      </c>
    </row>
    <row r="458" spans="4:7" x14ac:dyDescent="0.25">
      <c r="D458" s="1">
        <f t="shared" si="31"/>
        <v>298</v>
      </c>
      <c r="E458" s="5" t="s">
        <v>1636</v>
      </c>
      <c r="F458" s="1" t="s">
        <v>1635</v>
      </c>
      <c r="G458" s="3">
        <v>26.71</v>
      </c>
    </row>
    <row r="459" spans="4:7" x14ac:dyDescent="0.25">
      <c r="D459" s="1">
        <f t="shared" si="31"/>
        <v>299</v>
      </c>
      <c r="E459" s="1" t="s">
        <v>1641</v>
      </c>
      <c r="F459" t="s">
        <v>1642</v>
      </c>
    </row>
    <row r="460" spans="4:7" x14ac:dyDescent="0.25">
      <c r="D460" s="1">
        <f t="shared" si="31"/>
        <v>300</v>
      </c>
      <c r="E460" t="s">
        <v>1647</v>
      </c>
      <c r="F460" s="1" t="s">
        <v>1648</v>
      </c>
    </row>
    <row r="461" spans="4:7" x14ac:dyDescent="0.25">
      <c r="D461" s="1">
        <f t="shared" si="31"/>
        <v>301</v>
      </c>
      <c r="E461" s="1" t="s">
        <v>1649</v>
      </c>
      <c r="F461" t="s">
        <v>1650</v>
      </c>
      <c r="G461" s="3">
        <v>4.1100000000000003</v>
      </c>
    </row>
    <row r="462" spans="4:7" x14ac:dyDescent="0.25">
      <c r="D462" s="1">
        <f t="shared" si="31"/>
        <v>302</v>
      </c>
      <c r="E462" t="s">
        <v>1655</v>
      </c>
      <c r="F462" t="s">
        <v>1656</v>
      </c>
    </row>
    <row r="463" spans="4:7" x14ac:dyDescent="0.25">
      <c r="D463" s="1">
        <f t="shared" si="31"/>
        <v>303</v>
      </c>
      <c r="E463" s="1" t="s">
        <v>1657</v>
      </c>
      <c r="F463" s="1" t="s">
        <v>1658</v>
      </c>
    </row>
    <row r="464" spans="4:7" x14ac:dyDescent="0.25">
      <c r="D464" s="1">
        <f t="shared" si="31"/>
        <v>304</v>
      </c>
      <c r="E464" t="s">
        <v>1659</v>
      </c>
      <c r="F464" t="s">
        <v>1660</v>
      </c>
    </row>
    <row r="465" spans="2:13" x14ac:dyDescent="0.25">
      <c r="D465" s="1">
        <f t="shared" si="31"/>
        <v>305</v>
      </c>
      <c r="E465" s="1" t="s">
        <v>1661</v>
      </c>
      <c r="F465" s="1" t="s">
        <v>1662</v>
      </c>
      <c r="G465" s="3">
        <v>0.61</v>
      </c>
    </row>
    <row r="466" spans="2:13" x14ac:dyDescent="0.25">
      <c r="D466" s="1">
        <f t="shared" si="31"/>
        <v>306</v>
      </c>
      <c r="E466" t="s">
        <v>1667</v>
      </c>
      <c r="F466" t="s">
        <v>1668</v>
      </c>
    </row>
    <row r="467" spans="2:13" x14ac:dyDescent="0.25">
      <c r="D467" s="1">
        <f t="shared" si="31"/>
        <v>307</v>
      </c>
      <c r="E467" s="1" t="s">
        <v>1670</v>
      </c>
      <c r="F467" s="1" t="s">
        <v>1669</v>
      </c>
      <c r="G467" s="3">
        <v>1.46</v>
      </c>
    </row>
    <row r="468" spans="2:13" x14ac:dyDescent="0.25">
      <c r="D468" s="1">
        <f t="shared" si="31"/>
        <v>308</v>
      </c>
      <c r="E468" t="s">
        <v>1675</v>
      </c>
      <c r="F468" t="s">
        <v>1676</v>
      </c>
    </row>
    <row r="469" spans="2:13" x14ac:dyDescent="0.25">
      <c r="D469" s="1">
        <f t="shared" si="31"/>
        <v>309</v>
      </c>
      <c r="E469" t="s">
        <v>1677</v>
      </c>
      <c r="F469" t="s">
        <v>1678</v>
      </c>
    </row>
    <row r="470" spans="2:13" x14ac:dyDescent="0.25">
      <c r="D470" s="1">
        <f t="shared" si="31"/>
        <v>310</v>
      </c>
      <c r="E470" s="1" t="s">
        <v>1114</v>
      </c>
      <c r="F470" s="1" t="s">
        <v>1695</v>
      </c>
    </row>
    <row r="471" spans="2:13" x14ac:dyDescent="0.25">
      <c r="D471" s="1">
        <f t="shared" si="31"/>
        <v>311</v>
      </c>
      <c r="E471" t="s">
        <v>1780</v>
      </c>
      <c r="F471" t="s">
        <v>1781</v>
      </c>
    </row>
    <row r="472" spans="2:13" x14ac:dyDescent="0.25">
      <c r="B472" s="1">
        <v>7</v>
      </c>
      <c r="C472" s="1">
        <v>2</v>
      </c>
      <c r="D472" s="1">
        <f t="shared" si="31"/>
        <v>312</v>
      </c>
      <c r="E472" s="5" t="s">
        <v>1794</v>
      </c>
      <c r="F472" s="1" t="s">
        <v>1795</v>
      </c>
      <c r="G472" s="7">
        <v>20</v>
      </c>
      <c r="H472" s="6">
        <f>+G472*L472</f>
        <v>1040.5629000000001</v>
      </c>
      <c r="I472" s="6">
        <f>+[184]Main!$L$5-[184]Main!$L$6</f>
        <v>193.8</v>
      </c>
      <c r="J472" s="6">
        <f>+H472-I472</f>
        <v>846.76290000000017</v>
      </c>
      <c r="K472" s="3" t="s">
        <v>1279</v>
      </c>
      <c r="L472" s="6">
        <f>+[184]Main!$L$3</f>
        <v>52.028145000000002</v>
      </c>
      <c r="M472" s="9">
        <v>45691</v>
      </c>
    </row>
    <row r="473" spans="2:13" x14ac:dyDescent="0.25">
      <c r="B473" s="1">
        <v>7</v>
      </c>
      <c r="C473" s="1">
        <v>1</v>
      </c>
      <c r="D473" s="1">
        <f t="shared" si="31"/>
        <v>313</v>
      </c>
      <c r="E473" s="5" t="s">
        <v>1797</v>
      </c>
      <c r="F473" t="s">
        <v>1796</v>
      </c>
      <c r="G473" s="7">
        <v>1</v>
      </c>
      <c r="H473" s="6">
        <f>+G473*L473</f>
        <v>119.616035</v>
      </c>
      <c r="I473" s="6">
        <f>+[185]Main!$M$5-[185]Main!$M$6</f>
        <v>106.869</v>
      </c>
      <c r="J473" s="6">
        <f>+H473-I473</f>
        <v>12.747034999999997</v>
      </c>
      <c r="K473" s="3" t="s">
        <v>1279</v>
      </c>
      <c r="L473" s="6">
        <f>+[185]Main!$M$3</f>
        <v>119.616035</v>
      </c>
      <c r="M473" s="9">
        <v>45691</v>
      </c>
    </row>
    <row r="474" spans="2:13" x14ac:dyDescent="0.25">
      <c r="D474" s="1">
        <f t="shared" si="31"/>
        <v>314</v>
      </c>
      <c r="E474" s="1" t="s">
        <v>1798</v>
      </c>
      <c r="F474" t="s">
        <v>1799</v>
      </c>
    </row>
    <row r="475" spans="2:13" x14ac:dyDescent="0.25">
      <c r="D475" s="1">
        <f t="shared" si="31"/>
        <v>315</v>
      </c>
      <c r="E475" t="s">
        <v>1812</v>
      </c>
      <c r="F475" s="1" t="s">
        <v>1813</v>
      </c>
      <c r="G475" s="7">
        <v>1.38</v>
      </c>
    </row>
    <row r="476" spans="2:13" x14ac:dyDescent="0.25">
      <c r="D476" s="1">
        <f t="shared" si="31"/>
        <v>316</v>
      </c>
      <c r="E476" s="1" t="s">
        <v>1814</v>
      </c>
      <c r="F476" t="s">
        <v>1817</v>
      </c>
    </row>
    <row r="477" spans="2:13" x14ac:dyDescent="0.25">
      <c r="D477" s="1">
        <f t="shared" si="31"/>
        <v>317</v>
      </c>
      <c r="E477" t="s">
        <v>1815</v>
      </c>
      <c r="F477" t="s">
        <v>1816</v>
      </c>
    </row>
    <row r="478" spans="2:13" x14ac:dyDescent="0.25">
      <c r="B478" s="1">
        <v>-1</v>
      </c>
      <c r="C478" s="1">
        <v>3</v>
      </c>
      <c r="D478" s="1">
        <f t="shared" si="31"/>
        <v>318</v>
      </c>
      <c r="E478" s="5" t="s">
        <v>1824</v>
      </c>
      <c r="F478" s="1" t="s">
        <v>1825</v>
      </c>
      <c r="G478" s="7">
        <v>1.24</v>
      </c>
      <c r="H478" s="6">
        <f>+G478*L478</f>
        <v>60.456759240000004</v>
      </c>
      <c r="I478" s="6">
        <f>+[186]Main!$K$5-[186]Main!$K$6</f>
        <v>41.556999999999995</v>
      </c>
      <c r="J478" s="6">
        <f>+H478-I478</f>
        <v>18.899759240000009</v>
      </c>
      <c r="K478" s="3" t="s">
        <v>1280</v>
      </c>
      <c r="L478" s="6">
        <f>+[186]Main!$K$3</f>
        <v>48.755451000000001</v>
      </c>
      <c r="M478" s="9">
        <v>45733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7" r:id="rId15" xr:uid="{6EF35D30-7113-4CE8-9077-C5BE97F74D36}"/>
    <hyperlink ref="E25" r:id="rId16" xr:uid="{1F769FA7-6B90-4B6B-9BCC-7D6679675B06}"/>
    <hyperlink ref="E27" r:id="rId17" xr:uid="{61277D68-67DC-475B-9B61-B7E2F3017110}"/>
    <hyperlink ref="E250" r:id="rId18" xr:uid="{14A63DAF-63A6-4B91-A2AF-AE28EA251457}"/>
    <hyperlink ref="E254" r:id="rId19" xr:uid="{4ACA7C7F-E42A-4687-A776-AB8065DB40FF}"/>
    <hyperlink ref="E249" r:id="rId20" xr:uid="{B3421391-7EC0-4253-8F62-5ED45A5BFA02}"/>
    <hyperlink ref="E255" r:id="rId21" xr:uid="{F6A45FC7-B73C-4143-9CAB-B3ADA19B5FD7}"/>
    <hyperlink ref="E247" r:id="rId22" xr:uid="{BBD267CB-7407-4913-9D05-6A6AA380019F}"/>
    <hyperlink ref="E257" r:id="rId23" xr:uid="{85368858-6D0F-4ABE-975C-AE5530342445}"/>
    <hyperlink ref="E245" r:id="rId24" xr:uid="{8B5BC1F5-14D4-45A0-B224-31FAF227EAF3}"/>
    <hyperlink ref="E256" r:id="rId25" xr:uid="{D5FB3BFE-F0A8-4C09-90A1-9F506EF0ADE4}"/>
    <hyperlink ref="E251" r:id="rId26" xr:uid="{11598046-2AED-42E7-ACA5-251A20A59427}"/>
    <hyperlink ref="E51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3" r:id="rId31" xr:uid="{C3A06396-38CD-486E-9F4F-233A79292B4F}"/>
    <hyperlink ref="E124" r:id="rId32" xr:uid="{B83625D8-44D2-4842-9139-F29C8D5F2D8E}"/>
    <hyperlink ref="E218" r:id="rId33" xr:uid="{5FF32E6A-C6C7-4793-8271-BD230B9C7641}"/>
    <hyperlink ref="E71" r:id="rId34" xr:uid="{E5739E03-9FE4-4D05-90C8-36ABF7D078CB}"/>
    <hyperlink ref="E88" r:id="rId35" xr:uid="{25285F59-771C-40DB-8B78-E1E454C61406}"/>
    <hyperlink ref="E253" r:id="rId36" xr:uid="{C000061C-001D-4088-90A4-B672D181D3C5}"/>
    <hyperlink ref="E87" r:id="rId37" xr:uid="{6A1F812B-EA91-4B3C-B4DC-88F792A7D0DE}"/>
    <hyperlink ref="E62" r:id="rId38" xr:uid="{6930A656-C59A-465F-8634-B30B4FEF47BC}"/>
    <hyperlink ref="E95" r:id="rId39" xr:uid="{559FAD8A-D620-4B93-BE14-CC22630BD57E}"/>
    <hyperlink ref="E246" r:id="rId40" xr:uid="{6A576FDB-A573-4A00-8381-4BECF13B35A1}"/>
    <hyperlink ref="E162" r:id="rId41" xr:uid="{51C9506E-5D60-43F8-BADA-7F72A25DAFF6}"/>
    <hyperlink ref="E116" r:id="rId42" xr:uid="{9E4325F2-98CF-4735-96D0-66A9DC5A8E86}"/>
    <hyperlink ref="E219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4" r:id="rId48" xr:uid="{04E7711A-AB14-45D0-B73B-7EA804EC5564}"/>
    <hyperlink ref="E44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0" r:id="rId53" xr:uid="{01444C35-CEE7-41B7-B694-AE47417B7019}"/>
    <hyperlink ref="E42" r:id="rId54" xr:uid="{BC97A7B7-8716-48D0-BA90-60A75E6A24CE}"/>
    <hyperlink ref="E36" r:id="rId55" xr:uid="{AD16E898-B1E4-4F25-8E21-E2BC1C6FE9AD}"/>
    <hyperlink ref="E59" r:id="rId56" xr:uid="{E9207892-DA1F-48D2-B2C3-EFA59FCA8A47}"/>
    <hyperlink ref="E86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1" r:id="rId61" xr:uid="{144D13FD-59BD-499B-A0B4-B06985623C68}"/>
    <hyperlink ref="E215" r:id="rId62" xr:uid="{E48CD1EB-CFA1-47B1-BD8B-09F09CDD4FA4}"/>
    <hyperlink ref="E117" r:id="rId63" xr:uid="{6E9AFF81-F520-4A86-9FC2-D5CFE68E7EB7}"/>
    <hyperlink ref="E70" r:id="rId64" xr:uid="{ED527D70-0B51-4151-8378-8C40B68FF19D}"/>
    <hyperlink ref="E43" r:id="rId65" xr:uid="{A902B26E-CA39-4DC5-9F23-4459D8D315E8}"/>
    <hyperlink ref="E75" r:id="rId66" xr:uid="{5F0313F8-3376-4F67-9822-E1412CAA5959}"/>
    <hyperlink ref="E107" r:id="rId67" xr:uid="{AE3A3FD9-E651-4A72-81DB-B29CC61B516B}"/>
    <hyperlink ref="E65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7" r:id="rId72" xr:uid="{C691BA46-1169-4CAF-84E5-2A83E1B5404A}"/>
    <hyperlink ref="E49" r:id="rId73" xr:uid="{425EA3DE-2A59-4B96-B380-B688A4EDE233}"/>
    <hyperlink ref="E58" r:id="rId74" xr:uid="{1F24E207-02BC-4A1F-B083-69F8E95AC067}"/>
    <hyperlink ref="E63" r:id="rId75" xr:uid="{CE56D1ED-1CAA-4667-A3D9-82426599D26C}"/>
    <hyperlink ref="E104" r:id="rId76" xr:uid="{ED810682-5208-4265-9E0E-6746A399EA34}"/>
    <hyperlink ref="E166" r:id="rId77" xr:uid="{44DEB74A-F098-4876-A279-D1E6237DF8DB}"/>
    <hyperlink ref="E68" r:id="rId78" xr:uid="{ADF59BEC-B8D8-4144-ADEB-041425B69409}"/>
    <hyperlink ref="E328" r:id="rId79" xr:uid="{69AB4316-2FED-44FC-B108-3CD00D6F57B9}"/>
    <hyperlink ref="E323" r:id="rId80" xr:uid="{172C358D-5501-4447-9FDE-DA046F6FED55}"/>
    <hyperlink ref="E113" r:id="rId81" xr:uid="{D181F941-FF02-423B-9F90-890B434046DD}"/>
    <hyperlink ref="E164" r:id="rId82" xr:uid="{1924D31B-B6B9-4CB2-936E-0F68E40FA2F5}"/>
    <hyperlink ref="E165" r:id="rId83" xr:uid="{8E97DA51-E6CD-4B11-B6F8-BD0A3CC93541}"/>
    <hyperlink ref="E97" r:id="rId84" xr:uid="{BACD6400-1341-654E-A5B2-576C65F8052B}"/>
    <hyperlink ref="E362" r:id="rId85" xr:uid="{C4CF7488-CAF7-4516-AB24-0FC50F0916A3}"/>
    <hyperlink ref="E120" r:id="rId86" xr:uid="{2B6C4E35-2657-4D1A-8D80-C54F892964F4}"/>
    <hyperlink ref="E13" r:id="rId87" xr:uid="{D4CC8F9A-CC3B-EE41-860B-629E01D90BFD}"/>
    <hyperlink ref="E438" r:id="rId88" xr:uid="{C4EB2FD5-19C2-4B46-A645-6A4B58B3BF48}"/>
    <hyperlink ref="E222" r:id="rId89" xr:uid="{E2D5EE7E-5721-5749-A98C-474C4C00D036}"/>
    <hyperlink ref="E23" r:id="rId90" xr:uid="{AA34EED3-260C-48F6-B18F-9CB2123B2DB8}"/>
    <hyperlink ref="E34" r:id="rId91" xr:uid="{3556B95F-6CC1-4165-90C0-F95B358B441D}"/>
    <hyperlink ref="E431" r:id="rId92" xr:uid="{E9466C79-B428-4906-B5D4-8A65E345C46A}"/>
    <hyperlink ref="E69" r:id="rId93" xr:uid="{0F64F384-8187-4F0A-B6D5-472BB2A5904F}"/>
    <hyperlink ref="E106" r:id="rId94" xr:uid="{5475D411-362D-4662-900D-6279A7227B29}"/>
    <hyperlink ref="E55" r:id="rId95" xr:uid="{6DB2BB02-C4A0-49AF-BAFF-B0F94FD8A18F}"/>
    <hyperlink ref="E54" r:id="rId96" xr:uid="{207C989E-621C-4033-9CCE-48EE8FC87164}"/>
    <hyperlink ref="E35" r:id="rId97" xr:uid="{EAE06527-C521-4E27-80DB-BF20330157C9}"/>
    <hyperlink ref="E82" r:id="rId98" xr:uid="{5E221389-B42A-4ECC-B5CE-DEA05F90F52F}"/>
    <hyperlink ref="E108" r:id="rId99" xr:uid="{50F9FE65-F347-4AD5-8CB3-AEF68BBB9AA8}"/>
    <hyperlink ref="E118" r:id="rId100" xr:uid="{75D04E08-C11D-42F6-A0B8-9E185A6BA249}"/>
    <hyperlink ref="E119" r:id="rId101" xr:uid="{DD06A32A-D1AE-4DFA-957F-7E5F6848399D}"/>
    <hyperlink ref="E52" r:id="rId102" xr:uid="{A9CCEE93-948C-4958-9273-229E876026E5}"/>
    <hyperlink ref="E60" r:id="rId103" xr:uid="{8A039020-76D6-4648-8559-2E66BD4069E8}"/>
    <hyperlink ref="E74" r:id="rId104" xr:uid="{57A317C3-FCD5-4B9D-9890-302872D6263D}"/>
    <hyperlink ref="E100" r:id="rId105" xr:uid="{7DEB18EF-0653-42AE-848B-1CD34B6185B1}"/>
    <hyperlink ref="E325" r:id="rId106" xr:uid="{500E1EB4-5BFA-41DA-B498-9CADDCBC3BD8}"/>
    <hyperlink ref="E226" r:id="rId107" xr:uid="{DA843767-B487-45EC-B6B6-4CAF3C575C50}"/>
    <hyperlink ref="E79" r:id="rId108" xr:uid="{5DA9C2AA-A278-4FF3-A2FD-E53617E5E8B8}"/>
    <hyperlink ref="E259" r:id="rId109" xr:uid="{91A036B5-0E03-4930-B738-BF1C076ACF18}"/>
    <hyperlink ref="E105" r:id="rId110" xr:uid="{8068ED1A-3B17-4C79-9022-B1BEE306CC58}"/>
    <hyperlink ref="E103" r:id="rId111" xr:uid="{DEB94AB7-6F89-44AE-9C77-B3E2D1E51B70}"/>
    <hyperlink ref="E326" r:id="rId112" xr:uid="{C5AE6E9D-13C3-40F4-80F9-EB86590BF332}"/>
    <hyperlink ref="E216" r:id="rId113" xr:uid="{47C928EF-242B-4B5F-9296-FA878004232C}"/>
    <hyperlink ref="E369" r:id="rId114" xr:uid="{B0C9190D-D136-462D-B004-BE374B10A4F0}"/>
    <hyperlink ref="E85" r:id="rId115" xr:uid="{1C0EAF20-C59C-4E14-90E0-E67EED291627}"/>
    <hyperlink ref="E324" r:id="rId116" xr:uid="{820E74E5-32AF-43AF-A75C-37305E58D952}"/>
    <hyperlink ref="E214" r:id="rId117" xr:uid="{C2EF7A04-6E03-432E-AE39-F9FC0944E6B7}"/>
    <hyperlink ref="E91" r:id="rId118" xr:uid="{4A53B476-D8D4-4433-B5B3-B626DD5ECAA5}"/>
    <hyperlink ref="E327" r:id="rId119" xr:uid="{0E69FC1D-F608-42EA-B683-C53C409C70F7}"/>
    <hyperlink ref="E167" r:id="rId120" xr:uid="{058DC54B-6F58-47B5-B00D-CB85499F0661}"/>
    <hyperlink ref="E168" r:id="rId121" xr:uid="{E3F91124-A68C-481A-9F88-5F0B403E12FC}"/>
    <hyperlink ref="E230" r:id="rId122" xr:uid="{879666A1-6AD0-495B-B29D-1523E9F3BF37}"/>
    <hyperlink ref="E53" r:id="rId123" xr:uid="{3E4416C1-24BA-4833-B8A9-810255675E01}"/>
    <hyperlink ref="E123" r:id="rId124" xr:uid="{CEEF1ECE-36B3-482E-AA72-8B9DAE4D2730}"/>
    <hyperlink ref="E121" r:id="rId125" xr:uid="{80739158-DB58-4D0E-8015-4407904D5E4C}"/>
    <hyperlink ref="E61" r:id="rId126" xr:uid="{FAC64BC1-A38C-4704-8DED-7AC1F6D784BD}"/>
    <hyperlink ref="E329" r:id="rId127" xr:uid="{B8FF6BDF-ECF2-42BA-996C-B33320BF3BB8}"/>
    <hyperlink ref="E122" r:id="rId128" xr:uid="{3C9F7D37-C376-486A-BD65-0A06F1A1BA4E}"/>
    <hyperlink ref="E73" r:id="rId129" xr:uid="{A739B306-7AF4-4BC1-B603-405E1AD42DA9}"/>
    <hyperlink ref="E67" r:id="rId130" xr:uid="{D16D1630-A1AE-4CF8-B35B-01F574ECC4EC}"/>
    <hyperlink ref="E81" r:id="rId131" xr:uid="{A96FF32D-8546-4297-AE3C-E279BBEB2988}"/>
    <hyperlink ref="E72" r:id="rId132" xr:uid="{B2C89E35-9AED-4A34-8767-FB6CD96F1DF7}"/>
    <hyperlink ref="E112" r:id="rId133" xr:uid="{7A0C9405-40F2-4CD9-999B-9032EC028C8E}"/>
    <hyperlink ref="E322" r:id="rId134" xr:uid="{F79A5FA4-445D-4428-8347-8E6CA8EBA325}"/>
    <hyperlink ref="E439" r:id="rId135" xr:uid="{C5162717-DEF1-45A6-BAF5-F5909C72945C}"/>
    <hyperlink ref="E217" r:id="rId136" xr:uid="{DCA25E80-5EA2-4E2F-B5AD-7E00734C912A}"/>
    <hyperlink ref="E321" r:id="rId137" xr:uid="{6E543356-A92B-4C40-A4D8-0039FD9CF30E}"/>
    <hyperlink ref="E221" r:id="rId138" xr:uid="{18B5F0EF-CE16-458F-B2EC-C055E9592268}"/>
    <hyperlink ref="E220" r:id="rId139" xr:uid="{8452EEB1-E3C6-4709-93A8-E45683AE4BD4}"/>
    <hyperlink ref="E76" r:id="rId140" xr:uid="{8515586A-C9D5-4B3A-AB81-567CAF8711D8}"/>
    <hyperlink ref="E98" r:id="rId141" xr:uid="{05112419-511E-40D9-B365-E7FC8328F3E3}"/>
    <hyperlink ref="E403" r:id="rId142" xr:uid="{42ED5909-2E52-452C-9738-284A43C46BA0}"/>
    <hyperlink ref="E111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52" r:id="rId147" xr:uid="{909F79D0-EDBD-44C4-8C45-548124C5C81A}"/>
    <hyperlink ref="E176" r:id="rId148" xr:uid="{0A7AB162-5181-4ECD-BE39-067356A9A255}"/>
    <hyperlink ref="E102" r:id="rId149" xr:uid="{A780315D-7EE1-43B1-808B-CA1A9B40DACC}"/>
    <hyperlink ref="E109" r:id="rId150" xr:uid="{6EE007AF-F0B0-4EED-9CDD-3FC2319822A5}"/>
    <hyperlink ref="E258" r:id="rId151" xr:uid="{ED761473-51F4-41BF-8401-76685055518C}"/>
    <hyperlink ref="E78" r:id="rId152" xr:uid="{7F559409-F96D-4010-8F92-37C722C2B828}"/>
    <hyperlink ref="E94" r:id="rId153" xr:uid="{C48A4FCA-0630-EF43-9EEC-B6CAB37EFE4F}"/>
    <hyperlink ref="E90" r:id="rId154" xr:uid="{96899701-8AB6-4B30-9017-19357666F340}"/>
    <hyperlink ref="E80" r:id="rId155" xr:uid="{CFB41F62-0690-4C3D-B6CD-811E3E94C4EE}"/>
    <hyperlink ref="E130" r:id="rId156" xr:uid="{82A44C16-0029-4130-9750-D08BCC5182B4}"/>
    <hyperlink ref="E56" r:id="rId157" xr:uid="{C35461B3-E679-4CC0-9362-2A53FE04533B}"/>
    <hyperlink ref="E84" r:id="rId158" xr:uid="{31B2FC14-DD5D-4E0C-A012-B1FDA85DBE36}"/>
    <hyperlink ref="E66" r:id="rId159" xr:uid="{96AAF9F5-B005-400B-B62E-90DC1A7E8852}"/>
    <hyperlink ref="E145" r:id="rId160" xr:uid="{5BE55498-D8ED-41C4-A33E-57BE28B07449}"/>
    <hyperlink ref="E444" r:id="rId161" xr:uid="{2B1AAFD9-D8D6-4616-841E-10108CC8192B}"/>
    <hyperlink ref="E452" r:id="rId162" xr:uid="{D4B5A9D9-65BB-430A-A731-1152EA8D5DED}"/>
    <hyperlink ref="E89" r:id="rId163" xr:uid="{67670CCE-8D41-4404-8F2B-F79243E31585}"/>
    <hyperlink ref="E115" r:id="rId164" xr:uid="{C904B992-93FD-497A-93CC-2FE800E3CDD4}"/>
    <hyperlink ref="E430" r:id="rId165" xr:uid="{B24388CE-B704-4189-8171-2A7C078385AA}"/>
    <hyperlink ref="E440" r:id="rId166" xr:uid="{107ACC16-1AF2-463F-97B2-B3329D313681}"/>
    <hyperlink ref="E437" r:id="rId167" xr:uid="{C40615BB-48F8-4AB1-92A6-E4710DC43430}"/>
    <hyperlink ref="E360" r:id="rId168" xr:uid="{0695F03B-1E3F-0E41-B1ED-4F68787EFC35}"/>
    <hyperlink ref="E432" r:id="rId169" xr:uid="{0152517F-3480-4755-804B-768910043082}"/>
    <hyperlink ref="E110" r:id="rId170" xr:uid="{F0EE4F6E-0A2F-4906-8143-739E8257E38C}"/>
    <hyperlink ref="E434" r:id="rId171" xr:uid="{0F9B63DB-3B35-4E51-BD36-EC943559BF1E}"/>
    <hyperlink ref="E441" r:id="rId172" xr:uid="{7592EF22-0CF5-48F3-8744-24868E314045}"/>
    <hyperlink ref="E445" r:id="rId173" xr:uid="{66F30E61-4E4B-47C8-8D49-028CC77AA4C6}"/>
    <hyperlink ref="E446" r:id="rId174" xr:uid="{778D749F-0610-418A-A963-ADCD5A226677}"/>
    <hyperlink ref="E458" r:id="rId175" xr:uid="{8E820BFC-E26B-4A27-A962-89FF7A10589B}"/>
    <hyperlink ref="E433" r:id="rId176" xr:uid="{3DD5CDF4-E650-429E-97DF-ABC116C3584D}"/>
    <hyperlink ref="E351" r:id="rId177" xr:uid="{1292FD9E-BA4F-4B20-AD44-4B752114EEEF}"/>
    <hyperlink ref="E435" r:id="rId178" xr:uid="{35FB9AE4-5A31-48BA-9D76-BF10058F42EC}"/>
    <hyperlink ref="E372" r:id="rId179" xr:uid="{4C62C768-C471-4E03-BD75-AF60DDF17283}"/>
    <hyperlink ref="E83" r:id="rId180" xr:uid="{FCC7525B-426F-4D18-B356-CF6486A50A0F}"/>
    <hyperlink ref="E373" r:id="rId181" xr:uid="{3714C986-B632-4E2F-8857-1DCA6DFD79FD}"/>
    <hyperlink ref="E248" r:id="rId182" xr:uid="{CE44BEA4-012D-4699-8F08-C58713DDB2BE}"/>
    <hyperlink ref="E212" r:id="rId183" xr:uid="{0E4C0ACB-35E3-43D4-B0E1-F865F7ED59B8}"/>
    <hyperlink ref="E370" r:id="rId184" xr:uid="{5127CACD-341C-4DCA-B244-83466075BEBF}"/>
    <hyperlink ref="E244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42" r:id="rId192" xr:uid="{51D052A4-1B75-48F3-93AF-E8B1B96076CE}"/>
    <hyperlink ref="E443" r:id="rId193" xr:uid="{FD546B4F-FF4A-4365-A9F1-25C43D119A98}"/>
    <hyperlink ref="E436" r:id="rId194" xr:uid="{FA2E0702-7573-4035-93EA-A0CE71143105}"/>
    <hyperlink ref="E96" r:id="rId195" xr:uid="{19D04C6A-EB12-4779-9BF1-8615419B9493}"/>
    <hyperlink ref="E303" r:id="rId196" xr:uid="{F54AFBD3-3040-4478-815C-CC270DBC110E}"/>
    <hyperlink ref="E163" r:id="rId197" xr:uid="{5741E758-F26D-41A7-976D-943D0B4BBA8C}"/>
    <hyperlink ref="E208" r:id="rId198" xr:uid="{46E08616-E182-4770-A0EC-E67C429D363A}"/>
    <hyperlink ref="E429" r:id="rId199" xr:uid="{25A8908D-5EB4-416E-B88A-983D1FDD66C7}"/>
    <hyperlink ref="E472" r:id="rId200" xr:uid="{63936724-7806-4858-BC51-BF317429A4D3}"/>
    <hyperlink ref="E473" r:id="rId201" xr:uid="{F7B60A92-FEBA-4956-8C32-3DAD1956FCBE}"/>
    <hyperlink ref="E305" r:id="rId202" xr:uid="{BB2D6CB0-9710-43BE-9C9C-96D4CB00CC27}"/>
    <hyperlink ref="E397" r:id="rId203" xr:uid="{7EF10422-26D7-4738-A7D3-E7994A8DAA2B}"/>
    <hyperlink ref="E155" r:id="rId204" xr:uid="{F19BA876-8355-426C-9961-985F5221658A}"/>
    <hyperlink ref="E478" r:id="rId205" xr:uid="{C5D06361-EB49-48E0-A1D9-AF4AC610A623}"/>
    <hyperlink ref="E242" r:id="rId206" xr:uid="{3EBF05D2-CB49-4743-B497-44F343FEF925}"/>
    <hyperlink ref="E243" r:id="rId207" xr:uid="{9F744E11-79B1-41BF-84C3-9DB6AA9D6A0A}"/>
  </hyperlinks>
  <pageMargins left="0.7" right="0.7" top="0.75" bottom="0.75" header="0.3" footer="0.3"/>
  <pageSetup paperSize="9" orientation="portrait" r:id="rId208"/>
  <legacyDrawing r:id="rId2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286</v>
      </c>
    </row>
    <row r="2" spans="1:10" x14ac:dyDescent="0.25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5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5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5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5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5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5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5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5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5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5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5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5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5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5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5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5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5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5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5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5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5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5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5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5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5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5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5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5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5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5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5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5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5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5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5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5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5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5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5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5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5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5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5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5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5">
      <c r="C47" s="55" t="s">
        <v>1593</v>
      </c>
      <c r="D47" s="28">
        <v>45</v>
      </c>
      <c r="G47" s="30">
        <v>27743</v>
      </c>
      <c r="J47" s="28"/>
    </row>
    <row r="48" spans="2:10" x14ac:dyDescent="0.25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5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5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5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5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5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5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5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5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5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5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286</v>
      </c>
    </row>
    <row r="2" spans="1:14" x14ac:dyDescent="0.25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1254</v>
      </c>
      <c r="C6" s="30"/>
      <c r="D6" s="30"/>
      <c r="G6" s="30">
        <v>8768</v>
      </c>
      <c r="H6" s="30">
        <v>11303</v>
      </c>
    </row>
    <row r="7" spans="1:14" x14ac:dyDescent="0.25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1809</v>
      </c>
      <c r="N16" s="101">
        <f>SUM(N17:N21)</f>
        <v>53959.551724137928</v>
      </c>
    </row>
    <row r="17" spans="2:14" x14ac:dyDescent="0.25">
      <c r="B17" t="s">
        <v>1800</v>
      </c>
      <c r="N17" s="31">
        <v>9998</v>
      </c>
    </row>
    <row r="18" spans="2:14" x14ac:dyDescent="0.25">
      <c r="B18" t="s">
        <v>1801</v>
      </c>
      <c r="N18" s="31">
        <v>7795</v>
      </c>
    </row>
    <row r="19" spans="2:14" x14ac:dyDescent="0.25">
      <c r="B19" t="s">
        <v>1802</v>
      </c>
      <c r="N19" s="31">
        <f>45766/7.25</f>
        <v>6312.5517241379312</v>
      </c>
    </row>
    <row r="20" spans="2:14" ht="13" x14ac:dyDescent="0.3">
      <c r="B20" t="s">
        <v>1803</v>
      </c>
      <c r="M20" s="31">
        <v>11988</v>
      </c>
      <c r="N20" s="33">
        <v>11988</v>
      </c>
    </row>
    <row r="21" spans="2:14" x14ac:dyDescent="0.25">
      <c r="B21" t="s">
        <v>1804</v>
      </c>
      <c r="N21" s="31">
        <v>17866</v>
      </c>
    </row>
    <row r="22" spans="2:14" x14ac:dyDescent="0.25">
      <c r="B22" t="s">
        <v>1810</v>
      </c>
      <c r="N22" s="31">
        <v>9214</v>
      </c>
    </row>
    <row r="23" spans="2:14" x14ac:dyDescent="0.25">
      <c r="B23" t="s">
        <v>1805</v>
      </c>
    </row>
    <row r="24" spans="2:14" x14ac:dyDescent="0.25">
      <c r="B24" t="s">
        <v>1806</v>
      </c>
    </row>
    <row r="25" spans="2:14" x14ac:dyDescent="0.25">
      <c r="B25" t="s">
        <v>1807</v>
      </c>
    </row>
    <row r="26" spans="2:14" x14ac:dyDescent="0.25">
      <c r="B26" t="s">
        <v>1808</v>
      </c>
    </row>
    <row r="31" spans="2:14" x14ac:dyDescent="0.25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1131</v>
      </c>
    </row>
    <row r="3" spans="2:2" x14ac:dyDescent="0.25">
      <c r="B3" t="s">
        <v>1132</v>
      </c>
    </row>
    <row r="4" spans="2:2" x14ac:dyDescent="0.25">
      <c r="B4" t="s">
        <v>1145</v>
      </c>
    </row>
    <row r="5" spans="2:2" x14ac:dyDescent="0.25">
      <c r="B5" t="s">
        <v>1157</v>
      </c>
    </row>
    <row r="6" spans="2:2" x14ac:dyDescent="0.25">
      <c r="B6" t="s">
        <v>1154</v>
      </c>
    </row>
    <row r="7" spans="2:2" x14ac:dyDescent="0.25">
      <c r="B7" t="s">
        <v>1155</v>
      </c>
    </row>
    <row r="8" spans="2:2" x14ac:dyDescent="0.25">
      <c r="B8" t="s">
        <v>1147</v>
      </c>
    </row>
    <row r="9" spans="2:2" x14ac:dyDescent="0.25">
      <c r="B9" t="s">
        <v>1159</v>
      </c>
    </row>
    <row r="10" spans="2:2" x14ac:dyDescent="0.25">
      <c r="B10" t="s">
        <v>1156</v>
      </c>
    </row>
    <row r="11" spans="2:2" x14ac:dyDescent="0.25">
      <c r="B11" t="s">
        <v>1158</v>
      </c>
    </row>
    <row r="12" spans="2:2" x14ac:dyDescent="0.25">
      <c r="B12" t="s">
        <v>1133</v>
      </c>
    </row>
    <row r="13" spans="2:2" x14ac:dyDescent="0.25">
      <c r="B13" t="s">
        <v>235</v>
      </c>
    </row>
    <row r="14" spans="2:2" x14ac:dyDescent="0.25">
      <c r="B14" t="s">
        <v>1134</v>
      </c>
    </row>
    <row r="15" spans="2:2" x14ac:dyDescent="0.25">
      <c r="B15" t="s">
        <v>1135</v>
      </c>
    </row>
    <row r="16" spans="2:2" x14ac:dyDescent="0.25">
      <c r="B16" t="s">
        <v>1136</v>
      </c>
    </row>
    <row r="17" spans="2:2" x14ac:dyDescent="0.25">
      <c r="B17" t="s">
        <v>1137</v>
      </c>
    </row>
    <row r="18" spans="2:2" x14ac:dyDescent="0.25">
      <c r="B18" t="s">
        <v>1138</v>
      </c>
    </row>
    <row r="19" spans="2:2" x14ac:dyDescent="0.25">
      <c r="B19" t="s">
        <v>1139</v>
      </c>
    </row>
    <row r="20" spans="2:2" x14ac:dyDescent="0.25">
      <c r="B20" t="s">
        <v>1140</v>
      </c>
    </row>
    <row r="21" spans="2:2" x14ac:dyDescent="0.25">
      <c r="B21" t="s">
        <v>1141</v>
      </c>
    </row>
    <row r="22" spans="2:2" x14ac:dyDescent="0.25">
      <c r="B22" t="s">
        <v>1146</v>
      </c>
    </row>
    <row r="23" spans="2:2" x14ac:dyDescent="0.25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286</v>
      </c>
      <c r="AN1" s="31">
        <f>AVERAGE(AN3:AN4,AN6:AN34,AN36:AN52)</f>
        <v>291.80037571301813</v>
      </c>
    </row>
    <row r="2" spans="1:147" x14ac:dyDescent="0.25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5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1052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9" t="s">
        <v>334</v>
      </c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Main!D40+1</f>
        <v>32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B9+1</f>
        <v>44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595</v>
      </c>
      <c r="D11" t="s">
        <v>596</v>
      </c>
    </row>
    <row r="12" spans="1:28" x14ac:dyDescent="0.2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1065</v>
      </c>
      <c r="D13" t="s">
        <v>1066</v>
      </c>
    </row>
    <row r="15" spans="1:28" x14ac:dyDescent="0.25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1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433</v>
      </c>
      <c r="C10">
        <v>82.55</v>
      </c>
    </row>
    <row r="11" spans="1:3" x14ac:dyDescent="0.2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5">
      <c r="B3" t="s">
        <v>500</v>
      </c>
      <c r="E3" t="s">
        <v>325</v>
      </c>
      <c r="F3">
        <v>3000</v>
      </c>
      <c r="G3" t="s">
        <v>501</v>
      </c>
    </row>
    <row r="4" spans="1:10" x14ac:dyDescent="0.25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5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5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5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5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5">
      <c r="B10" t="s">
        <v>477</v>
      </c>
    </row>
    <row r="11" spans="1:10" x14ac:dyDescent="0.25">
      <c r="B11" t="s">
        <v>478</v>
      </c>
    </row>
    <row r="12" spans="1:10" x14ac:dyDescent="0.25">
      <c r="B12" t="s">
        <v>480</v>
      </c>
      <c r="C12">
        <v>2019</v>
      </c>
      <c r="I12" t="s">
        <v>503</v>
      </c>
    </row>
    <row r="13" spans="1:10" x14ac:dyDescent="0.25">
      <c r="B13" t="s">
        <v>481</v>
      </c>
    </row>
    <row r="14" spans="1:10" x14ac:dyDescent="0.25">
      <c r="B14" t="s">
        <v>482</v>
      </c>
    </row>
    <row r="15" spans="1:10" x14ac:dyDescent="0.25">
      <c r="B15" t="s">
        <v>483</v>
      </c>
    </row>
    <row r="16" spans="1:10" x14ac:dyDescent="0.25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5">
      <c r="B17" t="s">
        <v>485</v>
      </c>
    </row>
    <row r="18" spans="2:9" x14ac:dyDescent="0.25">
      <c r="B18" t="s">
        <v>488</v>
      </c>
      <c r="E18" t="s">
        <v>393</v>
      </c>
      <c r="F18">
        <v>259</v>
      </c>
    </row>
    <row r="19" spans="2:9" x14ac:dyDescent="0.25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5">
      <c r="B20" t="s">
        <v>486</v>
      </c>
    </row>
    <row r="21" spans="2:9" x14ac:dyDescent="0.25">
      <c r="B21" t="s">
        <v>1113</v>
      </c>
      <c r="E21" t="s">
        <v>602</v>
      </c>
      <c r="F21">
        <v>110</v>
      </c>
    </row>
    <row r="22" spans="2:9" x14ac:dyDescent="0.25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5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5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5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5">
      <c r="H26" s="37"/>
    </row>
    <row r="27" spans="2:9" x14ac:dyDescent="0.25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5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5">
      <c r="B29" t="s">
        <v>392</v>
      </c>
      <c r="E29" t="s">
        <v>393</v>
      </c>
      <c r="F29">
        <v>107</v>
      </c>
      <c r="I29" t="s">
        <v>394</v>
      </c>
    </row>
    <row r="31" spans="2:9" x14ac:dyDescent="0.25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5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5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5">
      <c r="B35" t="s">
        <v>1114</v>
      </c>
      <c r="H35" s="37"/>
    </row>
    <row r="36" spans="2:8" x14ac:dyDescent="0.25">
      <c r="B36" t="s">
        <v>489</v>
      </c>
    </row>
    <row r="37" spans="2:8" x14ac:dyDescent="0.25">
      <c r="B37" t="s">
        <v>490</v>
      </c>
    </row>
    <row r="38" spans="2:8" x14ac:dyDescent="0.25">
      <c r="B38" t="s">
        <v>491</v>
      </c>
    </row>
    <row r="39" spans="2:8" x14ac:dyDescent="0.25">
      <c r="B39" t="s">
        <v>492</v>
      </c>
    </row>
    <row r="40" spans="2:8" x14ac:dyDescent="0.25">
      <c r="B40" t="s">
        <v>493</v>
      </c>
    </row>
    <row r="41" spans="2:8" x14ac:dyDescent="0.25">
      <c r="B41" t="s">
        <v>1009</v>
      </c>
      <c r="C41">
        <v>2021</v>
      </c>
      <c r="F41">
        <v>20</v>
      </c>
      <c r="H41" s="37">
        <v>45030</v>
      </c>
    </row>
    <row r="42" spans="2:8" x14ac:dyDescent="0.25">
      <c r="B42" t="s">
        <v>1010</v>
      </c>
      <c r="C42">
        <v>2020</v>
      </c>
      <c r="F42">
        <v>20</v>
      </c>
      <c r="H42" s="37">
        <v>44987</v>
      </c>
    </row>
    <row r="43" spans="2:8" x14ac:dyDescent="0.25">
      <c r="B43" t="s">
        <v>1008</v>
      </c>
    </row>
    <row r="44" spans="2:8" x14ac:dyDescent="0.25">
      <c r="B44" t="s">
        <v>1011</v>
      </c>
      <c r="C44" s="13">
        <v>44188</v>
      </c>
      <c r="F44">
        <v>19</v>
      </c>
      <c r="H44" s="37">
        <v>44545</v>
      </c>
    </row>
    <row r="45" spans="2:8" x14ac:dyDescent="0.25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5">
      <c r="B46" t="s">
        <v>1180</v>
      </c>
      <c r="C46" s="13"/>
      <c r="H46" s="37"/>
    </row>
    <row r="47" spans="2:8" x14ac:dyDescent="0.25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5">
      <c r="B48" t="s">
        <v>1007</v>
      </c>
    </row>
    <row r="49" spans="2:8" x14ac:dyDescent="0.25">
      <c r="B49" t="s">
        <v>1185</v>
      </c>
    </row>
    <row r="50" spans="2:8" x14ac:dyDescent="0.25">
      <c r="B50" t="s">
        <v>495</v>
      </c>
    </row>
    <row r="51" spans="2:8" x14ac:dyDescent="0.25">
      <c r="B51" t="s">
        <v>496</v>
      </c>
    </row>
    <row r="52" spans="2:8" x14ac:dyDescent="0.25">
      <c r="B52" t="s">
        <v>444</v>
      </c>
    </row>
    <row r="53" spans="2:8" x14ac:dyDescent="0.25">
      <c r="B53" t="s">
        <v>1142</v>
      </c>
      <c r="E53" t="s">
        <v>602</v>
      </c>
      <c r="F53">
        <v>120</v>
      </c>
      <c r="H53" s="37">
        <v>45511</v>
      </c>
    </row>
    <row r="54" spans="2:8" x14ac:dyDescent="0.25">
      <c r="B54" t="s">
        <v>445</v>
      </c>
    </row>
    <row r="55" spans="2:8" x14ac:dyDescent="0.25">
      <c r="B55" t="s">
        <v>446</v>
      </c>
    </row>
    <row r="56" spans="2:8" x14ac:dyDescent="0.25">
      <c r="B56" t="s">
        <v>447</v>
      </c>
    </row>
    <row r="57" spans="2:8" x14ac:dyDescent="0.25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5">
      <c r="B58" t="s">
        <v>448</v>
      </c>
    </row>
    <row r="59" spans="2:8" x14ac:dyDescent="0.25">
      <c r="B59" t="s">
        <v>450</v>
      </c>
    </row>
    <row r="60" spans="2:8" x14ac:dyDescent="0.25">
      <c r="B60" t="s">
        <v>449</v>
      </c>
    </row>
    <row r="61" spans="2:8" x14ac:dyDescent="0.25">
      <c r="B61" t="s">
        <v>451</v>
      </c>
      <c r="E61" t="s">
        <v>602</v>
      </c>
      <c r="F61">
        <v>500</v>
      </c>
    </row>
    <row r="62" spans="2:8" x14ac:dyDescent="0.25">
      <c r="B62" t="s">
        <v>453</v>
      </c>
    </row>
    <row r="63" spans="2:8" x14ac:dyDescent="0.25">
      <c r="B63" t="s">
        <v>454</v>
      </c>
    </row>
    <row r="64" spans="2:8" x14ac:dyDescent="0.25">
      <c r="B64" t="s">
        <v>455</v>
      </c>
    </row>
    <row r="65" spans="2:6" x14ac:dyDescent="0.25">
      <c r="B65" t="s">
        <v>456</v>
      </c>
    </row>
    <row r="66" spans="2:6" x14ac:dyDescent="0.25">
      <c r="B66" t="s">
        <v>473</v>
      </c>
    </row>
    <row r="67" spans="2:6" x14ac:dyDescent="0.25">
      <c r="B67" t="s">
        <v>474</v>
      </c>
    </row>
    <row r="68" spans="2:6" x14ac:dyDescent="0.25">
      <c r="B68" t="s">
        <v>476</v>
      </c>
    </row>
    <row r="69" spans="2:6" x14ac:dyDescent="0.25">
      <c r="B69" t="s">
        <v>475</v>
      </c>
    </row>
    <row r="70" spans="2:6" x14ac:dyDescent="0.25">
      <c r="B70" t="s">
        <v>458</v>
      </c>
    </row>
    <row r="71" spans="2:6" x14ac:dyDescent="0.25">
      <c r="B71" t="s">
        <v>459</v>
      </c>
    </row>
    <row r="72" spans="2:6" x14ac:dyDescent="0.25">
      <c r="B72" t="s">
        <v>461</v>
      </c>
    </row>
    <row r="73" spans="2:6" x14ac:dyDescent="0.25">
      <c r="B73" t="s">
        <v>462</v>
      </c>
    </row>
    <row r="74" spans="2:6" x14ac:dyDescent="0.25">
      <c r="B74" t="s">
        <v>463</v>
      </c>
    </row>
    <row r="75" spans="2:6" x14ac:dyDescent="0.25">
      <c r="B75" t="s">
        <v>464</v>
      </c>
    </row>
    <row r="76" spans="2:6" x14ac:dyDescent="0.25">
      <c r="B76" t="s">
        <v>466</v>
      </c>
    </row>
    <row r="77" spans="2:6" x14ac:dyDescent="0.25">
      <c r="B77" t="s">
        <v>467</v>
      </c>
    </row>
    <row r="78" spans="2:6" x14ac:dyDescent="0.25">
      <c r="B78" t="s">
        <v>468</v>
      </c>
    </row>
    <row r="79" spans="2:6" x14ac:dyDescent="0.25">
      <c r="B79" t="s">
        <v>469</v>
      </c>
    </row>
    <row r="80" spans="2:6" x14ac:dyDescent="0.25">
      <c r="B80" t="s">
        <v>470</v>
      </c>
      <c r="E80" t="s">
        <v>602</v>
      </c>
      <c r="F80" t="s">
        <v>1004</v>
      </c>
    </row>
    <row r="81" spans="2:8" x14ac:dyDescent="0.25">
      <c r="B81" t="s">
        <v>1005</v>
      </c>
      <c r="E81" t="s">
        <v>325</v>
      </c>
      <c r="F81" t="s">
        <v>1006</v>
      </c>
    </row>
    <row r="82" spans="2:8" x14ac:dyDescent="0.25">
      <c r="B82" t="s">
        <v>471</v>
      </c>
    </row>
    <row r="83" spans="2:8" x14ac:dyDescent="0.25">
      <c r="B83" t="s">
        <v>472</v>
      </c>
    </row>
    <row r="84" spans="2:8" x14ac:dyDescent="0.25">
      <c r="B84" t="s">
        <v>465</v>
      </c>
    </row>
    <row r="85" spans="2:8" x14ac:dyDescent="0.25">
      <c r="B85" t="s">
        <v>460</v>
      </c>
    </row>
    <row r="86" spans="2:8" x14ac:dyDescent="0.25">
      <c r="B86" t="s">
        <v>443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1042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440</v>
      </c>
    </row>
    <row r="109" spans="2:9" x14ac:dyDescent="0.25">
      <c r="B109" t="s">
        <v>502</v>
      </c>
    </row>
    <row r="110" spans="2:9" x14ac:dyDescent="0.25">
      <c r="B110" t="s">
        <v>518</v>
      </c>
      <c r="I110" t="s">
        <v>519</v>
      </c>
    </row>
    <row r="111" spans="2:9" x14ac:dyDescent="0.25">
      <c r="B111" t="s">
        <v>521</v>
      </c>
      <c r="I111" t="s">
        <v>519</v>
      </c>
    </row>
    <row r="112" spans="2:9" x14ac:dyDescent="0.2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5">
      <c r="B115" t="s">
        <v>610</v>
      </c>
      <c r="I115" t="s">
        <v>611</v>
      </c>
    </row>
    <row r="116" spans="2:9" x14ac:dyDescent="0.25">
      <c r="B116" t="s">
        <v>617</v>
      </c>
      <c r="E116" t="s">
        <v>602</v>
      </c>
      <c r="F116" t="s">
        <v>619</v>
      </c>
    </row>
    <row r="117" spans="2:9" x14ac:dyDescent="0.2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5">
      <c r="B118" t="s">
        <v>621</v>
      </c>
      <c r="E118" t="s">
        <v>393</v>
      </c>
      <c r="F118" t="s">
        <v>622</v>
      </c>
    </row>
    <row r="119" spans="2:9" x14ac:dyDescent="0.25">
      <c r="B119" t="s">
        <v>621</v>
      </c>
      <c r="E119" t="s">
        <v>613</v>
      </c>
      <c r="F119" t="s">
        <v>608</v>
      </c>
    </row>
    <row r="120" spans="2:9" x14ac:dyDescent="0.25">
      <c r="B120" t="s">
        <v>1012</v>
      </c>
      <c r="E120" t="s">
        <v>602</v>
      </c>
      <c r="F120" t="s">
        <v>1013</v>
      </c>
    </row>
    <row r="121" spans="2:9" x14ac:dyDescent="0.25">
      <c r="B121" t="s">
        <v>1014</v>
      </c>
      <c r="E121" t="s">
        <v>325</v>
      </c>
      <c r="F121" t="s">
        <v>1015</v>
      </c>
    </row>
    <row r="122" spans="2:9" x14ac:dyDescent="0.25">
      <c r="B122" t="s">
        <v>1017</v>
      </c>
      <c r="E122" t="s">
        <v>1018</v>
      </c>
      <c r="F122" t="s">
        <v>1019</v>
      </c>
    </row>
    <row r="123" spans="2:9" x14ac:dyDescent="0.25">
      <c r="B123" t="s">
        <v>1020</v>
      </c>
    </row>
    <row r="124" spans="2:9" x14ac:dyDescent="0.25">
      <c r="B124" t="s">
        <v>1021</v>
      </c>
    </row>
    <row r="125" spans="2:9" x14ac:dyDescent="0.25">
      <c r="B125" t="s">
        <v>1651</v>
      </c>
    </row>
    <row r="126" spans="2:9" x14ac:dyDescent="0.25">
      <c r="B126" t="s">
        <v>1652</v>
      </c>
    </row>
    <row r="127" spans="2:9" x14ac:dyDescent="0.25">
      <c r="B127" t="s">
        <v>1673</v>
      </c>
      <c r="I127" t="s">
        <v>1674</v>
      </c>
    </row>
    <row r="128" spans="2:9" x14ac:dyDescent="0.25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5">
      <c r="B129" t="s">
        <v>1679</v>
      </c>
    </row>
    <row r="130" spans="2:9" x14ac:dyDescent="0.25">
      <c r="B130" t="s">
        <v>1685</v>
      </c>
    </row>
    <row r="131" spans="2:9" x14ac:dyDescent="0.25">
      <c r="B131" t="s">
        <v>1680</v>
      </c>
    </row>
    <row r="132" spans="2:9" x14ac:dyDescent="0.25">
      <c r="B132" t="s">
        <v>1783</v>
      </c>
      <c r="I132" t="s">
        <v>1784</v>
      </c>
    </row>
    <row r="133" spans="2:9" x14ac:dyDescent="0.25">
      <c r="B133" t="s">
        <v>1785</v>
      </c>
      <c r="I133" t="s">
        <v>1786</v>
      </c>
    </row>
    <row r="134" spans="2:9" x14ac:dyDescent="0.25">
      <c r="B134" t="s">
        <v>1787</v>
      </c>
    </row>
    <row r="135" spans="2:9" x14ac:dyDescent="0.25">
      <c r="B135" t="s">
        <v>1788</v>
      </c>
    </row>
    <row r="136" spans="2:9" x14ac:dyDescent="0.25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5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5">
      <c r="B4" t="s">
        <v>1336</v>
      </c>
      <c r="D4" t="s">
        <v>1359</v>
      </c>
      <c r="E4" s="30">
        <v>18211.07</v>
      </c>
    </row>
    <row r="5" spans="1:6" x14ac:dyDescent="0.25">
      <c r="B5" t="s">
        <v>1335</v>
      </c>
      <c r="D5" t="s">
        <v>1359</v>
      </c>
      <c r="E5" s="30">
        <v>16117.395447000001</v>
      </c>
    </row>
    <row r="6" spans="1:6" x14ac:dyDescent="0.25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5">
      <c r="B7" t="s">
        <v>1322</v>
      </c>
      <c r="D7" t="s">
        <v>1359</v>
      </c>
      <c r="E7" s="30">
        <v>9575.6820260000004</v>
      </c>
    </row>
    <row r="8" spans="1:6" x14ac:dyDescent="0.25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5">
      <c r="B9" t="s">
        <v>1332</v>
      </c>
      <c r="E9" s="30">
        <v>8737.9044240000003</v>
      </c>
    </row>
    <row r="10" spans="1:6" x14ac:dyDescent="0.25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5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5">
      <c r="B12" t="s">
        <v>1324</v>
      </c>
      <c r="E12" s="30">
        <v>5768.7178190000004</v>
      </c>
    </row>
    <row r="13" spans="1:6" x14ac:dyDescent="0.25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5">
      <c r="B14" t="s">
        <v>1337</v>
      </c>
      <c r="E14" s="30">
        <v>5116.0800019999997</v>
      </c>
    </row>
    <row r="15" spans="1:6" x14ac:dyDescent="0.25">
      <c r="B15" t="s">
        <v>1326</v>
      </c>
      <c r="E15" s="30">
        <v>5001.7414399999998</v>
      </c>
    </row>
    <row r="16" spans="1:6" x14ac:dyDescent="0.25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5">
      <c r="B17" t="s">
        <v>1325</v>
      </c>
      <c r="C17" t="s">
        <v>1347</v>
      </c>
      <c r="E17" s="30">
        <v>4012.7660850000002</v>
      </c>
    </row>
    <row r="18" spans="2:5" x14ac:dyDescent="0.25">
      <c r="B18" t="s">
        <v>1331</v>
      </c>
      <c r="E18" s="30">
        <v>3542.0446270000002</v>
      </c>
    </row>
    <row r="19" spans="2:5" x14ac:dyDescent="0.25">
      <c r="B19" t="s">
        <v>1342</v>
      </c>
      <c r="E19" s="30">
        <v>2643.6989920000001</v>
      </c>
    </row>
    <row r="20" spans="2:5" x14ac:dyDescent="0.25">
      <c r="B20" s="5" t="s">
        <v>1349</v>
      </c>
      <c r="E20" s="30">
        <v>1296.421245</v>
      </c>
    </row>
    <row r="21" spans="2:5" x14ac:dyDescent="0.25">
      <c r="B21" t="s">
        <v>1330</v>
      </c>
      <c r="E21" s="30">
        <v>1057</v>
      </c>
    </row>
    <row r="22" spans="2:5" x14ac:dyDescent="0.25">
      <c r="B22" t="s">
        <v>1341</v>
      </c>
      <c r="C22" t="s">
        <v>1348</v>
      </c>
      <c r="E22" s="30">
        <v>981.87468000000001</v>
      </c>
    </row>
    <row r="23" spans="2:5" x14ac:dyDescent="0.25">
      <c r="B23" t="s">
        <v>1327</v>
      </c>
      <c r="E23" s="30">
        <v>507.774765</v>
      </c>
    </row>
    <row r="24" spans="2:5" x14ac:dyDescent="0.25">
      <c r="B24" t="s">
        <v>1350</v>
      </c>
    </row>
    <row r="25" spans="2:5" x14ac:dyDescent="0.25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5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5">
      <c r="B4" t="s">
        <v>1204</v>
      </c>
      <c r="C4" t="s">
        <v>32</v>
      </c>
      <c r="D4" s="6">
        <v>74000</v>
      </c>
      <c r="E4" s="13">
        <v>43468</v>
      </c>
    </row>
    <row r="5" spans="1:15" x14ac:dyDescent="0.25">
      <c r="B5" t="s">
        <v>1206</v>
      </c>
      <c r="C5" t="s">
        <v>24</v>
      </c>
      <c r="D5" s="6">
        <v>68000</v>
      </c>
      <c r="E5" s="13">
        <v>39838</v>
      </c>
    </row>
    <row r="6" spans="1:15" x14ac:dyDescent="0.25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5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1203</v>
      </c>
      <c r="C8" t="s">
        <v>18</v>
      </c>
      <c r="D8" s="6">
        <v>63000</v>
      </c>
      <c r="E8" s="13">
        <v>43641</v>
      </c>
    </row>
    <row r="9" spans="1:15" x14ac:dyDescent="0.25">
      <c r="B9" t="s">
        <v>1259</v>
      </c>
      <c r="C9" t="s">
        <v>255</v>
      </c>
      <c r="D9" s="6">
        <v>63000</v>
      </c>
      <c r="E9" s="8">
        <v>2018</v>
      </c>
    </row>
    <row r="10" spans="1:15" x14ac:dyDescent="0.25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5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5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1190</v>
      </c>
      <c r="C18" t="s">
        <v>1191</v>
      </c>
      <c r="D18" s="31">
        <v>32000</v>
      </c>
      <c r="E18">
        <v>2016</v>
      </c>
    </row>
    <row r="19" spans="1:15" x14ac:dyDescent="0.25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5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1216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1213</v>
      </c>
      <c r="C37" t="s">
        <v>30</v>
      </c>
      <c r="D37" s="31">
        <v>9700</v>
      </c>
      <c r="E37">
        <v>2019</v>
      </c>
    </row>
    <row r="38" spans="1:7" x14ac:dyDescent="0.25">
      <c r="B38" t="s">
        <v>1243</v>
      </c>
      <c r="C38" t="s">
        <v>1204</v>
      </c>
      <c r="D38" s="31">
        <v>9000</v>
      </c>
      <c r="E38">
        <v>2018</v>
      </c>
    </row>
    <row r="39" spans="1:7" x14ac:dyDescent="0.25">
      <c r="B39" t="s">
        <v>1214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5">
      <c r="B42" t="s">
        <v>1212</v>
      </c>
      <c r="C42" t="s">
        <v>28</v>
      </c>
      <c r="D42" s="31">
        <v>8400</v>
      </c>
      <c r="E42">
        <v>2014</v>
      </c>
    </row>
    <row r="43" spans="1:7" x14ac:dyDescent="0.25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5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5">
      <c r="B45" t="s">
        <v>1242</v>
      </c>
      <c r="C45" t="s">
        <v>93</v>
      </c>
      <c r="D45" s="31">
        <v>7200</v>
      </c>
      <c r="E45">
        <v>2021</v>
      </c>
    </row>
    <row r="46" spans="1:7" x14ac:dyDescent="0.25">
      <c r="B46" t="s">
        <v>1233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5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752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5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1228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1220</v>
      </c>
      <c r="C62" t="s">
        <v>14</v>
      </c>
      <c r="D62" s="31">
        <v>2400</v>
      </c>
      <c r="E62">
        <v>2003</v>
      </c>
    </row>
    <row r="63" spans="1:7" x14ac:dyDescent="0.25">
      <c r="B63" t="s">
        <v>1253</v>
      </c>
      <c r="C63" t="s">
        <v>1254</v>
      </c>
      <c r="D63" s="31">
        <v>2300</v>
      </c>
      <c r="E63">
        <v>2006</v>
      </c>
    </row>
    <row r="64" spans="1:7" x14ac:dyDescent="0.25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5">
      <c r="B65" t="s">
        <v>1255</v>
      </c>
      <c r="C65" t="s">
        <v>1254</v>
      </c>
      <c r="D65" s="31">
        <v>2100</v>
      </c>
      <c r="E65">
        <v>2006</v>
      </c>
    </row>
    <row r="66" spans="1:10" x14ac:dyDescent="0.2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5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434</v>
      </c>
      <c r="C72" t="s">
        <v>18</v>
      </c>
    </row>
    <row r="73" spans="1:10" x14ac:dyDescent="0.25">
      <c r="B73" t="s">
        <v>999</v>
      </c>
      <c r="C73" t="s">
        <v>255</v>
      </c>
      <c r="E73">
        <v>2021</v>
      </c>
    </row>
    <row r="74" spans="1:10" x14ac:dyDescent="0.25">
      <c r="B74" t="s">
        <v>1000</v>
      </c>
      <c r="C74" t="s">
        <v>255</v>
      </c>
      <c r="E74">
        <v>2020</v>
      </c>
    </row>
    <row r="75" spans="1:10" x14ac:dyDescent="0.25">
      <c r="B75" t="s">
        <v>1001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([187]Main!$J$5-[187]Main!$J$6)/HKD</f>
        <v>991.71512820512828</v>
      </c>
      <c r="G76" s="6">
        <f>+E76-F76</f>
        <v>23523.572694544873</v>
      </c>
      <c r="H76" s="3" t="s">
        <v>301</v>
      </c>
      <c r="I76" s="6">
        <f>+[187]Main!$J$3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ht="13" x14ac:dyDescent="0.3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825</v>
      </c>
      <c r="C82" t="s">
        <v>826</v>
      </c>
    </row>
    <row r="83" spans="1:5" x14ac:dyDescent="0.25">
      <c r="A83" s="1"/>
      <c r="B83" t="s">
        <v>724</v>
      </c>
      <c r="C83" t="s">
        <v>725</v>
      </c>
    </row>
    <row r="84" spans="1:5" x14ac:dyDescent="0.25">
      <c r="B84" t="s">
        <v>1143</v>
      </c>
      <c r="C84" t="s">
        <v>67</v>
      </c>
    </row>
    <row r="85" spans="1:5" x14ac:dyDescent="0.25">
      <c r="B85" t="s">
        <v>1148</v>
      </c>
    </row>
    <row r="86" spans="1:5" x14ac:dyDescent="0.25">
      <c r="B86" t="s">
        <v>1151</v>
      </c>
      <c r="C86" t="s">
        <v>39</v>
      </c>
    </row>
    <row r="87" spans="1:5" x14ac:dyDescent="0.25">
      <c r="B87" t="s">
        <v>1152</v>
      </c>
      <c r="C87" t="s">
        <v>39</v>
      </c>
    </row>
    <row r="88" spans="1:5" x14ac:dyDescent="0.25">
      <c r="B88" t="s">
        <v>1153</v>
      </c>
      <c r="C88" t="s">
        <v>15</v>
      </c>
    </row>
    <row r="89" spans="1:5" x14ac:dyDescent="0.25">
      <c r="B89" t="s">
        <v>1166</v>
      </c>
      <c r="C89" t="s">
        <v>39</v>
      </c>
    </row>
    <row r="90" spans="1:5" x14ac:dyDescent="0.25">
      <c r="B90" t="s">
        <v>1262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1265</v>
      </c>
      <c r="C92" t="s">
        <v>1266</v>
      </c>
      <c r="E92">
        <v>1970</v>
      </c>
    </row>
    <row r="93" spans="1:5" x14ac:dyDescent="0.25">
      <c r="B93" t="s">
        <v>1267</v>
      </c>
    </row>
    <row r="94" spans="1:5" x14ac:dyDescent="0.25">
      <c r="B94" t="s">
        <v>1268</v>
      </c>
    </row>
    <row r="95" spans="1:5" x14ac:dyDescent="0.25">
      <c r="B95" t="s">
        <v>1269</v>
      </c>
    </row>
    <row r="96" spans="1:5" x14ac:dyDescent="0.25">
      <c r="B96" t="s">
        <v>1270</v>
      </c>
    </row>
    <row r="97" spans="2:5" x14ac:dyDescent="0.25">
      <c r="B97" t="s">
        <v>1273</v>
      </c>
      <c r="C97" t="s">
        <v>263</v>
      </c>
    </row>
    <row r="98" spans="2:5" x14ac:dyDescent="0.25">
      <c r="B98" t="s">
        <v>1276</v>
      </c>
      <c r="C98" t="s">
        <v>29</v>
      </c>
    </row>
    <row r="99" spans="2:5" x14ac:dyDescent="0.25">
      <c r="B99" t="s">
        <v>1277</v>
      </c>
      <c r="C99" t="s">
        <v>1278</v>
      </c>
    </row>
    <row r="100" spans="2:5" x14ac:dyDescent="0.25">
      <c r="B100" t="s">
        <v>1297</v>
      </c>
      <c r="C100" t="s">
        <v>271</v>
      </c>
    </row>
    <row r="101" spans="2:5" x14ac:dyDescent="0.25">
      <c r="B101" t="s">
        <v>1410</v>
      </c>
      <c r="C101" t="s">
        <v>1409</v>
      </c>
      <c r="D101">
        <v>7000</v>
      </c>
      <c r="E101">
        <v>2001</v>
      </c>
    </row>
    <row r="102" spans="2:5" x14ac:dyDescent="0.25">
      <c r="B102" t="s">
        <v>1358</v>
      </c>
      <c r="C102" t="s">
        <v>1204</v>
      </c>
      <c r="D102">
        <v>2900</v>
      </c>
    </row>
    <row r="103" spans="2:5" x14ac:dyDescent="0.25">
      <c r="B103" t="s">
        <v>747</v>
      </c>
      <c r="C103" t="s">
        <v>272</v>
      </c>
      <c r="D103">
        <v>2500</v>
      </c>
    </row>
    <row r="104" spans="2:5" x14ac:dyDescent="0.25">
      <c r="B104" t="s">
        <v>1368</v>
      </c>
      <c r="C104" t="s">
        <v>34</v>
      </c>
      <c r="D104">
        <v>1600</v>
      </c>
      <c r="E104">
        <v>2021</v>
      </c>
    </row>
    <row r="105" spans="2:5" x14ac:dyDescent="0.25">
      <c r="B105" t="s">
        <v>1663</v>
      </c>
      <c r="C105" t="s">
        <v>37</v>
      </c>
      <c r="D105">
        <v>1300</v>
      </c>
      <c r="E105">
        <v>2006</v>
      </c>
    </row>
    <row r="106" spans="2:5" x14ac:dyDescent="0.25">
      <c r="B106" t="s">
        <v>1366</v>
      </c>
      <c r="C106" t="s">
        <v>34</v>
      </c>
      <c r="D106">
        <v>993</v>
      </c>
      <c r="E106">
        <v>2021</v>
      </c>
    </row>
    <row r="107" spans="2:5" x14ac:dyDescent="0.25">
      <c r="B107" t="s">
        <v>1357</v>
      </c>
      <c r="C107" t="s">
        <v>32</v>
      </c>
    </row>
    <row r="108" spans="2:5" x14ac:dyDescent="0.25">
      <c r="B108" t="s">
        <v>1365</v>
      </c>
      <c r="C108" t="s">
        <v>34</v>
      </c>
    </row>
    <row r="109" spans="2:5" x14ac:dyDescent="0.25">
      <c r="B109" t="s">
        <v>1367</v>
      </c>
      <c r="C109" t="s">
        <v>34</v>
      </c>
    </row>
    <row r="110" spans="2:5" x14ac:dyDescent="0.25">
      <c r="B110" t="s">
        <v>1438</v>
      </c>
      <c r="C110" t="s">
        <v>1439</v>
      </c>
    </row>
    <row r="111" spans="2:5" x14ac:dyDescent="0.25">
      <c r="B111" t="s">
        <v>1440</v>
      </c>
      <c r="C111" t="s">
        <v>14</v>
      </c>
    </row>
    <row r="112" spans="2:5" x14ac:dyDescent="0.25">
      <c r="B112" t="s">
        <v>673</v>
      </c>
      <c r="C112" t="s">
        <v>1254</v>
      </c>
      <c r="E112" s="13">
        <v>45520</v>
      </c>
    </row>
    <row r="113" spans="2:3" x14ac:dyDescent="0.25">
      <c r="B113" t="s">
        <v>1653</v>
      </c>
      <c r="C113" t="s">
        <v>1654</v>
      </c>
    </row>
    <row r="114" spans="2:3" x14ac:dyDescent="0.25">
      <c r="B114" t="s">
        <v>1664</v>
      </c>
      <c r="C114" t="s">
        <v>39</v>
      </c>
    </row>
    <row r="115" spans="2:3" x14ac:dyDescent="0.25">
      <c r="B115" t="s">
        <v>1681</v>
      </c>
      <c r="C115" t="s">
        <v>18</v>
      </c>
    </row>
    <row r="116" spans="2:3" x14ac:dyDescent="0.25">
      <c r="B116" t="s">
        <v>1682</v>
      </c>
      <c r="C116" t="s">
        <v>18</v>
      </c>
    </row>
    <row r="117" spans="2:3" x14ac:dyDescent="0.25">
      <c r="B117" t="s">
        <v>1686</v>
      </c>
      <c r="C117" t="s">
        <v>14</v>
      </c>
    </row>
    <row r="118" spans="2:3" x14ac:dyDescent="0.25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1258</v>
      </c>
    </row>
    <row r="5" spans="2:183" x14ac:dyDescent="0.25">
      <c r="B5" t="s">
        <v>825</v>
      </c>
    </row>
    <row r="6" spans="2:183" x14ac:dyDescent="0.25">
      <c r="B6" t="s">
        <v>346</v>
      </c>
    </row>
    <row r="7" spans="2:183" ht="12.75" customHeight="1" x14ac:dyDescent="0.3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8" t="s">
        <v>1740</v>
      </c>
      <c r="EU7" s="118" t="s">
        <v>1740</v>
      </c>
      <c r="EV7" s="118" t="s">
        <v>1740</v>
      </c>
      <c r="EW7" s="118" t="s">
        <v>1740</v>
      </c>
      <c r="EX7" s="129" t="s">
        <v>1208</v>
      </c>
      <c r="EY7" s="129" t="s">
        <v>1208</v>
      </c>
      <c r="EZ7" s="129" t="s">
        <v>1208</v>
      </c>
      <c r="FA7" s="130" t="s">
        <v>1734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1764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3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3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5" t="s">
        <v>1259</v>
      </c>
      <c r="EK9" s="115" t="s">
        <v>1259</v>
      </c>
      <c r="EL9" s="115" t="s">
        <v>1259</v>
      </c>
      <c r="EM9" s="115" t="s">
        <v>1259</v>
      </c>
      <c r="EN9" s="115" t="s">
        <v>1259</v>
      </c>
      <c r="EO9" s="115" t="s">
        <v>1259</v>
      </c>
      <c r="EP9" s="115" t="s">
        <v>1259</v>
      </c>
      <c r="EQ9" s="115" t="s">
        <v>1259</v>
      </c>
      <c r="ER9" s="115" t="s">
        <v>1259</v>
      </c>
      <c r="ES9" s="115" t="s">
        <v>1259</v>
      </c>
      <c r="ET9" s="115" t="s">
        <v>1259</v>
      </c>
      <c r="EU9" s="115" t="s">
        <v>1259</v>
      </c>
      <c r="EV9" s="115" t="s">
        <v>1259</v>
      </c>
      <c r="EW9" s="132" t="s">
        <v>1743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3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5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7" t="s">
        <v>23</v>
      </c>
      <c r="EY12" s="117" t="s">
        <v>23</v>
      </c>
      <c r="EZ12" s="117" t="s">
        <v>23</v>
      </c>
      <c r="FA12" s="133" t="s">
        <v>1746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5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13" t="s">
        <v>1714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1769</v>
      </c>
      <c r="DU13" s="105" t="s">
        <v>1714</v>
      </c>
      <c r="DV13" s="105"/>
      <c r="DW13" s="105"/>
      <c r="DX13" s="105"/>
      <c r="DY13" s="105" t="s">
        <v>1714</v>
      </c>
      <c r="DZ13" s="105"/>
      <c r="EA13" s="105"/>
      <c r="EB13" s="105"/>
      <c r="EC13" s="105"/>
      <c r="ED13" s="105" t="s">
        <v>1714</v>
      </c>
      <c r="EE13" s="105"/>
      <c r="EF13" s="105"/>
      <c r="EG13" s="105"/>
      <c r="EH13" s="105"/>
      <c r="EI13" s="105" t="s">
        <v>1714</v>
      </c>
      <c r="EJ13" s="105" t="s">
        <v>1714</v>
      </c>
      <c r="EK13" s="105" t="s">
        <v>1714</v>
      </c>
      <c r="EL13" s="105" t="s">
        <v>1714</v>
      </c>
      <c r="EM13" s="105" t="s">
        <v>1714</v>
      </c>
      <c r="EN13" s="105" t="s">
        <v>1714</v>
      </c>
      <c r="EO13" s="105" t="s">
        <v>1714</v>
      </c>
      <c r="EP13" s="105" t="s">
        <v>1714</v>
      </c>
      <c r="EQ13" s="105" t="s">
        <v>1714</v>
      </c>
      <c r="ER13" s="105" t="s">
        <v>1714</v>
      </c>
      <c r="ES13" s="105" t="s">
        <v>1714</v>
      </c>
      <c r="ET13" s="105" t="s">
        <v>1714</v>
      </c>
      <c r="EU13" s="105" t="s">
        <v>1714</v>
      </c>
      <c r="EV13" s="105" t="s">
        <v>1714</v>
      </c>
      <c r="EW13" s="116" t="s">
        <v>1734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5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5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5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19" t="s">
        <v>1747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1762</v>
      </c>
      <c r="CT16" s="123" t="s">
        <v>1747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1747</v>
      </c>
      <c r="DZ16" s="104" t="s">
        <v>1747</v>
      </c>
      <c r="EA16" s="104" t="s">
        <v>1747</v>
      </c>
      <c r="EB16" s="104" t="s">
        <v>1747</v>
      </c>
      <c r="EC16" s="104" t="s">
        <v>1747</v>
      </c>
      <c r="ED16" s="104" t="s">
        <v>1747</v>
      </c>
      <c r="EE16" s="104" t="s">
        <v>1747</v>
      </c>
      <c r="EF16" s="104" t="s">
        <v>1747</v>
      </c>
      <c r="EG16" s="104" t="s">
        <v>1747</v>
      </c>
      <c r="EH16" s="104" t="s">
        <v>1747</v>
      </c>
      <c r="EI16" s="104" t="s">
        <v>1747</v>
      </c>
      <c r="EJ16" s="104" t="s">
        <v>1747</v>
      </c>
      <c r="EK16" s="104" t="s">
        <v>1747</v>
      </c>
      <c r="EL16" s="104" t="s">
        <v>1747</v>
      </c>
      <c r="EM16" s="104" t="s">
        <v>1747</v>
      </c>
      <c r="EN16" s="104" t="s">
        <v>1747</v>
      </c>
      <c r="EO16" s="104" t="s">
        <v>1747</v>
      </c>
      <c r="EP16" s="104" t="s">
        <v>1747</v>
      </c>
      <c r="EQ16" s="127" t="s">
        <v>1747</v>
      </c>
      <c r="ER16" s="128" t="s">
        <v>1763</v>
      </c>
      <c r="ES16" s="118" t="s">
        <v>1747</v>
      </c>
      <c r="ET16" s="119" t="s">
        <v>1747</v>
      </c>
      <c r="EU16" s="119" t="s">
        <v>1747</v>
      </c>
      <c r="EV16" s="119" t="s">
        <v>1747</v>
      </c>
      <c r="EW16" s="119" t="s">
        <v>1747</v>
      </c>
      <c r="EX16" s="119" t="s">
        <v>1747</v>
      </c>
      <c r="EY16" s="119" t="s">
        <v>1747</v>
      </c>
      <c r="EZ16" s="119" t="s">
        <v>1747</v>
      </c>
      <c r="FA16" s="119" t="s">
        <v>1747</v>
      </c>
      <c r="FB16" s="119" t="s">
        <v>1747</v>
      </c>
      <c r="FC16" s="119" t="s">
        <v>1747</v>
      </c>
      <c r="FD16" s="119" t="s">
        <v>1747</v>
      </c>
      <c r="FE16" s="119" t="s">
        <v>1747</v>
      </c>
      <c r="FF16" s="119" t="s">
        <v>1747</v>
      </c>
      <c r="FG16" s="124" t="s">
        <v>1734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5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5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5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5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2" t="s">
        <v>1749</v>
      </c>
      <c r="CG20" s="121" t="s">
        <v>1749</v>
      </c>
      <c r="CH20" s="121" t="s">
        <v>1749</v>
      </c>
      <c r="CI20" s="121" t="s">
        <v>1749</v>
      </c>
      <c r="CJ20" s="121" t="s">
        <v>1749</v>
      </c>
      <c r="CK20" s="121" t="s">
        <v>1749</v>
      </c>
      <c r="CL20" s="121" t="s">
        <v>1749</v>
      </c>
      <c r="CM20" s="121" t="s">
        <v>1749</v>
      </c>
      <c r="CN20" s="121" t="s">
        <v>1749</v>
      </c>
      <c r="CO20" s="121" t="s">
        <v>1749</v>
      </c>
      <c r="CP20" s="121" t="s">
        <v>1749</v>
      </c>
      <c r="CQ20" s="121" t="s">
        <v>1749</v>
      </c>
      <c r="CR20" s="121" t="s">
        <v>1749</v>
      </c>
      <c r="CS20" s="121" t="s">
        <v>1749</v>
      </c>
      <c r="CT20" s="121" t="s">
        <v>1749</v>
      </c>
      <c r="CU20" s="121" t="s">
        <v>1749</v>
      </c>
      <c r="CV20" s="121" t="s">
        <v>1749</v>
      </c>
      <c r="CW20" s="121" t="s">
        <v>1749</v>
      </c>
      <c r="CX20" s="121" t="s">
        <v>1749</v>
      </c>
      <c r="CY20" s="121" t="s">
        <v>1749</v>
      </c>
      <c r="CZ20" s="121" t="s">
        <v>1749</v>
      </c>
      <c r="DA20" s="121" t="s">
        <v>1749</v>
      </c>
      <c r="DB20" s="121" t="s">
        <v>1749</v>
      </c>
      <c r="DC20" s="121" t="s">
        <v>1749</v>
      </c>
      <c r="DD20" s="121" t="s">
        <v>1749</v>
      </c>
      <c r="DE20" s="121" t="s">
        <v>1749</v>
      </c>
      <c r="DF20" s="121" t="s">
        <v>1749</v>
      </c>
      <c r="DG20" s="121" t="s">
        <v>1749</v>
      </c>
      <c r="DH20" s="121" t="s">
        <v>1749</v>
      </c>
      <c r="DI20" s="121" t="s">
        <v>1749</v>
      </c>
      <c r="DJ20" s="121" t="s">
        <v>1749</v>
      </c>
      <c r="DK20" s="121" t="s">
        <v>1749</v>
      </c>
      <c r="DL20" s="121" t="s">
        <v>1749</v>
      </c>
      <c r="DM20" s="121" t="s">
        <v>1749</v>
      </c>
      <c r="DN20" s="121" t="s">
        <v>1749</v>
      </c>
      <c r="DO20" s="121" t="s">
        <v>1749</v>
      </c>
      <c r="DP20" s="121" t="s">
        <v>1749</v>
      </c>
      <c r="DQ20" s="121" t="s">
        <v>1749</v>
      </c>
      <c r="DR20" s="121" t="s">
        <v>1749</v>
      </c>
      <c r="DS20" s="121" t="s">
        <v>1749</v>
      </c>
      <c r="DT20" s="121" t="s">
        <v>1749</v>
      </c>
      <c r="DU20" s="121" t="s">
        <v>1749</v>
      </c>
      <c r="DV20" s="121" t="s">
        <v>1749</v>
      </c>
      <c r="DW20" s="121" t="s">
        <v>1749</v>
      </c>
      <c r="DX20" s="121" t="s">
        <v>1749</v>
      </c>
      <c r="DY20" s="121" t="s">
        <v>1749</v>
      </c>
      <c r="DZ20" s="121" t="s">
        <v>1749</v>
      </c>
      <c r="EA20" s="121" t="s">
        <v>1749</v>
      </c>
      <c r="EB20" s="121" t="s">
        <v>1749</v>
      </c>
      <c r="EC20" s="121" t="s">
        <v>1749</v>
      </c>
      <c r="ED20" s="121" t="s">
        <v>1749</v>
      </c>
      <c r="EE20" s="121" t="s">
        <v>1749</v>
      </c>
      <c r="EF20" s="121" t="s">
        <v>1749</v>
      </c>
      <c r="EG20" s="121" t="s">
        <v>1749</v>
      </c>
      <c r="EH20" s="121" t="s">
        <v>1749</v>
      </c>
      <c r="EI20" s="121" t="s">
        <v>1749</v>
      </c>
      <c r="EJ20" s="121" t="s">
        <v>1749</v>
      </c>
      <c r="EK20" s="121" t="s">
        <v>1749</v>
      </c>
      <c r="EL20" s="121" t="s">
        <v>1749</v>
      </c>
      <c r="EM20" s="121" t="s">
        <v>1749</v>
      </c>
      <c r="EN20" s="121" t="s">
        <v>1749</v>
      </c>
      <c r="EO20" s="121" t="s">
        <v>1749</v>
      </c>
      <c r="EP20" s="121" t="s">
        <v>1749</v>
      </c>
      <c r="EQ20" s="121" t="s">
        <v>1749</v>
      </c>
      <c r="ER20" s="131" t="s">
        <v>1760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5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3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3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3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25"/>
      <c r="FV24" s="125"/>
      <c r="FW24" s="125"/>
    </row>
    <row r="25" spans="2:179" ht="12.75" customHeight="1" x14ac:dyDescent="0.3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25"/>
      <c r="FV25" s="125"/>
      <c r="FW25" s="125"/>
    </row>
    <row r="26" spans="2:179" ht="12.75" customHeight="1" x14ac:dyDescent="0.3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25"/>
      <c r="FW26" s="125"/>
    </row>
    <row r="27" spans="2:179" ht="12.75" customHeight="1" x14ac:dyDescent="0.25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1247</v>
      </c>
    </row>
    <row r="30" spans="2:179" ht="12.75" customHeight="1" x14ac:dyDescent="0.25">
      <c r="B30" t="s">
        <v>1248</v>
      </c>
    </row>
    <row r="31" spans="2:179" ht="12.75" customHeight="1" x14ac:dyDescent="0.25">
      <c r="B31" t="s">
        <v>1697</v>
      </c>
    </row>
    <row r="32" spans="2:179" ht="12.75" customHeight="1" x14ac:dyDescent="0.25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05" t="s">
        <v>1263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10" t="s">
        <v>1713</v>
      </c>
      <c r="EO44" s="107"/>
      <c r="EP44" s="107"/>
      <c r="EQ44" s="110" t="s">
        <v>1713</v>
      </c>
      <c r="ER44" s="107"/>
      <c r="ES44" s="107"/>
      <c r="ET44" s="107"/>
      <c r="EU44" s="110" t="s">
        <v>1713</v>
      </c>
      <c r="EV44" s="107"/>
      <c r="EW44" s="107"/>
      <c r="EX44" s="107"/>
      <c r="EY44" s="107"/>
      <c r="EZ44" s="107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1730</v>
      </c>
      <c r="EY46" s="111"/>
      <c r="EZ46" s="111" t="s">
        <v>1730</v>
      </c>
      <c r="FA46" s="111"/>
      <c r="FB46" s="111" t="s">
        <v>1730</v>
      </c>
      <c r="FC46" s="111"/>
    </row>
    <row r="47" spans="2:179" x14ac:dyDescent="0.25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08" t="s">
        <v>1719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1726</v>
      </c>
      <c r="EX47" s="111"/>
      <c r="EY47" s="111"/>
      <c r="EZ47" s="111"/>
      <c r="FA47" s="111"/>
      <c r="FB47" s="111"/>
      <c r="FC47" s="111"/>
    </row>
    <row r="48" spans="2:179" x14ac:dyDescent="0.25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5">
      <c r="B49" t="s">
        <v>1715</v>
      </c>
    </row>
    <row r="50" spans="2:77" x14ac:dyDescent="0.25">
      <c r="B50" t="s">
        <v>1716</v>
      </c>
    </row>
    <row r="51" spans="2:77" x14ac:dyDescent="0.25">
      <c r="B51" t="s">
        <v>1717</v>
      </c>
    </row>
    <row r="52" spans="2:77" x14ac:dyDescent="0.25">
      <c r="B52" t="s">
        <v>1718</v>
      </c>
    </row>
    <row r="53" spans="2:77" x14ac:dyDescent="0.25">
      <c r="B53" t="s">
        <v>1720</v>
      </c>
    </row>
    <row r="54" spans="2:77" x14ac:dyDescent="0.25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1260</v>
      </c>
    </row>
    <row r="62" spans="2:77" x14ac:dyDescent="0.25">
      <c r="B62" t="s">
        <v>1239</v>
      </c>
    </row>
    <row r="63" spans="2:77" x14ac:dyDescent="0.25">
      <c r="B63" t="s">
        <v>1238</v>
      </c>
    </row>
    <row r="64" spans="2:77" x14ac:dyDescent="0.25">
      <c r="B64" t="s">
        <v>255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286</v>
      </c>
    </row>
    <row r="2" spans="1:2" x14ac:dyDescent="0.25">
      <c r="B2" t="s">
        <v>1262</v>
      </c>
    </row>
    <row r="3" spans="1:2" x14ac:dyDescent="0.25">
      <c r="B3" t="s">
        <v>993</v>
      </c>
    </row>
    <row r="4" spans="1:2" x14ac:dyDescent="0.2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2025-03-28T12:46:19Z</dcterms:modified>
</cp:coreProperties>
</file>