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5C6201C-D4AD-4A76-886E-4FCD55AB9B58}" xr6:coauthVersionLast="47" xr6:coauthVersionMax="47" xr10:uidLastSave="{00000000-0000-0000-0000-000000000000}"/>
  <bookViews>
    <workbookView xWindow="-27435" yWindow="2160" windowWidth="26790" windowHeight="16005" activeTab="2" xr2:uid="{00000000-000D-0000-FFFF-FFFF00000000}"/>
  </bookViews>
  <sheets>
    <sheet name="Master" sheetId="23" r:id="rId1"/>
    <sheet name="Main" sheetId="1" r:id="rId2"/>
    <sheet name="Model" sheetId="6" r:id="rId3"/>
    <sheet name="Cobenfy" sheetId="24" r:id="rId4"/>
    <sheet name="Opdivo" sheetId="19" r:id="rId5"/>
    <sheet name="Orencia" sheetId="3" r:id="rId6"/>
    <sheet name="Yervoy" sheetId="10" r:id="rId7"/>
    <sheet name="Eliquis" sheetId="9" r:id="rId8"/>
    <sheet name="Camzyos" sheetId="25" r:id="rId9"/>
    <sheet name="Empliciti" sheetId="22" r:id="rId10"/>
    <sheet name="Avapro" sheetId="17" r:id="rId11"/>
    <sheet name="Plavix" sheetId="2" r:id="rId12"/>
    <sheet name="Abilify" sheetId="11" r:id="rId13"/>
    <sheet name="Reyataz" sheetId="15" r:id="rId14"/>
    <sheet name="Sprycel" sheetId="8" r:id="rId15"/>
    <sheet name="Erbitux" sheetId="12" r:id="rId16"/>
    <sheet name="Onglyza" sheetId="18" r:id="rId17"/>
    <sheet name="Sustiva" sheetId="16" r:id="rId18"/>
    <sheet name="dapagliflozin" sheetId="13" r:id="rId19"/>
    <sheet name="ixabepilone" sheetId="7" r:id="rId20"/>
    <sheet name="790052" sheetId="14" r:id="rId21"/>
    <sheet name="Discontinuations" sheetId="5" r:id="rId22"/>
    <sheet name="brivanib" sheetId="21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44" i="6" l="1"/>
  <c r="BY141" i="6"/>
  <c r="BY142" i="6"/>
  <c r="BY140" i="6"/>
  <c r="BY139" i="6"/>
  <c r="BY138" i="6"/>
  <c r="BY135" i="6"/>
  <c r="BY134" i="6"/>
  <c r="BY133" i="6"/>
  <c r="BY132" i="6"/>
  <c r="BY129" i="6"/>
  <c r="BY128" i="6"/>
  <c r="BY127" i="6"/>
  <c r="BY126" i="6"/>
  <c r="BY125" i="6"/>
  <c r="BY124" i="6"/>
  <c r="BY123" i="6"/>
  <c r="BY122" i="6"/>
  <c r="BY118" i="6"/>
  <c r="BY116" i="6"/>
  <c r="BY106" i="6"/>
  <c r="BY94" i="6" s="1"/>
  <c r="BY95" i="6"/>
  <c r="BY101" i="6"/>
  <c r="BX144" i="6"/>
  <c r="BX142" i="6"/>
  <c r="BX141" i="6"/>
  <c r="BX140" i="6"/>
  <c r="BX139" i="6"/>
  <c r="BX138" i="6"/>
  <c r="BX135" i="6"/>
  <c r="BX136" i="6" s="1"/>
  <c r="BX134" i="6"/>
  <c r="BX133" i="6"/>
  <c r="BX132" i="6"/>
  <c r="BX130" i="6"/>
  <c r="BX129" i="6"/>
  <c r="BX128" i="6"/>
  <c r="BX127" i="6"/>
  <c r="BX126" i="6"/>
  <c r="BX125" i="6"/>
  <c r="BX124" i="6"/>
  <c r="BX123" i="6"/>
  <c r="BX122" i="6"/>
  <c r="BX118" i="6"/>
  <c r="BX116" i="6"/>
  <c r="BX106" i="6"/>
  <c r="BX101" i="6"/>
  <c r="BX95" i="6"/>
  <c r="BZ145" i="6"/>
  <c r="BW145" i="6"/>
  <c r="BW142" i="6"/>
  <c r="BW138" i="6"/>
  <c r="BZ136" i="6"/>
  <c r="BW132" i="6"/>
  <c r="BW136" i="6" s="1"/>
  <c r="BW129" i="6"/>
  <c r="BW127" i="6"/>
  <c r="BW126" i="6"/>
  <c r="BZ130" i="6"/>
  <c r="BY130" i="6"/>
  <c r="BW106" i="6"/>
  <c r="BW116" i="6" s="1"/>
  <c r="BW118" i="6" s="1"/>
  <c r="BZ104" i="6"/>
  <c r="BX104" i="6"/>
  <c r="BW101" i="6"/>
  <c r="BW104" i="6"/>
  <c r="BV104" i="6"/>
  <c r="BU104" i="6"/>
  <c r="BW95" i="6"/>
  <c r="BZ94" i="6"/>
  <c r="BX94" i="6"/>
  <c r="BV94" i="6"/>
  <c r="BU94" i="6"/>
  <c r="DS158" i="6"/>
  <c r="DU157" i="6"/>
  <c r="DU158" i="6" s="1"/>
  <c r="DT157" i="6"/>
  <c r="DT158" i="6" s="1"/>
  <c r="DS157" i="6"/>
  <c r="DU117" i="6"/>
  <c r="DU114" i="6"/>
  <c r="DU113" i="6"/>
  <c r="DU112" i="6"/>
  <c r="DU111" i="6"/>
  <c r="DU110" i="6"/>
  <c r="DU109" i="6"/>
  <c r="DU108" i="6"/>
  <c r="DU107" i="6"/>
  <c r="DU102" i="6"/>
  <c r="DU100" i="6"/>
  <c r="DU99" i="6"/>
  <c r="DU98" i="6"/>
  <c r="DU97" i="6"/>
  <c r="DU96" i="6"/>
  <c r="CD115" i="6"/>
  <c r="DU115" i="6" s="1"/>
  <c r="CD106" i="6"/>
  <c r="CD116" i="6" s="1"/>
  <c r="CD118" i="6" s="1"/>
  <c r="CD95" i="6"/>
  <c r="DU95" i="6" s="1"/>
  <c r="CD103" i="6"/>
  <c r="DU103" i="6" s="1"/>
  <c r="CD101" i="6"/>
  <c r="DU101" i="6" s="1"/>
  <c r="DT25" i="6"/>
  <c r="BY136" i="6" l="1"/>
  <c r="BY145" i="6"/>
  <c r="BY104" i="6"/>
  <c r="BX145" i="6"/>
  <c r="BW130" i="6"/>
  <c r="BW94" i="6"/>
  <c r="DU104" i="6"/>
  <c r="CD104" i="6"/>
  <c r="DU106" i="6"/>
  <c r="DU116" i="6" s="1"/>
  <c r="DU118" i="6" s="1"/>
  <c r="CD94" i="6"/>
  <c r="CC115" i="6"/>
  <c r="CC106" i="6"/>
  <c r="CC101" i="6"/>
  <c r="CC95" i="6"/>
  <c r="CC103" i="6"/>
  <c r="CC94" i="6" l="1"/>
  <c r="CC116" i="6"/>
  <c r="CC118" i="6" s="1"/>
  <c r="CC104" i="6"/>
  <c r="CE10" i="6"/>
  <c r="CF10" i="6" s="1"/>
  <c r="CG10" i="6" s="1"/>
  <c r="CH10" i="6" s="1"/>
  <c r="CH13" i="6"/>
  <c r="CG13" i="6"/>
  <c r="CF13" i="6"/>
  <c r="CE13" i="6"/>
  <c r="CH7" i="6"/>
  <c r="CG7" i="6"/>
  <c r="CF7" i="6"/>
  <c r="CE7" i="6"/>
  <c r="CH6" i="6"/>
  <c r="CH75" i="6" s="1"/>
  <c r="CG6" i="6"/>
  <c r="CG75" i="6" s="1"/>
  <c r="CF6" i="6"/>
  <c r="CF75" i="6" s="1"/>
  <c r="CE6" i="6"/>
  <c r="CE75" i="6" s="1"/>
  <c r="CE12" i="6"/>
  <c r="CF12" i="6" s="1"/>
  <c r="CG12" i="6" s="1"/>
  <c r="CH12" i="6" s="1"/>
  <c r="CE19" i="6"/>
  <c r="CF19" i="6" s="1"/>
  <c r="CG19" i="6" s="1"/>
  <c r="CH19" i="6" s="1"/>
  <c r="CD75" i="6"/>
  <c r="CC75" i="6"/>
  <c r="CD78" i="6"/>
  <c r="CC78" i="6"/>
  <c r="CD56" i="6"/>
  <c r="AL39" i="6"/>
  <c r="AM65" i="6"/>
  <c r="AS61" i="6" l="1"/>
  <c r="AO61" i="6"/>
  <c r="AO55" i="6"/>
  <c r="AP61" i="6"/>
  <c r="AX78" i="6"/>
  <c r="AX74" i="6"/>
  <c r="AX73" i="6"/>
  <c r="AT61" i="6"/>
  <c r="X11" i="6"/>
  <c r="I11" i="6"/>
  <c r="J11" i="6"/>
  <c r="K11" i="6"/>
  <c r="L11" i="6"/>
  <c r="M11" i="6"/>
  <c r="E11" i="6"/>
  <c r="D11" i="6"/>
  <c r="C11" i="6"/>
  <c r="H11" i="6"/>
  <c r="G11" i="6"/>
  <c r="F11" i="6"/>
  <c r="V11" i="6"/>
  <c r="U11" i="6"/>
  <c r="T11" i="6"/>
  <c r="S11" i="6"/>
  <c r="R11" i="6"/>
  <c r="Q11" i="6"/>
  <c r="P11" i="6"/>
  <c r="O11" i="6"/>
  <c r="N11" i="6"/>
  <c r="AP55" i="6"/>
  <c r="AT55" i="6"/>
  <c r="AT57" i="6" s="1"/>
  <c r="AT62" i="6" s="1"/>
  <c r="AS55" i="6"/>
  <c r="AS57" i="6" s="1"/>
  <c r="AR61" i="6"/>
  <c r="AY78" i="6"/>
  <c r="AY74" i="6"/>
  <c r="AY73" i="6"/>
  <c r="AZ78" i="6"/>
  <c r="AZ74" i="6"/>
  <c r="AZ73" i="6"/>
  <c r="AV61" i="6"/>
  <c r="AR55" i="6"/>
  <c r="AR57" i="6" s="1"/>
  <c r="AQ61" i="6"/>
  <c r="AU61" i="6"/>
  <c r="AQ55" i="6"/>
  <c r="AQ57" i="6" s="1"/>
  <c r="AU55" i="6"/>
  <c r="AU57" i="6" s="1"/>
  <c r="AV55" i="6"/>
  <c r="AV57" i="6" s="1"/>
  <c r="CB144" i="6"/>
  <c r="CB141" i="6"/>
  <c r="CB140" i="6"/>
  <c r="CB135" i="6"/>
  <c r="CB134" i="6"/>
  <c r="CB133" i="6"/>
  <c r="CB128" i="6"/>
  <c r="CB125" i="6"/>
  <c r="CB124" i="6"/>
  <c r="CB123" i="6"/>
  <c r="CB122" i="6"/>
  <c r="CA138" i="6"/>
  <c r="CA142" i="6" s="1"/>
  <c r="CA132" i="6"/>
  <c r="CB132" i="6" s="1"/>
  <c r="CC132" i="6" s="1"/>
  <c r="CA129" i="6"/>
  <c r="CB129" i="6" s="1"/>
  <c r="CC129" i="6" s="1"/>
  <c r="CD129" i="6" s="1"/>
  <c r="CA127" i="6"/>
  <c r="CB127" i="6" s="1"/>
  <c r="CC127" i="6" s="1"/>
  <c r="CD127" i="6" s="1"/>
  <c r="CA126" i="6"/>
  <c r="CB126" i="6" s="1"/>
  <c r="CC126" i="6" s="1"/>
  <c r="CD126" i="6" s="1"/>
  <c r="CA115" i="6"/>
  <c r="CA106" i="6"/>
  <c r="CA116" i="6" s="1"/>
  <c r="CA118" i="6" s="1"/>
  <c r="CA95" i="6"/>
  <c r="CA101" i="6"/>
  <c r="CA103" i="6"/>
  <c r="DX25" i="6"/>
  <c r="DY25" i="6" s="1"/>
  <c r="DZ25" i="6" s="1"/>
  <c r="EA25" i="6" s="1"/>
  <c r="EB25" i="6" s="1"/>
  <c r="EC25" i="6" s="1"/>
  <c r="ED25" i="6" s="1"/>
  <c r="EE25" i="6" s="1"/>
  <c r="EF25" i="6" s="1"/>
  <c r="CB69" i="6"/>
  <c r="CE60" i="6"/>
  <c r="CE58" i="6"/>
  <c r="CE61" i="6" s="1"/>
  <c r="DV66" i="6"/>
  <c r="DU66" i="6"/>
  <c r="DV63" i="6"/>
  <c r="DU25" i="6"/>
  <c r="CF25" i="6"/>
  <c r="CG25" i="6" s="1"/>
  <c r="CH25" i="6" s="1"/>
  <c r="CF8" i="6"/>
  <c r="CE8" i="6"/>
  <c r="CH8" i="6"/>
  <c r="CG8" i="6"/>
  <c r="DU13" i="6"/>
  <c r="CF18" i="6"/>
  <c r="CE18" i="6"/>
  <c r="CH18" i="6"/>
  <c r="CG18" i="6"/>
  <c r="DV18" i="6" s="1"/>
  <c r="CF16" i="6"/>
  <c r="CE16" i="6"/>
  <c r="CH16" i="6"/>
  <c r="CG16" i="6"/>
  <c r="AQ62" i="6" l="1"/>
  <c r="AQ64" i="6" s="1"/>
  <c r="AQ67" i="6" s="1"/>
  <c r="AQ68" i="6" s="1"/>
  <c r="CA104" i="6"/>
  <c r="AT71" i="6"/>
  <c r="CB138" i="6"/>
  <c r="CC138" i="6" s="1"/>
  <c r="CB130" i="6"/>
  <c r="DV16" i="6"/>
  <c r="DU129" i="6"/>
  <c r="CC135" i="6"/>
  <c r="CD135" i="6" s="1"/>
  <c r="CA136" i="6"/>
  <c r="CA145" i="6" s="1"/>
  <c r="CC125" i="6"/>
  <c r="CD125" i="6" s="1"/>
  <c r="CC128" i="6"/>
  <c r="CD128" i="6" s="1"/>
  <c r="CC133" i="6"/>
  <c r="CD133" i="6" s="1"/>
  <c r="CB136" i="6"/>
  <c r="CC140" i="6"/>
  <c r="CD140" i="6" s="1"/>
  <c r="CC144" i="6"/>
  <c r="CC124" i="6"/>
  <c r="CD124" i="6" s="1"/>
  <c r="CC134" i="6"/>
  <c r="CD134" i="6" s="1"/>
  <c r="CB142" i="6"/>
  <c r="CB145" i="6" s="1"/>
  <c r="DU127" i="6"/>
  <c r="DV8" i="6"/>
  <c r="CD132" i="6"/>
  <c r="CD136" i="6" s="1"/>
  <c r="CD138" i="6"/>
  <c r="CC141" i="6"/>
  <c r="CD141" i="6" s="1"/>
  <c r="DU138" i="6"/>
  <c r="CC122" i="6"/>
  <c r="AU62" i="6"/>
  <c r="AU64" i="6" s="1"/>
  <c r="AU67" i="6" s="1"/>
  <c r="AU68" i="6" s="1"/>
  <c r="CA130" i="6"/>
  <c r="DU126" i="6"/>
  <c r="CC123" i="6"/>
  <c r="CD123" i="6" s="1"/>
  <c r="AP57" i="6"/>
  <c r="AV71" i="6"/>
  <c r="AS62" i="6"/>
  <c r="AS64" i="6" s="1"/>
  <c r="AS67" i="6" s="1"/>
  <c r="AS68" i="6" s="1"/>
  <c r="AO57" i="6"/>
  <c r="AS71" i="6"/>
  <c r="AU71" i="6"/>
  <c r="AO62" i="6"/>
  <c r="AO64" i="6" s="1"/>
  <c r="AO67" i="6" s="1"/>
  <c r="AO68" i="6" s="1"/>
  <c r="AP62" i="6"/>
  <c r="AP64" i="6" s="1"/>
  <c r="AP67" i="6" s="1"/>
  <c r="AP68" i="6" s="1"/>
  <c r="AT64" i="6"/>
  <c r="AT67" i="6" s="1"/>
  <c r="AT68" i="6" s="1"/>
  <c r="AR62" i="6"/>
  <c r="AR64" i="6" s="1"/>
  <c r="AR67" i="6" s="1"/>
  <c r="AR68" i="6" s="1"/>
  <c r="AV62" i="6"/>
  <c r="AV64" i="6" s="1"/>
  <c r="AV67" i="6" s="1"/>
  <c r="AV68" i="6" s="1"/>
  <c r="CE9" i="6"/>
  <c r="CF9" i="6" s="1"/>
  <c r="CG9" i="6" s="1"/>
  <c r="CH9" i="6" s="1"/>
  <c r="DU18" i="6"/>
  <c r="CE17" i="6"/>
  <c r="CF17" i="6" s="1"/>
  <c r="CG17" i="6" s="1"/>
  <c r="CH17" i="6" s="1"/>
  <c r="CE21" i="6"/>
  <c r="CF21" i="6" s="1"/>
  <c r="CG21" i="6" s="1"/>
  <c r="CH21" i="6" s="1"/>
  <c r="DU8" i="6"/>
  <c r="DU16" i="6"/>
  <c r="DV10" i="6"/>
  <c r="DU15" i="6"/>
  <c r="CE15" i="6"/>
  <c r="DU20" i="6"/>
  <c r="CE20" i="6"/>
  <c r="DU14" i="6"/>
  <c r="CE14" i="6"/>
  <c r="CC69" i="6"/>
  <c r="CE69" i="6" s="1"/>
  <c r="CE11" i="6"/>
  <c r="DU10" i="6"/>
  <c r="DV13" i="6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H3" i="6"/>
  <c r="DU7" i="6"/>
  <c r="DT11" i="6"/>
  <c r="DQ6" i="6"/>
  <c r="CF5" i="6"/>
  <c r="CF74" i="6" s="1"/>
  <c r="CE5" i="6"/>
  <c r="CE74" i="6" s="1"/>
  <c r="CH5" i="6"/>
  <c r="CH74" i="6" s="1"/>
  <c r="CD74" i="6"/>
  <c r="CB74" i="6"/>
  <c r="CA74" i="6"/>
  <c r="BZ74" i="6"/>
  <c r="BY74" i="6"/>
  <c r="BX74" i="6"/>
  <c r="CF4" i="6"/>
  <c r="CE4" i="6"/>
  <c r="CH4" i="6"/>
  <c r="CH73" i="6" s="1"/>
  <c r="CF73" i="6"/>
  <c r="CE73" i="6"/>
  <c r="CD73" i="6"/>
  <c r="DU140" i="6" l="1"/>
  <c r="CD144" i="6"/>
  <c r="DU132" i="6"/>
  <c r="DU144" i="6"/>
  <c r="CD122" i="6"/>
  <c r="CD130" i="6" s="1"/>
  <c r="CC130" i="6"/>
  <c r="DU141" i="6"/>
  <c r="DU142" i="6" s="1"/>
  <c r="DU123" i="6"/>
  <c r="DU133" i="6"/>
  <c r="DU122" i="6"/>
  <c r="DU125" i="6"/>
  <c r="CC142" i="6"/>
  <c r="DU124" i="6"/>
  <c r="DU128" i="6"/>
  <c r="CD142" i="6"/>
  <c r="CD145" i="6" s="1"/>
  <c r="DU135" i="6"/>
  <c r="DU134" i="6"/>
  <c r="CC136" i="6"/>
  <c r="DU17" i="6"/>
  <c r="DU9" i="6"/>
  <c r="DU11" i="6"/>
  <c r="DU21" i="6"/>
  <c r="CF11" i="6"/>
  <c r="CG11" i="6" s="1"/>
  <c r="CH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DV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CD57" i="6" s="1"/>
  <c r="CD87" i="6" s="1"/>
  <c r="DU19" i="6"/>
  <c r="CF69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CC73" i="6"/>
  <c r="CC145" i="6" l="1"/>
  <c r="DU136" i="6"/>
  <c r="DU130" i="6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DU145" i="6"/>
  <c r="DV5" i="6"/>
  <c r="CG74" i="6"/>
  <c r="DW6" i="6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C87" i="6" s="1"/>
  <c r="CE57" i="6"/>
  <c r="CE62" i="6" s="1"/>
  <c r="CE64" i="6" s="1"/>
  <c r="CE65" i="6" s="1"/>
  <c r="CE67" i="6" s="1"/>
  <c r="CE68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F55" i="6"/>
  <c r="CG69" i="6"/>
  <c r="CG73" i="6"/>
  <c r="CE56" i="6" l="1"/>
  <c r="CC56" i="6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94" i="6" s="1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W71" i="6" s="1"/>
  <c r="AX56" i="6"/>
  <c r="BB56" i="6"/>
  <c r="BB74" i="6"/>
  <c r="BB73" i="6"/>
  <c r="AX61" i="6"/>
  <c r="BB61" i="6"/>
  <c r="AX55" i="6"/>
  <c r="AX71" i="6" s="1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Y71" i="6" s="1"/>
  <c r="AZ56" i="6"/>
  <c r="BD56" i="6"/>
  <c r="AZ61" i="6"/>
  <c r="BD61" i="6"/>
  <c r="BC55" i="6"/>
  <c r="AZ55" i="6"/>
  <c r="AZ71" i="6" s="1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DS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L61" i="6"/>
  <c r="AN55" i="6"/>
  <c r="AM55" i="6"/>
  <c r="AL55" i="6"/>
  <c r="AL57" i="6" s="1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O71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8" i="6"/>
  <c r="CP148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AL62" i="6" l="1"/>
  <c r="AL64" i="6" s="1"/>
  <c r="AL67" i="6" s="1"/>
  <c r="AL68" i="6" s="1"/>
  <c r="DS60" i="6"/>
  <c r="AN57" i="6"/>
  <c r="AN71" i="6"/>
  <c r="AR71" i="6"/>
  <c r="AM57" i="6"/>
  <c r="AM62" i="6" s="1"/>
  <c r="AM64" i="6" s="1"/>
  <c r="AM67" i="6" s="1"/>
  <c r="AM68" i="6" s="1"/>
  <c r="AM71" i="6"/>
  <c r="AQ71" i="6"/>
  <c r="AP71" i="6"/>
  <c r="CB57" i="6"/>
  <c r="CF71" i="6"/>
  <c r="EC19" i="6"/>
  <c r="CB116" i="6"/>
  <c r="CB118" i="6" s="1"/>
  <c r="CA57" i="6"/>
  <c r="BR71" i="6"/>
  <c r="BG71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AL71" i="6" s="1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DS58" i="6" l="1"/>
  <c r="DS61" i="6" s="1"/>
  <c r="CB60" i="6"/>
  <c r="DT60" i="6"/>
  <c r="CA62" i="6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91" i="6"/>
  <c r="BT64" i="6"/>
  <c r="BT67" i="6" s="1"/>
  <c r="BT68" i="6" s="1"/>
  <c r="BT91" i="6"/>
  <c r="BX71" i="6"/>
  <c r="BX58" i="6"/>
  <c r="DT58" i="6" s="1"/>
  <c r="DT61" i="6" s="1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S56" i="6" s="1"/>
  <c r="DS57" i="6" s="1"/>
  <c r="DS62" i="6" s="1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BU67" i="6" l="1"/>
  <c r="BU68" i="6" s="1"/>
  <c r="DS65" i="6"/>
  <c r="CA68" i="6"/>
  <c r="CA121" i="6"/>
  <c r="BZ61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X17" i="6"/>
  <c r="BX56" i="6"/>
  <c r="BZ56" i="6"/>
  <c r="BW56" i="6"/>
  <c r="BW62" i="6"/>
  <c r="BV64" i="6"/>
  <c r="BX62" i="6"/>
  <c r="BZ63" i="6"/>
  <c r="DT63" i="6" s="1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DV87" i="6" l="1"/>
  <c r="DT56" i="6"/>
  <c r="DT57" i="6"/>
  <c r="DT62" i="6" s="1"/>
  <c r="EE5" i="6"/>
  <c r="CG58" i="6"/>
  <c r="CG61" i="6" s="1"/>
  <c r="CG62" i="6" s="1"/>
  <c r="CG64" i="6" s="1"/>
  <c r="CC61" i="6"/>
  <c r="CC62" i="6" s="1"/>
  <c r="CH58" i="6"/>
  <c r="CH61" i="6" s="1"/>
  <c r="CH62" i="6" s="1"/>
  <c r="CH64" i="6" s="1"/>
  <c r="CD61" i="6"/>
  <c r="CD62" i="6" s="1"/>
  <c r="DU58" i="6"/>
  <c r="CF58" i="6"/>
  <c r="CB61" i="6"/>
  <c r="CB62" i="6" s="1"/>
  <c r="BZ64" i="6"/>
  <c r="BZ65" i="6" s="1"/>
  <c r="BZ67" i="6" s="1"/>
  <c r="DW55" i="6"/>
  <c r="DY17" i="6"/>
  <c r="BX91" i="6"/>
  <c r="BX64" i="6"/>
  <c r="BX65" i="6" s="1"/>
  <c r="BX67" i="6" s="1"/>
  <c r="BV67" i="6"/>
  <c r="BV68" i="6" s="1"/>
  <c r="BY64" i="6"/>
  <c r="BY65" i="6" s="1"/>
  <c r="BY67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BY68" i="6" l="1"/>
  <c r="BY121" i="6"/>
  <c r="BX68" i="6"/>
  <c r="BX121" i="6"/>
  <c r="BZ68" i="6"/>
  <c r="BZ121" i="6"/>
  <c r="DU61" i="6"/>
  <c r="DU62" i="6" s="1"/>
  <c r="DU64" i="6" s="1"/>
  <c r="CD64" i="6"/>
  <c r="CD91" i="6"/>
  <c r="CC64" i="6"/>
  <c r="CC91" i="6"/>
  <c r="CB91" i="6"/>
  <c r="CB64" i="6"/>
  <c r="CH65" i="6"/>
  <c r="CH67" i="6" s="1"/>
  <c r="CH68" i="6" s="1"/>
  <c r="CF61" i="6"/>
  <c r="CF62" i="6" s="1"/>
  <c r="CF64" i="6" s="1"/>
  <c r="DV58" i="6"/>
  <c r="DV61" i="6" s="1"/>
  <c r="DV62" i="6" s="1"/>
  <c r="EF5" i="6"/>
  <c r="CD67" i="6"/>
  <c r="CC65" i="6"/>
  <c r="CC67" i="6" s="1"/>
  <c r="CC121" i="6" s="1"/>
  <c r="CG65" i="6"/>
  <c r="CG67" i="6" s="1"/>
  <c r="CG68" i="6" s="1"/>
  <c r="DW57" i="6"/>
  <c r="DW89" i="6"/>
  <c r="DW90" i="6"/>
  <c r="DW58" i="6"/>
  <c r="DW71" i="6"/>
  <c r="DX55" i="6"/>
  <c r="DZ17" i="6"/>
  <c r="EA17" i="6" s="1"/>
  <c r="EB17" i="6" s="1"/>
  <c r="BW65" i="6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D68" i="6" l="1"/>
  <c r="CD121" i="6"/>
  <c r="DW87" i="6"/>
  <c r="BW67" i="6"/>
  <c r="DT65" i="6"/>
  <c r="DW56" i="6"/>
  <c r="CC68" i="6"/>
  <c r="CE94" i="6"/>
  <c r="CF65" i="6"/>
  <c r="DV65" i="6" s="1"/>
  <c r="EC17" i="6"/>
  <c r="EB55" i="6"/>
  <c r="CB65" i="6"/>
  <c r="DX89" i="6"/>
  <c r="DX90" i="6"/>
  <c r="DX58" i="6"/>
  <c r="DX57" i="6"/>
  <c r="DX56" i="6" s="1"/>
  <c r="DX71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BW68" i="6" l="1"/>
  <c r="BW121" i="6"/>
  <c r="DU65" i="6"/>
  <c r="DU67" i="6" s="1"/>
  <c r="CF67" i="6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62" i="6" s="1"/>
  <c r="EB91" i="6" s="1"/>
  <c r="EB88" i="6"/>
  <c r="EB87" i="6"/>
  <c r="EB56" i="6"/>
  <c r="EC89" i="6"/>
  <c r="EC71" i="6"/>
  <c r="EC90" i="6"/>
  <c r="EC57" i="6"/>
  <c r="EC87" i="6" s="1"/>
  <c r="EC58" i="6"/>
  <c r="EE17" i="6"/>
  <c r="ED55" i="6"/>
  <c r="CB68" i="6"/>
  <c r="CB121" i="6"/>
  <c r="DU121" i="6" s="1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C56" i="6" l="1"/>
  <c r="ED58" i="6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E56" i="6" l="1"/>
  <c r="EF56" i="6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S90" i="6"/>
  <c r="DS71" i="6"/>
  <c r="DS88" i="6"/>
  <c r="DU76" i="6"/>
  <c r="DV76" i="6"/>
  <c r="DR89" i="6"/>
  <c r="DR61" i="6"/>
  <c r="DR62" i="6" s="1"/>
  <c r="DR91" i="6" s="1"/>
  <c r="DX94" i="6" l="1"/>
  <c r="DY63" i="6" s="1"/>
  <c r="DY64" i="6" s="1"/>
  <c r="DS89" i="6"/>
  <c r="DS91" i="6"/>
  <c r="DT71" i="6"/>
  <c r="DT90" i="6"/>
  <c r="DT88" i="6"/>
  <c r="DY65" i="6" l="1"/>
  <c r="DY92" i="6" s="1"/>
  <c r="DT89" i="6"/>
  <c r="DT91" i="6"/>
  <c r="DU71" i="6"/>
  <c r="DU90" i="6"/>
  <c r="DU88" i="6"/>
  <c r="DV90" i="6"/>
  <c r="DV71" i="6"/>
  <c r="DV88" i="6"/>
  <c r="DY67" i="6" l="1"/>
  <c r="DY68" i="6" s="1"/>
  <c r="DU89" i="6"/>
  <c r="DU91" i="6"/>
  <c r="DV89" i="6"/>
  <c r="DY94" i="6" l="1"/>
  <c r="DZ63" i="6" s="1"/>
  <c r="DZ64" i="6" s="1"/>
  <c r="DV64" i="6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l="1"/>
  <c r="DS67" i="6"/>
  <c r="DS68" i="6" s="1"/>
  <c r="DZ68" i="6"/>
  <c r="DZ94" i="6"/>
  <c r="DT64" i="6"/>
  <c r="DT92" i="6" l="1"/>
  <c r="DT67" i="6"/>
  <c r="DT68" i="6" s="1"/>
  <c r="EA63" i="6"/>
  <c r="EA64" i="6" s="1"/>
  <c r="DU68" i="6"/>
  <c r="DU92" i="6"/>
  <c r="EA65" i="6" l="1"/>
  <c r="EA92" i="6" s="1"/>
  <c r="DV92" i="6"/>
  <c r="DV68" i="6"/>
  <c r="DP63" i="6"/>
  <c r="DP64" i="6" s="1"/>
  <c r="DP65" i="6" s="1"/>
  <c r="DP92" i="6" s="1"/>
  <c r="DO63" i="6"/>
  <c r="DO64" i="6" s="1"/>
  <c r="DO65" i="6" s="1"/>
  <c r="DO92" i="6" s="1"/>
  <c r="DL63" i="6"/>
  <c r="DL64" i="6" s="1"/>
  <c r="DL65" i="6" s="1"/>
  <c r="DL92" i="6" s="1"/>
  <c r="DM63" i="6"/>
  <c r="DM64" i="6" s="1"/>
  <c r="DN63" i="6"/>
  <c r="DN64" i="6" s="1"/>
  <c r="DN65" i="6" s="1"/>
  <c r="DN67" i="6" s="1"/>
  <c r="DN92" i="6" l="1"/>
  <c r="EA67" i="6"/>
  <c r="EA68" i="6" s="1"/>
  <c r="DO67" i="6"/>
  <c r="DN68" i="6"/>
  <c r="DM65" i="6"/>
  <c r="DM92" i="6" s="1"/>
  <c r="DL67" i="6"/>
  <c r="DL68" i="6" s="1"/>
  <c r="EA94" i="6" l="1"/>
  <c r="EB63" i="6" s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 s="1"/>
  <c r="EB67" i="6" l="1"/>
  <c r="EB68" i="6" s="1"/>
  <c r="DJ67" i="6"/>
  <c r="DJ68" i="6" s="1"/>
  <c r="DK67" i="6"/>
  <c r="DK68" i="6" s="1"/>
  <c r="DI65" i="6"/>
  <c r="DI92" i="6" s="1"/>
  <c r="EB94" i="6" l="1"/>
  <c r="EC63" i="6" s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F94" i="6" l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N55" i="6"/>
  <c r="N57" i="6" s="1"/>
  <c r="N88" i="6" l="1"/>
  <c r="N87" i="6"/>
  <c r="N62" i="6"/>
  <c r="N89" i="6"/>
  <c r="N90" i="6"/>
  <c r="N64" i="6" l="1"/>
  <c r="N91" i="6"/>
  <c r="N67" i="6" l="1"/>
  <c r="N68" i="6" s="1"/>
  <c r="N92" i="6"/>
  <c r="O55" i="6"/>
  <c r="O90" i="6" s="1"/>
  <c r="O88" i="6" l="1"/>
  <c r="O89" i="6"/>
  <c r="O57" i="6"/>
  <c r="P55" i="6"/>
  <c r="P57" i="6" s="1"/>
  <c r="P89" i="6" l="1"/>
  <c r="P88" i="6"/>
  <c r="O62" i="6"/>
  <c r="O87" i="6"/>
  <c r="P62" i="6"/>
  <c r="P87" i="6"/>
  <c r="P90" i="6"/>
  <c r="O64" i="6" l="1"/>
  <c r="O91" i="6"/>
  <c r="P91" i="6"/>
  <c r="P64" i="6"/>
  <c r="O67" i="6" l="1"/>
  <c r="O68" i="6" s="1"/>
  <c r="O92" i="6"/>
  <c r="P92" i="6"/>
  <c r="P67" i="6"/>
  <c r="P68" i="6" l="1"/>
  <c r="P94" i="6"/>
  <c r="Q55" i="6"/>
  <c r="Q89" i="6" s="1"/>
  <c r="Q57" i="6" l="1"/>
  <c r="Q88" i="6"/>
  <c r="Q90" i="6"/>
  <c r="DE11" i="6"/>
  <c r="DE55" i="6"/>
  <c r="R55" i="6"/>
  <c r="R56" i="6" s="1"/>
  <c r="R89" i="6"/>
  <c r="R90" i="6" l="1"/>
  <c r="R87" i="6"/>
  <c r="R88" i="6"/>
  <c r="R71" i="6"/>
  <c r="Q87" i="6"/>
  <c r="DE57" i="6"/>
  <c r="Q62" i="6"/>
  <c r="R91" i="6"/>
  <c r="S55" i="6"/>
  <c r="S57" i="6" s="1"/>
  <c r="Q64" i="6" l="1"/>
  <c r="Q91" i="6"/>
  <c r="S71" i="6"/>
  <c r="S88" i="6"/>
  <c r="W71" i="6"/>
  <c r="DE62" i="6"/>
  <c r="DE64" i="6" s="1"/>
  <c r="DE67" i="6" s="1"/>
  <c r="DE68" i="6" s="1"/>
  <c r="DE87" i="6"/>
  <c r="DE56" i="6"/>
  <c r="S62" i="6"/>
  <c r="S87" i="6"/>
  <c r="S90" i="6"/>
  <c r="S89" i="6"/>
  <c r="Q67" i="6" l="1"/>
  <c r="Q68" i="6" s="1"/>
  <c r="Q92" i="6"/>
  <c r="S91" i="6"/>
  <c r="S64" i="6"/>
  <c r="S67" i="6" l="1"/>
  <c r="S68" i="6" s="1"/>
  <c r="S92" i="6"/>
  <c r="T55" i="6"/>
  <c r="T88" i="6" s="1"/>
  <c r="T89" i="6" l="1"/>
  <c r="T71" i="6"/>
  <c r="T90" i="6"/>
  <c r="T57" i="6"/>
  <c r="T62" i="6" l="1"/>
  <c r="T87" i="6"/>
  <c r="T91" i="6" l="1"/>
  <c r="T64" i="6"/>
  <c r="T92" i="6" l="1"/>
  <c r="T67" i="6"/>
  <c r="T68" i="6" s="1"/>
  <c r="U55" i="6"/>
  <c r="U89" i="6" s="1"/>
  <c r="Y71" i="6" l="1"/>
  <c r="U88" i="6"/>
  <c r="U71" i="6"/>
  <c r="U90" i="6"/>
  <c r="U57" i="6"/>
  <c r="U62" i="6" l="1"/>
  <c r="U87" i="6"/>
  <c r="DF11" i="6"/>
  <c r="DF55" i="6" s="1"/>
  <c r="V55" i="6"/>
  <c r="Z71" i="6" s="1"/>
  <c r="U64" i="6" l="1"/>
  <c r="U91" i="6"/>
  <c r="DF88" i="6"/>
  <c r="DF71" i="6"/>
  <c r="DF89" i="6"/>
  <c r="V57" i="6"/>
  <c r="V71" i="6"/>
  <c r="V90" i="6"/>
  <c r="V89" i="6"/>
  <c r="V88" i="6"/>
  <c r="U67" i="6" l="1"/>
  <c r="U68" i="6" s="1"/>
  <c r="U92" i="6"/>
  <c r="V62" i="6"/>
  <c r="DF57" i="6"/>
  <c r="V87" i="6"/>
  <c r="DF62" i="6" l="1"/>
  <c r="DF64" i="6" s="1"/>
  <c r="DF67" i="6" s="1"/>
  <c r="DF68" i="6" s="1"/>
  <c r="DF87" i="6"/>
  <c r="DF56" i="6"/>
  <c r="V91" i="6"/>
  <c r="V64" i="6"/>
  <c r="V67" i="6" l="1"/>
  <c r="V68" i="6" s="1"/>
  <c r="V92" i="6"/>
  <c r="I55" i="6"/>
  <c r="E55" i="6"/>
  <c r="E57" i="6" s="1"/>
  <c r="I71" i="6" l="1"/>
  <c r="I57" i="6"/>
  <c r="E87" i="6"/>
  <c r="E62" i="6"/>
  <c r="E64" i="6" s="1"/>
  <c r="E67" i="6" s="1"/>
  <c r="E68" i="6" s="1"/>
  <c r="F55" i="6"/>
  <c r="F57" i="6" s="1"/>
  <c r="G55" i="6"/>
  <c r="G57" i="6" s="1"/>
  <c r="G87" i="6" s="1"/>
  <c r="F87" i="6" l="1"/>
  <c r="F62" i="6"/>
  <c r="F64" i="6" s="1"/>
  <c r="F67" i="6" s="1"/>
  <c r="F68" i="6" s="1"/>
  <c r="I87" i="6"/>
  <c r="I62" i="6"/>
  <c r="I64" i="6" s="1"/>
  <c r="I67" i="6" s="1"/>
  <c r="I68" i="6" s="1"/>
  <c r="G62" i="6"/>
  <c r="G64" i="6" s="1"/>
  <c r="G67" i="6" s="1"/>
  <c r="G68" i="6" s="1"/>
  <c r="H55" i="6"/>
  <c r="H57" i="6" s="1"/>
  <c r="H87" i="6" l="1"/>
  <c r="H62" i="6"/>
  <c r="H64" i="6" s="1"/>
  <c r="H67" i="6" s="1"/>
  <c r="H68" i="6" s="1"/>
  <c r="C55" i="6"/>
  <c r="G71" i="6" s="1"/>
  <c r="C57" i="6" l="1"/>
  <c r="C87" i="6" l="1"/>
  <c r="C62" i="6"/>
  <c r="C64" i="6" s="1"/>
  <c r="C67" i="6" s="1"/>
  <c r="C68" i="6" s="1"/>
  <c r="D55" i="6"/>
  <c r="D57" i="6" s="1"/>
  <c r="DB11" i="6"/>
  <c r="DB55" i="6" s="1"/>
  <c r="H71" i="6" l="1"/>
  <c r="DB87" i="6"/>
  <c r="DB71" i="6"/>
  <c r="D62" i="6"/>
  <c r="D64" i="6" s="1"/>
  <c r="D67" i="6" s="1"/>
  <c r="D68" i="6" s="1"/>
  <c r="D87" i="6"/>
  <c r="M55" i="6"/>
  <c r="M89" i="6" s="1"/>
  <c r="M57" i="6" l="1"/>
  <c r="M71" i="6"/>
  <c r="M90" i="6"/>
  <c r="M88" i="6"/>
  <c r="Q71" i="6"/>
  <c r="M62" i="6" l="1"/>
  <c r="M87" i="6"/>
  <c r="M64" i="6" l="1"/>
  <c r="M91" i="6"/>
  <c r="M92" i="6" l="1"/>
  <c r="M67" i="6"/>
  <c r="M68" i="6" s="1"/>
  <c r="L55" i="6"/>
  <c r="L89" i="6" s="1"/>
  <c r="P71" i="6" l="1"/>
  <c r="L71" i="6"/>
  <c r="L88" i="6"/>
  <c r="L90" i="6"/>
  <c r="L57" i="6"/>
  <c r="L87" i="6" l="1"/>
  <c r="L62" i="6"/>
  <c r="L64" i="6" l="1"/>
  <c r="L91" i="6"/>
  <c r="L67" i="6" l="1"/>
  <c r="L68" i="6" s="1"/>
  <c r="L92" i="6"/>
  <c r="K55" i="6"/>
  <c r="K71" i="6" s="1"/>
  <c r="DD11" i="6"/>
  <c r="DD55" i="6" s="1"/>
  <c r="DE71" i="6" s="1"/>
  <c r="K57" i="6" l="1"/>
  <c r="K62" i="6" s="1"/>
  <c r="K89" i="6"/>
  <c r="K88" i="6"/>
  <c r="K90" i="6"/>
  <c r="O71" i="6"/>
  <c r="K91" i="6"/>
  <c r="K64" i="6"/>
  <c r="K87" i="6"/>
  <c r="DD57" i="6"/>
  <c r="DD87" i="6" s="1"/>
  <c r="DD56" i="6" l="1"/>
  <c r="K92" i="6"/>
  <c r="K67" i="6"/>
  <c r="K68" i="6" s="1"/>
  <c r="DC11" i="6"/>
  <c r="DC55" i="6" s="1"/>
  <c r="J55" i="6"/>
  <c r="N71" i="6" s="1"/>
  <c r="J57" i="6" l="1"/>
  <c r="J71" i="6"/>
  <c r="DD71" i="6"/>
  <c r="DC87" i="6"/>
  <c r="DC71" i="6"/>
  <c r="DD70" i="6"/>
  <c r="DG11" i="6"/>
  <c r="DG55" i="6" s="1"/>
  <c r="X55" i="6"/>
  <c r="X57" i="6" s="1"/>
  <c r="X89" i="6" l="1"/>
  <c r="X71" i="6"/>
  <c r="AB71" i="6"/>
  <c r="X90" i="6"/>
  <c r="X88" i="6"/>
  <c r="J62" i="6"/>
  <c r="J64" i="6" s="1"/>
  <c r="J67" i="6" s="1"/>
  <c r="J68" i="6" s="1"/>
  <c r="J87" i="6"/>
  <c r="X62" i="6"/>
  <c r="X87" i="6"/>
  <c r="DH71" i="6"/>
  <c r="DG88" i="6"/>
  <c r="DG71" i="6"/>
  <c r="DG89" i="6"/>
  <c r="DG57" i="6"/>
  <c r="DG62" i="6" s="1"/>
  <c r="DG64" i="6" s="1"/>
  <c r="DG67" i="6" s="1"/>
  <c r="DG68" i="6" s="1"/>
  <c r="X91" i="6" l="1"/>
  <c r="X64" i="6"/>
  <c r="X67" i="6" l="1"/>
  <c r="X68" i="6" s="1"/>
  <c r="X9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tc={D43BC2AC-F6DE-41E9-B105-54AC99C72584}</author>
    <author>tc={D001C4B3-37ED-44E4-8556-11B7C0E63283}</author>
    <author>tc={586D2F4C-34A9-4EB0-BCA0-FCD3D665610A}</author>
    <author>Dean Wagner</author>
    <author>MSMB</author>
    <author>tc={6C251F1D-2001-433E-8E0C-B9591BB48B53}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DS56" authorId="16" shapeId="0" xr:uid="{D43BC2AC-F6DE-41E9-B105-54AC99C7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5768 paid to alliance partners</t>
      </text>
    </comment>
    <comment ref="DT56" authorId="17" shapeId="0" xr:uid="{D001C4B3-37ED-44E4-8556-11B7C0E63283}">
      <text>
        <t>[Threaded comment]
Your version of Excel allows you to read this threaded comment; however, any edits to it will get removed if the file is opened in a newer version of Excel. Learn more: https://go.microsoft.com/fwlink/?linkid=870924
Comment:
    6067 paid to alliance partners</t>
      </text>
    </comment>
    <comment ref="DU56" authorId="18" shapeId="0" xr:uid="{586D2F4C-34A9-4EB0-BCA0-FCD3D665610A}">
      <text>
        <t>[Threaded comment]
Your version of Excel allows you to read this threaded comment; however, any edits to it will get removed if the file is opened in a newer version of Excel. Learn more: https://go.microsoft.com/fwlink/?linkid=870924
Comment:
    6597 paid to alliance partners</t>
      </text>
    </comment>
    <comment ref="AG58" authorId="19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20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20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D69" authorId="21" shapeId="0" xr:uid="{6C251F1D-2001-433E-8E0C-B9591BB48B53}">
      <text>
        <t>[Threaded comment]
Your version of Excel allows you to read this threaded comment; however, any edits to it will get removed if the file is opened in a newer version of Excel. Learn more: https://go.microsoft.com/fwlink/?linkid=870924
Comment:
    2/6/25 S/O</t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<sst xmlns="http://schemas.openxmlformats.org/spreadsheetml/2006/main" count="1541" uniqueCount="830">
  <si>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</si>
  <si>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</si>
  <si>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</si>
  <si>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</si>
  <si>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</si>
  <si>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</si>
  <si>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</si>
  <si>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</si>
  <si>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</si>
  <si>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</si>
  <si>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</si>
  <si>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</si>
  <si>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</si>
  <si>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</si>
  <si>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</si>
  <si>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</si>
  <si>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</si>
  <si>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</si>
  <si>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</si>
  <si>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</si>
  <si>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</si>
  <si>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</si>
  <si>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</si>
  <si>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</si>
  <si>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</si>
  <si>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</si>
  <si>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</si>
  <si>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</si>
  <si>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</si>
  <si>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</si>
  <si>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</si>
  <si>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</si>
  <si>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</si>
  <si>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</si>
  <si>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</si>
  <si>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</si>
  <si>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</si>
  <si>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</si>
  <si>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</si>
  <si>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</si>
  <si>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</si>
  <si>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</si>
  <si>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</si>
  <si>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</si>
  <si>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</si>
  <si>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</si>
  <si>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</si>
  <si>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</si>
  <si>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</si>
  <si>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</si>
  <si>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</si>
  <si>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</si>
  <si>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</si>
  <si>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</si>
  <si>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</si>
  <si>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</si>
  <si>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</si>
  <si>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</si>
  <si>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</si>
  <si>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</si>
  <si>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</si>
  <si>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</si>
  <si>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</si>
  <si>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</si>
  <si>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</si>
  <si>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</si>
  <si>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</si>
  <si>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</si>
  <si>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</si>
  <si>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</si>
  <si>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</si>
  <si>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</si>
  <si>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</si>
  <si>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</si>
  <si>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</si>
  <si>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</si>
  <si>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</si>
  <si>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</si>
  <si>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</si>
  <si>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</si>
  <si>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</si>
  <si>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</si>
  <si>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</si>
  <si>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</si>
  <si>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</si>
  <si>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</si>
  <si>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</si>
  <si>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</si>
  <si>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</si>
  <si>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</si>
  <si>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</si>
  <si>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</si>
  <si>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</si>
  <si>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</si>
  <si>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</si>
  <si>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</si>
  <si>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</si>
  <si>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</si>
  <si>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</si>
  <si>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</si>
  <si>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</si>
  <si>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</si>
  <si>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</si>
  <si>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</si>
  <si>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</si>
  <si>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</si>
  <si>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</si>
  <si>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</si>
  <si>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</si>
  <si>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</si>
  <si>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</si>
  <si>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</si>
  <si>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</si>
  <si>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</si>
  <si>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</si>
  <si>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</si>
  <si>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</si>
  <si>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</si>
  <si>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</si>
  <si>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</si>
  <si>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</si>
  <si>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</si>
  <si>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</si>
  <si>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</si>
  <si>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</si>
  <si>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</si>
  <si>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</si>
  <si>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</si>
  <si>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</si>
  <si>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</si>
  <si>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</si>
  <si>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</si>
  <si>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</si>
  <si>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</si>
  <si>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</si>
  <si>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</si>
  <si>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</si>
  <si>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</si>
  <si>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</si>
  <si>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</si>
  <si>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</si>
  <si>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</si>
  <si>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</si>
  <si>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</si>
  <si>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</si>
  <si>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</si>
  <si>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</si>
  <si>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</si>
  <si>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</si>
  <si>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</si>
  <si>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</si>
  <si>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</si>
  <si>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</si>
  <si>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</si>
  <si>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</si>
  <si>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</si>
  <si>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</si>
  <si>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</si>
  <si>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</si>
  <si>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</si>
  <si>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</si>
  <si>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</si>
  <si>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</si>
  <si>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</si>
  <si>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</si>
  <si>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</si>
  <si>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</si>
  <si>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</si>
  <si>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</si>
  <si>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</si>
  <si>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</si>
  <si>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</si>
  <si>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</si>
  <si>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</si>
  <si>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</si>
  <si>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</si>
  <si>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</si>
  <si>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</si>
  <si>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</si>
  <si>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</si>
  <si>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</si>
  <si>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</si>
  <si>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</si>
  <si>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</si>
  <si>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</si>
  <si>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</si>
  <si>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</si>
  <si>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</si>
  <si>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</si>
  <si>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</si>
  <si>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</si>
  <si>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</si>
  <si>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</si>
  <si>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</si>
  <si>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</si>
  <si>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</si>
  <si>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</si>
  <si>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</si>
  <si>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</si>
  <si>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</si>
  <si>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</si>
  <si>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</si>
  <si>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</si>
  <si>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</si>
  <si>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</si>
  <si>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</si>
  <si>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</si>
  <si>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</si>
  <si>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</si>
  <si>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</si>
  <si>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</si>
  <si>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</si>
  <si>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</si>
  <si>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</si>
  <si>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</si>
  <si>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</si>
  <si>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</si>
  <si>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</si>
  <si>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</si>
  <si>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</si>
  <si>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</si>
  <si>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</si>
  <si>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</si>
  <si>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</si>
  <si>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</si>
  <si>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</si>
  <si>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</si>
  <si>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</si>
  <si>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</si>
  <si>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</si>
  <si>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</si>
  <si>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</si>
  <si>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</si>
  <si>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</si>
  <si>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</si>
  <si>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</si>
  <si>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</si>
  <si>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</si>
  <si>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</si>
  <si>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</si>
  <si>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</si>
  <si>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</si>
  <si>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</si>
  <si>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</si>
  <si>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</si>
  <si>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</si>
  <si>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</si>
  <si>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</si>
  <si>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</si>
  <si>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</si>
  <si>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</si>
  <si>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</si>
  <si>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</si>
  <si>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</si>
  <si>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</si>
  <si>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</si>
  <si>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</si>
  <si>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</si>
  <si>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</si>
  <si>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</si>
  <si>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</si>
  <si>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</si>
  <si>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</si>
  <si>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</si>
  <si>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</si>
  <si>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</si>
  <si>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</si>
  <si>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</si>
  <si>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</si>
  <si>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</si>
  <si>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</si>
  <si>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</si>
  <si>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</si>
  <si>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</si>
  <si>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</si>
  <si>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</si>
  <si>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</si>
  <si>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</si>
  <si>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</si>
  <si>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</si>
  <si>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</si>
  <si>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</si>
  <si>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</si>
  <si>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</si>
  <si>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</si>
  <si>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</si>
  <si>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</si>
  <si>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</si>
  <si>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</si>
  <si>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</si>
  <si>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</si>
  <si>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</si>
  <si>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</si>
  <si>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</si>
  <si>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</si>
  <si>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</si>
  <si>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</si>
  <si>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</si>
  <si>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</si>
  <si>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</si>
  <si>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</si>
  <si>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</si>
  <si>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</si>
  <si>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</si>
  <si>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</si>
  <si>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</si>
  <si>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</si>
  <si>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</si>
  <si>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</si>
  <si>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</si>
  <si>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</si>
  <si>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</si>
  <si>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</si>
  <si>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</si>
  <si>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</si>
  <si>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</si>
  <si>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</si>
  <si>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</si>
  <si>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</si>
  <si>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</si>
  <si>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</si>
  <si>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</si>
  <si>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</si>
  <si>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</si>
  <si>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</si>
  <si>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</si>
  <si>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</si>
  <si>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</si>
  <si>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</si>
  <si>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</si>
  <si>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</si>
  <si>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</si>
  <si>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</si>
  <si>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</si>
  <si>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</si>
  <si>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</si>
  <si>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</si>
  <si>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</si>
  <si>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</si>
  <si>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</si>
  <si>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</si>
  <si>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</si>
  <si>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</si>
  <si>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</si>
  <si>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</si>
  <si>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</si>
  <si>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</si>
  <si>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</si>
  <si>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</si>
  <si>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</si>
  <si>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</si>
  <si>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</si>
  <si>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</si>
  <si>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</si>
  <si>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</si>
  <si>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</si>
  <si>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</si>
  <si>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</si>
  <si>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</si>
  <si>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</si>
  <si>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</si>
  <si>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</si>
  <si>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</si>
  <si>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</si>
  <si>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</si>
  <si>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</si>
  <si>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</si>
  <si>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</si>
  <si>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</si>
  <si>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</si>
  <si>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</si>
  <si>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</si>
  <si>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</si>
  <si>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</si>
  <si>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</si>
  <si>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</si>
  <si>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</si>
  <si>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</si>
  <si>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</si>
  <si>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</si>
  <si>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</si>
  <si>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</si>
  <si>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</si>
  <si>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</si>
  <si>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</si>
  <si>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</si>
  <si>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</si>
  <si>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</si>
  <si>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</si>
  <si>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</si>
  <si>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</si>
  <si>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</si>
  <si>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</si>
  <si>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</si>
  <si>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</si>
  <si>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</si>
  <si>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</si>
  <si>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</si>
  <si>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</si>
  <si>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</si>
  <si>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</si>
  <si>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</si>
  <si>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</si>
  <si>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</si>
  <si>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</si>
  <si>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</si>
  <si>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</si>
  <si>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</si>
  <si>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</si>
  <si>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</si>
  <si>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</si>
  <si>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</si>
  <si>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</si>
  <si>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</si>
  <si>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</si>
  <si>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</si>
  <si>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</si>
  <si>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</si>
  <si>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</si>
  <si>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</si>
  <si>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</si>
  <si>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</si>
  <si>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</si>
  <si>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</si>
  <si>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</si>
  <si>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</si>
  <si>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</si>
  <si>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</si>
  <si>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</si>
  <si>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</si>
  <si>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</si>
  <si>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</si>
  <si>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</si>
  <si>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</si>
  <si>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</si>
  <si>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</si>
  <si>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</si>
  <si>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</si>
  <si>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</si>
  <si>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</si>
  <si>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</si>
  <si>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</si>
  <si>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</si>
  <si>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</si>
  <si>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</si>
  <si>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</si>
  <si>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</si>
  <si>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</si>
  <si>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</si>
  <si>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</si>
  <si>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</si>
  <si>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</si>
  <si>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</si>
  <si>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</si>
  <si>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</si>
  <si>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</si>
  <si>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</si>
  <si>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</si>
  <si>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</si>
  <si>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</si>
  <si>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</si>
  <si>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</si>
  <si>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</si>
  <si>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</si>
  <si>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</si>
  <si>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</si>
  <si>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</si>
  <si>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</si>
  <si>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</si>
  <si>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</si>
  <si>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</si>
  <si>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</si>
  <si>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</si>
  <si>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</si>
  <si>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</si>
  <si>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</si>
  <si>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</si>
  <si>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</si>
  <si>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</si>
  <si>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</si>
  <si>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</si>
  <si>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</si>
  <si>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</si>
  <si>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</si>
  <si>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</si>
  <si>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</si>
  <si>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</si>
  <si>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</si>
  <si>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</si>
  <si>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</si>
  <si>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</si>
  <si>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</si>
  <si>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</si>
  <si>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</si>
  <si>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</si>
  <si>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</si>
  <si>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</si>
  <si>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</si>
  <si>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</si>
  <si>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</si>
  <si>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</si>
  <si>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</si>
  <si>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</si>
  <si>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</si>
  <si>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</si>
  <si>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</si>
  <si>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</si>
  <si>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</si>
  <si>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</si>
  <si>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</si>
  <si>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</si>
  <si>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</si>
  <si>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</si>
  <si>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</si>
  <si>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</si>
  <si>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</si>
  <si>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</si>
  <si>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</si>
  <si>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</si>
  <si>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</si>
  <si>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</si>
  <si>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</si>
  <si>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</si>
  <si>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</si>
  <si>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</si>
  <si>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</si>
  <si>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</si>
  <si>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</si>
  <si>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</si>
  <si>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</si>
  <si>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</si>
  <si>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</si>
  <si>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</si>
  <si>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</si>
  <si>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</si>
  <si>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</si>
  <si>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</si>
  <si>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</si>
  <si>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</si>
  <si>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</si>
  <si>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</si>
  <si>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</si>
  <si>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</si>
  <si>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</si>
  <si>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</si>
  <si>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</si>
  <si>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</si>
  <si>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</si>
  <si>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</si>
  <si>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</si>
  <si>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</si>
  <si>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</si>
  <si>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</si>
  <si>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</si>
  <si>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</si>
  <si>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</si>
  <si>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</si>
  <si>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</si>
  <si>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</si>
  <si>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</si>
  <si>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</si>
  <si>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</si>
  <si>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</si>
  <si>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</si>
  <si>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</si>
  <si>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</si>
  <si>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</si>
  <si>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</si>
  <si>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</si>
  <si>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</si>
  <si>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</si>
  <si>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</si>
  <si>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</si>
  <si>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</si>
  <si>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</si>
  <si>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</si>
  <si>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</si>
  <si>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</si>
  <si>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</si>
  <si>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</si>
  <si>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</si>
  <si>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</si>
  <si>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</si>
  <si>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</si>
  <si>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</si>
  <si>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</si>
  <si>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</si>
  <si>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</si>
  <si>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</si>
  <si>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</si>
  <si>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</si>
  <si>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</si>
  <si>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</si>
  <si>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</si>
  <si>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</si>
  <si>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</si>
  <si>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</si>
  <si>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</si>
  <si>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</si>
  <si>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</si>
  <si>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</si>
  <si>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</si>
  <si>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</si>
  <si>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</si>
  <si>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</si>
  <si>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</si>
  <si>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</si>
  <si>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</si>
  <si>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</si>
  <si>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</si>
  <si>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</si>
  <si>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</si>
  <si>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</si>
  <si>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</si>
  <si>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</si>
  <si>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</si>
  <si>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</si>
  <si>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</si>
  <si>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</si>
  <si>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</si>
  <si>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</si>
  <si>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</si>
  <si>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</si>
  <si>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</si>
  <si>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</si>
  <si>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</si>
  <si>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</si>
  <si>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</si>
  <si>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</si>
  <si>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</si>
  <si>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</si>
  <si>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</si>
  <si>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</si>
  <si>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</si>
  <si>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</si>
  <si>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</si>
  <si>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</si>
  <si>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</si>
  <si>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</si>
  <si>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</si>
  <si>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</si>
  <si>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</si>
  <si>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</si>
  <si>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</si>
  <si>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</si>
  <si>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</si>
  <si>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</si>
  <si>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</si>
  <si>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</si>
  <si>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</si>
  <si>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</si>
  <si>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</si>
  <si>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</si>
  <si>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</si>
  <si>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</si>
  <si>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</si>
  <si>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</si>
  <si>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</si>
  <si>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</si>
  <si>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</si>
  <si>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</si>
  <si>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</si>
  <si>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</si>
  <si>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</si>
  <si>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</si>
  <si>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</si>
  <si>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</si>
  <si>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</si>
  <si>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</si>
  <si>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</si>
  <si>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</si>
  <si>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</si>
  <si>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</si>
  <si>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</si>
  <si>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</si>
  <si>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</si>
  <si>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</si>
  <si>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</si>
  <si>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</si>
  <si>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</si>
  <si>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</si>
  <si>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</si>
  <si>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</si>
  <si>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</si>
  <si>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</si>
  <si>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</si>
  <si>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</si>
  <si>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</si>
  <si>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</si>
  <si>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</si>
  <si>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</si>
  <si>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</si>
  <si>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</si>
  <si>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</si>
  <si>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</si>
  <si>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</si>
  <si>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</si>
  <si>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</si>
  <si>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</si>
  <si>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</si>
  <si>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</si>
  <si>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</si>
  <si>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</si>
  <si>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</si>
  <si>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</si>
  <si>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</si>
  <si>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</si>
  <si>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</si>
  <si>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</si>
  <si>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</si>
  <si>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</si>
  <si>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</si>
  <si>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</si>
  <si>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</si>
  <si>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</si>
  <si>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</si>
  <si>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</si>
  <si>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</si>
  <si>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</si>
  <si>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</si>
  <si>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</si>
  <si>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</si>
  <si>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</si>
  <si>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</si>
  <si>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</si>
  <si>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</si>
  <si>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</si>
  <si>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</si>
  <si>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</si>
  <si>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</si>
  <si>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</si>
  <si>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</si>
  <si>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</si>
  <si>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</si>
  <si>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</si>
  <si>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</si>
  <si>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</si>
  <si>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</si>
  <si>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</si>
  <si>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</si>
  <si>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</si>
  <si>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</si>
  <si>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</si>
  <si>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</si>
  <si>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</si>
  <si>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</si>
  <si>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</si>
  <si>
    <t>mavacamten</t>
  </si>
  <si>
    <t>HCM</t>
  </si>
  <si>
    <t>$100k/year</t>
  </si>
  <si>
    <t>Cobenfy, fka KarXT</t>
  </si>
  <si>
    <t>Cobenfy (xanomeline/trospium)</t>
  </si>
  <si>
    <t>Cobenfy</t>
  </si>
  <si>
    <t>Founded: 1887</t>
  </si>
  <si>
    <t>Abecma (idecabtagene vicleucel)</t>
  </si>
  <si>
    <t>None</t>
  </si>
  <si>
    <t>generic</t>
  </si>
  <si>
    <t>2028-2031</t>
  </si>
  <si>
    <t>2030-2031</t>
  </si>
  <si>
    <t>Q126</t>
  </si>
  <si>
    <t>2033-2034</t>
  </si>
  <si>
    <t>2035-2037</t>
  </si>
  <si>
    <t>2029-2034</t>
  </si>
  <si>
    <t>2030-2033</t>
  </si>
  <si>
    <t>golcadomide</t>
  </si>
  <si>
    <t>DLBCL</t>
  </si>
  <si>
    <t>arlo-cel</t>
  </si>
  <si>
    <t>GPRC5D CAR T</t>
  </si>
  <si>
    <t>AR LDD</t>
  </si>
  <si>
    <t>mCRPC</t>
  </si>
  <si>
    <t>atigotatug</t>
  </si>
  <si>
    <t>SCLC</t>
  </si>
  <si>
    <t>Anti-fucosyl GM1</t>
  </si>
  <si>
    <t>RYZ101</t>
  </si>
  <si>
    <t>GPNET</t>
  </si>
  <si>
    <t>SOS1</t>
  </si>
  <si>
    <t>RYZ801</t>
  </si>
  <si>
    <t>HCC</t>
  </si>
  <si>
    <t>PRMT5</t>
  </si>
  <si>
    <t>Oncology</t>
  </si>
  <si>
    <t>EGFRxHER3 ADC</t>
  </si>
  <si>
    <t>BMS-986490</t>
  </si>
  <si>
    <t>BMS-986488</t>
  </si>
  <si>
    <t>BMS-986484</t>
  </si>
  <si>
    <t>HELIOS CELMoD</t>
  </si>
  <si>
    <t>BMS-986482</t>
  </si>
  <si>
    <t>BMS-986463</t>
  </si>
  <si>
    <t>BMS-986460</t>
  </si>
  <si>
    <t>Prostate Cancer</t>
  </si>
  <si>
    <t>CCR8</t>
  </si>
  <si>
    <t>admilparant</t>
  </si>
  <si>
    <t>LPA1 antagonist</t>
  </si>
  <si>
    <t>obexelimab</t>
  </si>
  <si>
    <t>IgG4-RD</t>
  </si>
  <si>
    <t>afimetoran</t>
  </si>
  <si>
    <t>SLE</t>
  </si>
  <si>
    <t>BMS-986454</t>
  </si>
  <si>
    <t>Autoimmune</t>
  </si>
  <si>
    <t>PKCtheta inhibitor</t>
  </si>
  <si>
    <t>PKCtheta</t>
  </si>
  <si>
    <t>IL2-CD25</t>
  </si>
  <si>
    <t>CD19 NEX T</t>
  </si>
  <si>
    <t>CD19</t>
  </si>
  <si>
    <t>BMS-986322</t>
  </si>
  <si>
    <t>MYK-224</t>
  </si>
  <si>
    <t>HFpEF</t>
  </si>
  <si>
    <t>BMS-986495</t>
  </si>
  <si>
    <t>Neurodegenerative</t>
  </si>
  <si>
    <t>SLE, Autoimmune, MS</t>
  </si>
  <si>
    <t>eIF2B activator</t>
  </si>
  <si>
    <t>eIF2B</t>
  </si>
  <si>
    <t>TRPC4/5 inhibitor</t>
  </si>
  <si>
    <t>Mood/Anxiety</t>
  </si>
  <si>
    <t>TRCP4/5</t>
  </si>
  <si>
    <t>FAAH/MGLL inhibitor</t>
  </si>
  <si>
    <t>Agitation, Spasticity</t>
  </si>
  <si>
    <t>FAAH/MGLL dual inhibitor</t>
  </si>
  <si>
    <t>Anti-MTBR Tau</t>
  </si>
  <si>
    <t>Discontinued</t>
  </si>
  <si>
    <t>Medicaid/Medicare Rebates</t>
  </si>
  <si>
    <t>Chargebacks/Cash Discounts</t>
  </si>
  <si>
    <t>Gross</t>
  </si>
  <si>
    <t>Total Adjustments</t>
  </si>
  <si>
    <t>Product</t>
  </si>
  <si>
    <t>SystImmune</t>
  </si>
  <si>
    <t>Paid $800m upfront</t>
  </si>
  <si>
    <t>BL-B01D1 (iza-bren)</t>
  </si>
  <si>
    <t>BAN1503</t>
  </si>
  <si>
    <t>BAN2803</t>
  </si>
  <si>
    <t>Buyback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</si>
</sst>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  <xf numFmtId="3" fontId="9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9" fillId="2" borderId="5" xfId="0" applyFont="1" applyFill="1" applyBorder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61575</xdr:colOff>
      <xdr:row>0</xdr:row>
      <xdr:rowOff>0</xdr:rowOff>
    </xdr:from>
    <xdr:to>
      <xdr:col>82</xdr:col>
      <xdr:colOff>61575</xdr:colOff>
      <xdr:row>154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9959419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125</xdr:col>
      <xdr:colOff>37871</xdr:colOff>
      <xdr:row>0</xdr:row>
      <xdr:rowOff>0</xdr:rowOff>
    </xdr:from>
    <xdr:to>
      <xdr:col>125</xdr:col>
      <xdr:colOff>37871</xdr:colOff>
      <xdr:row>146</xdr:row>
      <xdr:rowOff>148827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9372668" y="0"/>
          <a:ext cx="0" cy="223658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760413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  <threadedComment ref="DS56" dT="2025-04-21T23:10:55.31" personId="{9F68C8B4-E179-4E5B-B186-EECC601E0E41}" id="{D43BC2AC-F6DE-41E9-B105-54AC99C72584}">
    <text>5768 paid to alliance partners</text>
  </threadedComment>
  <threadedComment ref="DT56" dT="2025-04-21T23:10:44.91" personId="{9F68C8B4-E179-4E5B-B186-EECC601E0E41}" id="{D001C4B3-37ED-44E4-8556-11B7C0E63283}">
    <text>6067 paid to alliance partners</text>
  </threadedComment>
  <threadedComment ref="DU56" dT="2025-04-21T23:10:36.19" personId="{9F68C8B4-E179-4E5B-B186-EECC601E0E41}" id="{586D2F4C-34A9-4EB0-BCA0-FCD3D665610A}">
    <text>6597 paid to alliance partners</text>
  </threadedComment>
  <threadedComment ref="CD69" dT="2025-04-21T20:26:14.10" personId="{9F68C8B4-E179-4E5B-B186-EECC601E0E41}" id="{6C251F1D-2001-433E-8E0C-B9591BB48B53}">
    <text>2/6/25 S/O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3" sqref="H13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0" customWidth="1"/>
    <col min="11" max="11" width="10.28515625" bestFit="1" customWidth="1"/>
  </cols>
  <sheetData>
    <row r="1" spans="1:16" x14ac:dyDescent="0.2">
      <c r="A1" s="28" t="s">
        <v>63</v>
      </c>
    </row>
    <row r="2" spans="1:16" x14ac:dyDescent="0.2">
      <c r="B2" s="31" t="s">
        <v>64</v>
      </c>
      <c r="C2" s="31" t="s">
        <v>65</v>
      </c>
      <c r="D2" s="31" t="s">
        <v>487</v>
      </c>
      <c r="E2" s="31" t="s">
        <v>1</v>
      </c>
      <c r="F2" s="31" t="s">
        <v>140</v>
      </c>
      <c r="G2" s="31" t="s">
        <v>644</v>
      </c>
      <c r="H2" s="31" t="s">
        <v>494</v>
      </c>
      <c r="I2" s="31" t="s">
        <v>505</v>
      </c>
      <c r="J2" s="61" t="s">
        <v>508</v>
      </c>
      <c r="K2" s="31" t="s">
        <v>149</v>
      </c>
      <c r="L2" s="31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1"/>
      <c r="K6" s="6">
        <v>1</v>
      </c>
      <c r="L6" s="31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1"/>
      <c r="K7" s="31"/>
      <c r="L7" s="31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1"/>
      <c r="K8" s="31"/>
      <c r="L8" s="31"/>
    </row>
    <row r="9" spans="1:16" x14ac:dyDescent="0.2">
      <c r="B9" s="45" t="s">
        <v>402</v>
      </c>
      <c r="C9" s="7" t="s">
        <v>252</v>
      </c>
      <c r="D9" s="6">
        <v>1</v>
      </c>
      <c r="E9" s="26" t="s">
        <v>81</v>
      </c>
      <c r="F9" s="44">
        <v>40709</v>
      </c>
      <c r="G9" s="7"/>
      <c r="H9" s="7"/>
      <c r="I9" s="8" t="s">
        <v>291</v>
      </c>
      <c r="J9" s="61"/>
      <c r="K9" s="31"/>
      <c r="L9" s="31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1"/>
      <c r="K10" s="31"/>
      <c r="L10" s="31"/>
    </row>
    <row r="11" spans="1:16" x14ac:dyDescent="0.2">
      <c r="B11" s="31"/>
      <c r="C11" s="31"/>
      <c r="D11" s="31"/>
      <c r="E11" s="31"/>
      <c r="F11" s="31"/>
      <c r="G11" s="31"/>
      <c r="H11" s="31"/>
      <c r="I11" s="31"/>
      <c r="J11" s="61"/>
      <c r="K11" s="31"/>
      <c r="L11" s="31"/>
    </row>
    <row r="12" spans="1:16" x14ac:dyDescent="0.2">
      <c r="B12" s="45" t="s">
        <v>665</v>
      </c>
      <c r="D12" s="1"/>
      <c r="E12" s="25" t="s">
        <v>171</v>
      </c>
      <c r="F12" s="25"/>
      <c r="G12" s="25" t="s">
        <v>666</v>
      </c>
      <c r="H12" s="31"/>
      <c r="I12" s="31"/>
      <c r="J12" s="61"/>
      <c r="K12" s="31"/>
      <c r="L12" s="31"/>
    </row>
    <row r="13" spans="1:16" s="1" customFormat="1" x14ac:dyDescent="0.2">
      <c r="B13" s="45" t="s">
        <v>280</v>
      </c>
      <c r="D13" s="26" t="s">
        <v>818</v>
      </c>
      <c r="E13" s="7" t="s">
        <v>156</v>
      </c>
      <c r="F13" s="7" t="s">
        <v>281</v>
      </c>
      <c r="G13" s="22" t="s">
        <v>174</v>
      </c>
      <c r="H13" s="8"/>
    </row>
    <row r="14" spans="1:16" x14ac:dyDescent="0.2">
      <c r="B14" s="31" t="s">
        <v>183</v>
      </c>
      <c r="C14" s="31" t="s">
        <v>206</v>
      </c>
      <c r="D14" s="31" t="s">
        <v>488</v>
      </c>
      <c r="E14" s="31" t="s">
        <v>489</v>
      </c>
      <c r="F14" s="31" t="s">
        <v>493</v>
      </c>
      <c r="G14" s="31" t="s">
        <v>492</v>
      </c>
      <c r="H14" s="31" t="s">
        <v>495</v>
      </c>
    </row>
    <row r="15" spans="1:16" x14ac:dyDescent="0.2">
      <c r="B15" s="31" t="s">
        <v>183</v>
      </c>
      <c r="C15" s="31" t="s">
        <v>206</v>
      </c>
      <c r="D15" s="31" t="s">
        <v>488</v>
      </c>
      <c r="E15" s="31" t="s">
        <v>490</v>
      </c>
      <c r="F15" s="31" t="s">
        <v>493</v>
      </c>
      <c r="G15" s="31" t="s">
        <v>159</v>
      </c>
    </row>
    <row r="16" spans="1:16" x14ac:dyDescent="0.2">
      <c r="B16" s="31" t="s">
        <v>183</v>
      </c>
      <c r="C16" s="31" t="s">
        <v>206</v>
      </c>
      <c r="D16" s="31" t="s">
        <v>488</v>
      </c>
      <c r="E16" s="31" t="s">
        <v>491</v>
      </c>
      <c r="F16" s="31" t="s">
        <v>493</v>
      </c>
      <c r="G16" s="31" t="s">
        <v>182</v>
      </c>
    </row>
    <row r="17" spans="2:12" x14ac:dyDescent="0.2">
      <c r="B17" s="31" t="s">
        <v>500</v>
      </c>
      <c r="C17" s="31" t="s">
        <v>499</v>
      </c>
      <c r="D17" s="31" t="s">
        <v>501</v>
      </c>
      <c r="E17" s="31" t="s">
        <v>502</v>
      </c>
      <c r="G17" s="31" t="s">
        <v>159</v>
      </c>
      <c r="H17" s="31" t="s">
        <v>503</v>
      </c>
      <c r="I17" s="31" t="s">
        <v>513</v>
      </c>
      <c r="J17" s="60">
        <v>2008</v>
      </c>
    </row>
    <row r="18" spans="2:12" x14ac:dyDescent="0.2">
      <c r="B18" s="31" t="s">
        <v>511</v>
      </c>
      <c r="C18" s="31" t="s">
        <v>504</v>
      </c>
      <c r="D18" s="31" t="s">
        <v>506</v>
      </c>
      <c r="E18" s="31" t="s">
        <v>521</v>
      </c>
      <c r="F18" s="31" t="s">
        <v>110</v>
      </c>
      <c r="G18" s="31" t="s">
        <v>45</v>
      </c>
      <c r="H18" s="31" t="s">
        <v>518</v>
      </c>
      <c r="I18" s="31" t="s">
        <v>519</v>
      </c>
      <c r="J18" s="60" t="s">
        <v>520</v>
      </c>
    </row>
    <row r="19" spans="2:12" x14ac:dyDescent="0.2">
      <c r="B19" s="31" t="s">
        <v>511</v>
      </c>
      <c r="C19" s="31" t="s">
        <v>504</v>
      </c>
      <c r="D19" s="31" t="s">
        <v>506</v>
      </c>
      <c r="E19" s="31" t="s">
        <v>507</v>
      </c>
      <c r="F19" s="31" t="s">
        <v>110</v>
      </c>
      <c r="G19" s="31" t="s">
        <v>159</v>
      </c>
      <c r="H19" s="31" t="s">
        <v>512</v>
      </c>
      <c r="I19" t="s">
        <v>509</v>
      </c>
      <c r="J19" s="60" t="s">
        <v>510</v>
      </c>
    </row>
    <row r="20" spans="2:12" x14ac:dyDescent="0.2">
      <c r="B20" s="31" t="s">
        <v>511</v>
      </c>
      <c r="C20" s="31" t="s">
        <v>504</v>
      </c>
      <c r="D20" s="31" t="s">
        <v>506</v>
      </c>
      <c r="E20" s="31" t="s">
        <v>524</v>
      </c>
      <c r="F20" s="31" t="s">
        <v>110</v>
      </c>
      <c r="G20" s="31" t="s">
        <v>45</v>
      </c>
      <c r="H20" s="31" t="s">
        <v>512</v>
      </c>
      <c r="I20" t="s">
        <v>522</v>
      </c>
      <c r="J20" s="60" t="s">
        <v>523</v>
      </c>
    </row>
    <row r="21" spans="2:12" x14ac:dyDescent="0.2">
      <c r="B21" s="31" t="s">
        <v>389</v>
      </c>
      <c r="D21" s="31" t="s">
        <v>514</v>
      </c>
      <c r="E21" t="s">
        <v>282</v>
      </c>
      <c r="G21" t="s">
        <v>159</v>
      </c>
      <c r="H21" s="31" t="s">
        <v>515</v>
      </c>
      <c r="I21" s="31" t="s">
        <v>516</v>
      </c>
      <c r="J21" s="60">
        <v>2010</v>
      </c>
    </row>
    <row r="22" spans="2:12" s="62" customFormat="1" x14ac:dyDescent="0.2">
      <c r="B22" s="62" t="s">
        <v>525</v>
      </c>
      <c r="D22" s="62" t="s">
        <v>526</v>
      </c>
      <c r="E22" s="62" t="s">
        <v>529</v>
      </c>
      <c r="F22" s="62" t="s">
        <v>528</v>
      </c>
      <c r="G22" s="62" t="s">
        <v>174</v>
      </c>
      <c r="H22" s="62" t="s">
        <v>528</v>
      </c>
      <c r="I22" s="62" t="s">
        <v>527</v>
      </c>
      <c r="J22" s="63">
        <v>2009</v>
      </c>
    </row>
    <row r="23" spans="2:12" x14ac:dyDescent="0.2">
      <c r="B23" s="31" t="s">
        <v>530</v>
      </c>
      <c r="D23" s="31" t="s">
        <v>518</v>
      </c>
      <c r="E23" s="31" t="s">
        <v>532</v>
      </c>
      <c r="F23" s="31" t="s">
        <v>536</v>
      </c>
      <c r="G23" s="31" t="s">
        <v>174</v>
      </c>
      <c r="H23" s="31" t="s">
        <v>535</v>
      </c>
      <c r="I23" s="31" t="s">
        <v>533</v>
      </c>
      <c r="J23" s="61" t="s">
        <v>534</v>
      </c>
      <c r="K23" s="31" t="s">
        <v>531</v>
      </c>
    </row>
    <row r="24" spans="2:12" x14ac:dyDescent="0.2">
      <c r="B24" s="31" t="s">
        <v>403</v>
      </c>
      <c r="D24" s="31" t="s">
        <v>518</v>
      </c>
      <c r="E24" s="31" t="s">
        <v>539</v>
      </c>
      <c r="F24" s="31" t="s">
        <v>540</v>
      </c>
      <c r="G24" s="31" t="s">
        <v>174</v>
      </c>
      <c r="H24" s="31" t="s">
        <v>535</v>
      </c>
      <c r="I24" s="31" t="s">
        <v>538</v>
      </c>
      <c r="J24" s="61" t="s">
        <v>537</v>
      </c>
      <c r="K24" s="31" t="s">
        <v>404</v>
      </c>
    </row>
    <row r="25" spans="2:12" x14ac:dyDescent="0.2">
      <c r="B25" s="31" t="s">
        <v>403</v>
      </c>
      <c r="D25" s="31" t="s">
        <v>518</v>
      </c>
      <c r="E25" s="31" t="s">
        <v>28</v>
      </c>
      <c r="F25" s="31" t="s">
        <v>540</v>
      </c>
      <c r="G25" s="31" t="s">
        <v>174</v>
      </c>
      <c r="H25" s="31" t="s">
        <v>535</v>
      </c>
      <c r="I25" s="31" t="s">
        <v>549</v>
      </c>
      <c r="J25" s="61" t="s">
        <v>537</v>
      </c>
      <c r="K25" s="31" t="s">
        <v>404</v>
      </c>
    </row>
    <row r="26" spans="2:12" s="62" customFormat="1" x14ac:dyDescent="0.2">
      <c r="B26" s="62" t="s">
        <v>541</v>
      </c>
      <c r="D26" s="62" t="s">
        <v>518</v>
      </c>
      <c r="E26" s="62" t="s">
        <v>544</v>
      </c>
      <c r="F26" s="62" t="s">
        <v>528</v>
      </c>
      <c r="G26" s="62" t="s">
        <v>159</v>
      </c>
      <c r="H26" s="62" t="s">
        <v>535</v>
      </c>
      <c r="I26" s="62" t="s">
        <v>543</v>
      </c>
      <c r="J26" s="63" t="s">
        <v>542</v>
      </c>
    </row>
    <row r="27" spans="2:12" x14ac:dyDescent="0.2">
      <c r="B27" s="31" t="s">
        <v>545</v>
      </c>
      <c r="C27" s="31" t="s">
        <v>210</v>
      </c>
      <c r="D27" s="31" t="s">
        <v>546</v>
      </c>
      <c r="E27" s="31" t="s">
        <v>547</v>
      </c>
      <c r="F27" s="31" t="s">
        <v>548</v>
      </c>
      <c r="G27" s="31" t="s">
        <v>45</v>
      </c>
      <c r="H27" s="31" t="s">
        <v>495</v>
      </c>
    </row>
    <row r="28" spans="2:12" x14ac:dyDescent="0.2">
      <c r="B28" s="31" t="s">
        <v>253</v>
      </c>
      <c r="C28" s="31" t="s">
        <v>418</v>
      </c>
      <c r="D28" s="31" t="s">
        <v>518</v>
      </c>
      <c r="E28" s="31" t="s">
        <v>282</v>
      </c>
      <c r="G28" s="31" t="s">
        <v>45</v>
      </c>
      <c r="H28" s="31" t="s">
        <v>535</v>
      </c>
      <c r="I28" s="31" t="s">
        <v>550</v>
      </c>
      <c r="J28" s="61" t="s">
        <v>551</v>
      </c>
    </row>
    <row r="29" spans="2:12" x14ac:dyDescent="0.2">
      <c r="B29" s="31" t="s">
        <v>552</v>
      </c>
      <c r="C29" s="31" t="s">
        <v>553</v>
      </c>
      <c r="D29" s="31" t="s">
        <v>518</v>
      </c>
      <c r="E29" s="31" t="s">
        <v>282</v>
      </c>
      <c r="G29" s="31" t="s">
        <v>45</v>
      </c>
      <c r="H29" s="31" t="s">
        <v>535</v>
      </c>
      <c r="I29" s="31" t="s">
        <v>550</v>
      </c>
      <c r="J29" s="61" t="s">
        <v>551</v>
      </c>
    </row>
    <row r="30" spans="2:12" x14ac:dyDescent="0.2">
      <c r="B30" s="31" t="s">
        <v>555</v>
      </c>
      <c r="D30" s="31" t="s">
        <v>526</v>
      </c>
      <c r="E30" s="31" t="s">
        <v>556</v>
      </c>
      <c r="F30" s="31" t="s">
        <v>557</v>
      </c>
      <c r="G30" s="31" t="s">
        <v>159</v>
      </c>
      <c r="H30" s="31" t="s">
        <v>512</v>
      </c>
      <c r="I30" s="31" t="s">
        <v>558</v>
      </c>
      <c r="J30" s="61" t="s">
        <v>559</v>
      </c>
      <c r="L30" s="31" t="s">
        <v>554</v>
      </c>
    </row>
    <row r="31" spans="2:12" x14ac:dyDescent="0.2">
      <c r="B31" s="31" t="s">
        <v>172</v>
      </c>
      <c r="D31" s="31" t="s">
        <v>526</v>
      </c>
      <c r="E31" s="31" t="s">
        <v>547</v>
      </c>
      <c r="F31" s="31" t="s">
        <v>562</v>
      </c>
      <c r="G31" s="31" t="s">
        <v>174</v>
      </c>
      <c r="H31" s="31" t="s">
        <v>512</v>
      </c>
      <c r="I31" s="31" t="s">
        <v>560</v>
      </c>
      <c r="J31" s="61" t="s">
        <v>561</v>
      </c>
    </row>
    <row r="32" spans="2:12" x14ac:dyDescent="0.2">
      <c r="B32" s="13" t="s">
        <v>464</v>
      </c>
      <c r="C32" s="7" t="s">
        <v>156</v>
      </c>
      <c r="D32" s="6" t="s">
        <v>158</v>
      </c>
      <c r="E32" s="7" t="s">
        <v>84</v>
      </c>
      <c r="F32" s="25" t="s">
        <v>465</v>
      </c>
      <c r="G32" s="25" t="s">
        <v>160</v>
      </c>
      <c r="H32" s="25" t="s">
        <v>473</v>
      </c>
      <c r="I32" s="8" t="s">
        <v>279</v>
      </c>
    </row>
    <row r="33" spans="2:8" x14ac:dyDescent="0.2">
      <c r="B33" s="45" t="s">
        <v>419</v>
      </c>
      <c r="C33" s="7" t="s">
        <v>254</v>
      </c>
      <c r="D33" s="6">
        <v>1</v>
      </c>
      <c r="E33" s="25" t="s">
        <v>84</v>
      </c>
      <c r="F33" s="25" t="s">
        <v>159</v>
      </c>
      <c r="G33" s="25" t="s">
        <v>420</v>
      </c>
    </row>
    <row r="34" spans="2:8" x14ac:dyDescent="0.2">
      <c r="B34" s="45" t="s">
        <v>421</v>
      </c>
      <c r="C34" s="25" t="s">
        <v>254</v>
      </c>
      <c r="D34" s="6">
        <v>1</v>
      </c>
      <c r="E34" s="25" t="s">
        <v>422</v>
      </c>
      <c r="F34" s="25" t="s">
        <v>159</v>
      </c>
      <c r="G34" s="25" t="s">
        <v>423</v>
      </c>
    </row>
    <row r="35" spans="2:8" x14ac:dyDescent="0.2">
      <c r="B35" s="45" t="s">
        <v>389</v>
      </c>
      <c r="C35" s="7" t="s">
        <v>282</v>
      </c>
      <c r="D35" s="6">
        <v>1</v>
      </c>
      <c r="E35" s="7"/>
      <c r="F35" s="7" t="s">
        <v>174</v>
      </c>
      <c r="G35" s="25" t="s">
        <v>255</v>
      </c>
    </row>
    <row r="36" spans="2:8" x14ac:dyDescent="0.2">
      <c r="B36" s="5" t="s">
        <v>176</v>
      </c>
      <c r="C36" s="7" t="s">
        <v>32</v>
      </c>
      <c r="D36" s="6">
        <v>1</v>
      </c>
      <c r="E36" s="7" t="s">
        <v>84</v>
      </c>
      <c r="F36" s="7" t="s">
        <v>174</v>
      </c>
      <c r="G36" s="7" t="s">
        <v>277</v>
      </c>
      <c r="H36" s="7" t="s">
        <v>278</v>
      </c>
    </row>
    <row r="37" spans="2:8" x14ac:dyDescent="0.2">
      <c r="B37" s="13" t="s">
        <v>418</v>
      </c>
      <c r="C37" s="7" t="s">
        <v>254</v>
      </c>
      <c r="D37" s="6">
        <v>1</v>
      </c>
      <c r="E37" s="7" t="s">
        <v>84</v>
      </c>
      <c r="F37" s="25" t="s">
        <v>45</v>
      </c>
      <c r="G37" s="7" t="s">
        <v>255</v>
      </c>
      <c r="H37" s="41" t="s">
        <v>279</v>
      </c>
    </row>
    <row r="38" spans="2:8" x14ac:dyDescent="0.2">
      <c r="B38" s="5" t="s">
        <v>285</v>
      </c>
      <c r="C38" s="7" t="s">
        <v>173</v>
      </c>
      <c r="D38" s="6">
        <v>1</v>
      </c>
      <c r="E38" s="7"/>
      <c r="F38" s="7" t="s">
        <v>159</v>
      </c>
      <c r="G38" s="7"/>
      <c r="H38" s="8" t="s">
        <v>291</v>
      </c>
    </row>
    <row r="39" spans="2:8" x14ac:dyDescent="0.2">
      <c r="B39" s="5" t="s">
        <v>177</v>
      </c>
      <c r="C39" s="7"/>
      <c r="D39" s="6"/>
      <c r="E39" s="7"/>
      <c r="F39" s="7"/>
      <c r="G39" s="7" t="s">
        <v>178</v>
      </c>
      <c r="H39" s="8" t="s">
        <v>279</v>
      </c>
    </row>
    <row r="40" spans="2:8" x14ac:dyDescent="0.2">
      <c r="B40" s="5" t="s">
        <v>375</v>
      </c>
      <c r="C40" s="7" t="s">
        <v>173</v>
      </c>
      <c r="D40" s="6" t="s">
        <v>376</v>
      </c>
      <c r="E40" s="7" t="s">
        <v>81</v>
      </c>
      <c r="F40" s="7" t="s">
        <v>159</v>
      </c>
      <c r="G40" s="7" t="s">
        <v>377</v>
      </c>
      <c r="H40" s="8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1"/>
      <c r="C42" s="7"/>
      <c r="D42" s="6"/>
      <c r="E42" s="7"/>
      <c r="F42" s="7"/>
      <c r="G42" s="7"/>
      <c r="H42" s="7"/>
    </row>
    <row r="43" spans="2:8" x14ac:dyDescent="0.2">
      <c r="B43" s="31" t="s">
        <v>563</v>
      </c>
    </row>
    <row r="45" spans="2:8" x14ac:dyDescent="0.2">
      <c r="B45" s="14" t="s">
        <v>284</v>
      </c>
    </row>
    <row r="46" spans="2:8" x14ac:dyDescent="0.2">
      <c r="B46" s="1"/>
    </row>
    <row r="47" spans="2:8" x14ac:dyDescent="0.2">
      <c r="B47" s="1" t="s">
        <v>292</v>
      </c>
    </row>
    <row r="48" spans="2:8" x14ac:dyDescent="0.2">
      <c r="B48" s="1" t="s">
        <v>293</v>
      </c>
    </row>
    <row r="49" spans="2:2" x14ac:dyDescent="0.2">
      <c r="B49" s="1" t="s">
        <v>294</v>
      </c>
    </row>
    <row r="50" spans="2:2" x14ac:dyDescent="0.2">
      <c r="B50" s="22" t="s">
        <v>295</v>
      </c>
    </row>
    <row r="51" spans="2:2" x14ac:dyDescent="0.2">
      <c r="B51" s="1" t="s">
        <v>296</v>
      </c>
    </row>
    <row r="52" spans="2:2" x14ac:dyDescent="0.2">
      <c r="B52" s="1" t="s">
        <v>297</v>
      </c>
    </row>
    <row r="53" spans="2:2" x14ac:dyDescent="0.2">
      <c r="B53" s="1" t="s">
        <v>298</v>
      </c>
    </row>
    <row r="54" spans="2:2" x14ac:dyDescent="0.2">
      <c r="B54" s="1" t="s">
        <v>299</v>
      </c>
    </row>
    <row r="55" spans="2:2" x14ac:dyDescent="0.2">
      <c r="B55" s="22" t="s">
        <v>300</v>
      </c>
    </row>
    <row r="56" spans="2:2" x14ac:dyDescent="0.2">
      <c r="B56" s="1" t="s">
        <v>301</v>
      </c>
    </row>
    <row r="57" spans="2:2" x14ac:dyDescent="0.2">
      <c r="B57" s="1" t="s">
        <v>302</v>
      </c>
    </row>
    <row r="58" spans="2:2" x14ac:dyDescent="0.2">
      <c r="B58" s="1" t="s">
        <v>303</v>
      </c>
    </row>
    <row r="59" spans="2:2" x14ac:dyDescent="0.2">
      <c r="B59" s="1" t="s">
        <v>304</v>
      </c>
    </row>
    <row r="60" spans="2:2" x14ac:dyDescent="0.2">
      <c r="B60" s="1" t="s">
        <v>305</v>
      </c>
    </row>
    <row r="61" spans="2:2" x14ac:dyDescent="0.2">
      <c r="B61" s="1" t="s">
        <v>306</v>
      </c>
    </row>
    <row r="62" spans="2:2" x14ac:dyDescent="0.2">
      <c r="B62" s="1" t="s">
        <v>307</v>
      </c>
    </row>
    <row r="63" spans="2:2" x14ac:dyDescent="0.2">
      <c r="B63" s="1" t="s">
        <v>308</v>
      </c>
    </row>
    <row r="64" spans="2:2" x14ac:dyDescent="0.2">
      <c r="B64" s="1" t="s">
        <v>309</v>
      </c>
    </row>
    <row r="65" spans="2:2" x14ac:dyDescent="0.2">
      <c r="B65" s="1" t="s">
        <v>310</v>
      </c>
    </row>
    <row r="66" spans="2:2" x14ac:dyDescent="0.2">
      <c r="B66" s="1" t="s">
        <v>311</v>
      </c>
    </row>
    <row r="67" spans="2:2" x14ac:dyDescent="0.2">
      <c r="B67" s="1" t="s">
        <v>312</v>
      </c>
    </row>
    <row r="68" spans="2:2" x14ac:dyDescent="0.2">
      <c r="B68" s="1" t="s">
        <v>313</v>
      </c>
    </row>
    <row r="69" spans="2:2" x14ac:dyDescent="0.2">
      <c r="B69" s="1" t="s">
        <v>314</v>
      </c>
    </row>
    <row r="70" spans="2:2" x14ac:dyDescent="0.2">
      <c r="B70" s="1" t="s">
        <v>315</v>
      </c>
    </row>
    <row r="71" spans="2:2" x14ac:dyDescent="0.2">
      <c r="B71" s="1" t="s">
        <v>316</v>
      </c>
    </row>
    <row r="72" spans="2:2" x14ac:dyDescent="0.2">
      <c r="B72" s="1" t="s">
        <v>317</v>
      </c>
    </row>
    <row r="73" spans="2:2" x14ac:dyDescent="0.2">
      <c r="B73" s="1" t="s">
        <v>318</v>
      </c>
    </row>
    <row r="74" spans="2:2" x14ac:dyDescent="0.2">
      <c r="B74" s="1" t="s">
        <v>498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5" location="Discontinuations!A1" display="Discontinuations" xr:uid="{00000000-0004-0000-0100-00000A000000}"/>
    <hyperlink ref="B32" location="dapagliflozin!A1" display="dapagliflozin" xr:uid="{00000000-0004-0000-0100-000006000000}"/>
    <hyperlink ref="B37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8" t="s">
        <v>63</v>
      </c>
    </row>
    <row r="2" spans="1:4" x14ac:dyDescent="0.2">
      <c r="B2" s="31" t="s">
        <v>64</v>
      </c>
      <c r="C2" s="31" t="s">
        <v>634</v>
      </c>
      <c r="D2" s="31"/>
    </row>
    <row r="3" spans="1:4" x14ac:dyDescent="0.2">
      <c r="B3" s="31" t="s">
        <v>65</v>
      </c>
      <c r="C3" s="31" t="s">
        <v>412</v>
      </c>
    </row>
    <row r="4" spans="1:4" x14ac:dyDescent="0.2">
      <c r="B4" s="31" t="s">
        <v>1</v>
      </c>
      <c r="C4" s="31" t="s">
        <v>486</v>
      </c>
    </row>
    <row r="5" spans="1:4" x14ac:dyDescent="0.2">
      <c r="B5" s="31" t="s">
        <v>140</v>
      </c>
      <c r="C5" s="31" t="s">
        <v>633</v>
      </c>
    </row>
    <row r="6" spans="1:4" x14ac:dyDescent="0.2">
      <c r="B6" s="31" t="s">
        <v>149</v>
      </c>
      <c r="C6" s="31" t="s">
        <v>630</v>
      </c>
    </row>
    <row r="7" spans="1:4" x14ac:dyDescent="0.2">
      <c r="B7" s="31" t="s">
        <v>139</v>
      </c>
    </row>
    <row r="8" spans="1:4" x14ac:dyDescent="0.2">
      <c r="C8" s="46" t="s">
        <v>481</v>
      </c>
    </row>
    <row r="9" spans="1:4" x14ac:dyDescent="0.2">
      <c r="C9" s="31" t="s">
        <v>482</v>
      </c>
    </row>
    <row r="10" spans="1:4" x14ac:dyDescent="0.2">
      <c r="C10" s="31"/>
    </row>
    <row r="11" spans="1:4" x14ac:dyDescent="0.2">
      <c r="C11" s="46" t="s">
        <v>632</v>
      </c>
    </row>
    <row r="12" spans="1:4" x14ac:dyDescent="0.2">
      <c r="C12" s="31"/>
    </row>
    <row r="14" spans="1:4" x14ac:dyDescent="0.2">
      <c r="C14" s="46" t="s">
        <v>483</v>
      </c>
    </row>
    <row r="15" spans="1:4" x14ac:dyDescent="0.2">
      <c r="C15" s="31" t="s">
        <v>484</v>
      </c>
    </row>
    <row r="16" spans="1:4" x14ac:dyDescent="0.2">
      <c r="C16" s="31" t="s">
        <v>485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340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341</v>
      </c>
    </row>
    <row r="6" spans="1:3" x14ac:dyDescent="0.2">
      <c r="B6" s="1" t="s">
        <v>1</v>
      </c>
      <c r="C6" s="1" t="s">
        <v>342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2" t="s">
        <v>272</v>
      </c>
    </row>
    <row r="4" spans="1:3" x14ac:dyDescent="0.2">
      <c r="B4" s="1" t="s">
        <v>1</v>
      </c>
      <c r="C4" s="22" t="s">
        <v>202</v>
      </c>
    </row>
    <row r="5" spans="1:3" x14ac:dyDescent="0.2">
      <c r="C5" s="22" t="s">
        <v>203</v>
      </c>
    </row>
    <row r="6" spans="1:3" x14ac:dyDescent="0.2">
      <c r="B6" s="1" t="s">
        <v>140</v>
      </c>
      <c r="C6" s="22" t="s">
        <v>201</v>
      </c>
    </row>
    <row r="7" spans="1:3" x14ac:dyDescent="0.2">
      <c r="B7" s="1" t="s">
        <v>198</v>
      </c>
      <c r="C7" s="22" t="s">
        <v>199</v>
      </c>
    </row>
    <row r="8" spans="1:3" x14ac:dyDescent="0.2">
      <c r="B8" s="1" t="s">
        <v>3</v>
      </c>
      <c r="C8" s="22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2" t="s">
        <v>139</v>
      </c>
    </row>
    <row r="25" spans="2:3" x14ac:dyDescent="0.2">
      <c r="C25" s="17" t="s">
        <v>359</v>
      </c>
    </row>
    <row r="26" spans="2:3" x14ac:dyDescent="0.2">
      <c r="C26" s="22" t="s">
        <v>360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0">
        <v>99681</v>
      </c>
      <c r="E5" s="20">
        <v>53825</v>
      </c>
    </row>
    <row r="6" spans="1:5" x14ac:dyDescent="0.2">
      <c r="C6" s="16">
        <f>C5-7</f>
        <v>39227</v>
      </c>
      <c r="D6" s="20">
        <v>105466</v>
      </c>
      <c r="E6" s="20">
        <v>59149</v>
      </c>
    </row>
    <row r="7" spans="1:5" x14ac:dyDescent="0.2">
      <c r="C7" s="16">
        <f>C5-365</f>
        <v>38869</v>
      </c>
      <c r="D7" s="20">
        <v>90191</v>
      </c>
      <c r="E7" s="20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2" t="s">
        <v>4</v>
      </c>
      <c r="C8" s="22" t="s">
        <v>383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384</v>
      </c>
    </row>
    <row r="12" spans="1:3" x14ac:dyDescent="0.2">
      <c r="C12" s="22" t="s">
        <v>385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2" t="s">
        <v>229</v>
      </c>
    </row>
    <row r="8" spans="1:3" x14ac:dyDescent="0.2">
      <c r="C8" s="22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63</v>
      </c>
    </row>
    <row r="2" spans="1:3" x14ac:dyDescent="0.2">
      <c r="B2" t="s">
        <v>64</v>
      </c>
      <c r="C2" t="s">
        <v>351</v>
      </c>
    </row>
    <row r="3" spans="1:3" x14ac:dyDescent="0.2">
      <c r="B3" t="s">
        <v>65</v>
      </c>
      <c r="C3" t="s">
        <v>245</v>
      </c>
    </row>
    <row r="4" spans="1:3" x14ac:dyDescent="0.2">
      <c r="B4" t="s">
        <v>352</v>
      </c>
      <c r="C4" s="31" t="s">
        <v>361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2" t="s">
        <v>467</v>
      </c>
    </row>
    <row r="3" spans="1:3" x14ac:dyDescent="0.2">
      <c r="B3" s="1" t="s">
        <v>65</v>
      </c>
      <c r="C3" s="22" t="s">
        <v>464</v>
      </c>
    </row>
    <row r="4" spans="1:3" x14ac:dyDescent="0.2">
      <c r="B4" s="1" t="s">
        <v>149</v>
      </c>
      <c r="C4" s="1" t="s">
        <v>158</v>
      </c>
    </row>
    <row r="5" spans="1:3" x14ac:dyDescent="0.2">
      <c r="B5" s="22" t="s">
        <v>140</v>
      </c>
      <c r="C5" s="22" t="s">
        <v>469</v>
      </c>
    </row>
    <row r="6" spans="1:3" x14ac:dyDescent="0.2">
      <c r="B6" s="22" t="s">
        <v>352</v>
      </c>
      <c r="C6" s="22" t="s">
        <v>468</v>
      </c>
    </row>
    <row r="7" spans="1:3" x14ac:dyDescent="0.2">
      <c r="B7" s="22" t="s">
        <v>122</v>
      </c>
      <c r="C7" s="22" t="s">
        <v>470</v>
      </c>
    </row>
    <row r="8" spans="1:3" x14ac:dyDescent="0.2">
      <c r="B8" s="22"/>
      <c r="C8" s="22" t="s">
        <v>472</v>
      </c>
    </row>
    <row r="9" spans="1:3" x14ac:dyDescent="0.2">
      <c r="B9" s="22"/>
      <c r="C9" s="22" t="s">
        <v>471</v>
      </c>
    </row>
    <row r="10" spans="1:3" x14ac:dyDescent="0.2">
      <c r="B10" s="1" t="s">
        <v>139</v>
      </c>
    </row>
    <row r="11" spans="1:3" x14ac:dyDescent="0.2">
      <c r="C11" s="17" t="s">
        <v>348</v>
      </c>
    </row>
    <row r="12" spans="1:3" x14ac:dyDescent="0.2">
      <c r="C12" s="22" t="s">
        <v>349</v>
      </c>
    </row>
    <row r="13" spans="1:3" x14ac:dyDescent="0.2">
      <c r="C13" s="22" t="s">
        <v>350</v>
      </c>
    </row>
    <row r="14" spans="1:3" x14ac:dyDescent="0.2">
      <c r="C14" s="22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344</v>
      </c>
    </row>
    <row r="19" spans="3:3" x14ac:dyDescent="0.2">
      <c r="C19" s="30" t="s">
        <v>345</v>
      </c>
    </row>
    <row r="20" spans="3:3" x14ac:dyDescent="0.2">
      <c r="C20" s="22" t="s">
        <v>346</v>
      </c>
    </row>
    <row r="21" spans="3:3" x14ac:dyDescent="0.2">
      <c r="C21" s="22" t="s">
        <v>347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89"/>
  <sheetViews>
    <sheetView zoomScale="160" zoomScaleNormal="160" workbookViewId="0"/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10.28515625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2" t="s">
        <v>689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59" t="s">
        <v>140</v>
      </c>
      <c r="H2" s="4" t="s">
        <v>4</v>
      </c>
      <c r="J2" s="1" t="s">
        <v>77</v>
      </c>
      <c r="K2" s="23">
        <v>49</v>
      </c>
    </row>
    <row r="3" spans="1:12" x14ac:dyDescent="0.2">
      <c r="B3" s="13" t="s">
        <v>43</v>
      </c>
      <c r="C3" s="25" t="s">
        <v>401</v>
      </c>
      <c r="D3" s="6">
        <v>1</v>
      </c>
      <c r="E3" s="6" t="s">
        <v>81</v>
      </c>
      <c r="F3" s="16">
        <v>38709</v>
      </c>
      <c r="G3" s="25" t="s">
        <v>637</v>
      </c>
      <c r="H3" s="41" t="s">
        <v>755</v>
      </c>
      <c r="J3" s="1" t="s">
        <v>108</v>
      </c>
      <c r="K3" s="24">
        <v>2027.395178</v>
      </c>
      <c r="L3" s="32" t="s">
        <v>677</v>
      </c>
    </row>
    <row r="4" spans="1:12" x14ac:dyDescent="0.2">
      <c r="B4" s="72" t="s">
        <v>612</v>
      </c>
      <c r="C4" s="25" t="s">
        <v>486</v>
      </c>
      <c r="D4" s="6"/>
      <c r="E4" s="26" t="s">
        <v>84</v>
      </c>
      <c r="F4" s="16">
        <v>38713</v>
      </c>
      <c r="G4" s="25" t="s">
        <v>650</v>
      </c>
      <c r="H4" s="41" t="s">
        <v>756</v>
      </c>
      <c r="J4" s="1" t="s">
        <v>190</v>
      </c>
      <c r="K4" s="24">
        <f>K2*K3</f>
        <v>99342.363721999995</v>
      </c>
    </row>
    <row r="5" spans="1:12" x14ac:dyDescent="0.2">
      <c r="B5" s="13" t="s">
        <v>627</v>
      </c>
      <c r="C5" s="25" t="s">
        <v>173</v>
      </c>
      <c r="D5" s="26" t="s">
        <v>404</v>
      </c>
      <c r="E5" s="25" t="s">
        <v>81</v>
      </c>
      <c r="F5" s="44">
        <v>41995</v>
      </c>
      <c r="G5" s="25" t="s">
        <v>636</v>
      </c>
      <c r="H5" s="41" t="s">
        <v>757</v>
      </c>
      <c r="J5" s="1" t="s">
        <v>191</v>
      </c>
      <c r="K5" s="24">
        <v>7010</v>
      </c>
      <c r="L5" s="32" t="s">
        <v>677</v>
      </c>
    </row>
    <row r="6" spans="1:12" x14ac:dyDescent="0.2">
      <c r="B6" s="13" t="s">
        <v>629</v>
      </c>
      <c r="C6" s="25" t="s">
        <v>413</v>
      </c>
      <c r="D6" s="26" t="s">
        <v>631</v>
      </c>
      <c r="E6" s="25" t="s">
        <v>81</v>
      </c>
      <c r="F6" s="44">
        <v>42338</v>
      </c>
      <c r="G6" s="25" t="s">
        <v>635</v>
      </c>
      <c r="H6" s="41" t="s">
        <v>291</v>
      </c>
      <c r="J6" s="1" t="s">
        <v>192</v>
      </c>
      <c r="K6" s="24">
        <v>52389</v>
      </c>
      <c r="L6" s="32" t="s">
        <v>677</v>
      </c>
    </row>
    <row r="7" spans="1:12" x14ac:dyDescent="0.2">
      <c r="B7" s="72" t="s">
        <v>624</v>
      </c>
      <c r="C7" s="25" t="s">
        <v>656</v>
      </c>
      <c r="D7" s="26" t="s">
        <v>625</v>
      </c>
      <c r="E7" s="26" t="s">
        <v>81</v>
      </c>
      <c r="F7" s="16">
        <v>43777</v>
      </c>
      <c r="G7" s="25" t="s">
        <v>651</v>
      </c>
      <c r="H7" s="41" t="s">
        <v>758</v>
      </c>
      <c r="J7" s="1" t="s">
        <v>193</v>
      </c>
      <c r="K7" s="24">
        <f>K4-K5+K6</f>
        <v>144721.36372199998</v>
      </c>
      <c r="L7" s="27"/>
    </row>
    <row r="8" spans="1:12" x14ac:dyDescent="0.2">
      <c r="B8" s="72" t="s">
        <v>638</v>
      </c>
      <c r="C8" s="25" t="s">
        <v>486</v>
      </c>
      <c r="D8" s="6"/>
      <c r="E8" s="26" t="s">
        <v>84</v>
      </c>
      <c r="F8" s="16">
        <v>41313</v>
      </c>
      <c r="G8" s="25" t="s">
        <v>650</v>
      </c>
      <c r="H8" s="41" t="s">
        <v>759</v>
      </c>
      <c r="K8" s="24"/>
      <c r="L8" s="29"/>
    </row>
    <row r="9" spans="1:12" x14ac:dyDescent="0.2">
      <c r="B9" s="72" t="s">
        <v>662</v>
      </c>
      <c r="C9" s="25" t="s">
        <v>663</v>
      </c>
      <c r="D9" s="6"/>
      <c r="E9" s="26" t="s">
        <v>84</v>
      </c>
      <c r="F9" s="16"/>
      <c r="G9" s="25" t="s">
        <v>664</v>
      </c>
      <c r="H9" s="8">
        <v>2034</v>
      </c>
      <c r="K9" s="24"/>
      <c r="L9" s="29"/>
    </row>
    <row r="10" spans="1:12" x14ac:dyDescent="0.2">
      <c r="B10" s="45" t="s">
        <v>645</v>
      </c>
      <c r="C10" s="25" t="s">
        <v>28</v>
      </c>
      <c r="E10" s="25" t="s">
        <v>657</v>
      </c>
      <c r="G10" s="25" t="s">
        <v>652</v>
      </c>
      <c r="H10" s="96" t="s">
        <v>760</v>
      </c>
    </row>
    <row r="11" spans="1:12" x14ac:dyDescent="0.2">
      <c r="B11" s="45" t="s">
        <v>754</v>
      </c>
      <c r="C11" s="25" t="s">
        <v>486</v>
      </c>
      <c r="E11" s="25" t="s">
        <v>81</v>
      </c>
      <c r="G11" s="25" t="s">
        <v>672</v>
      </c>
      <c r="H11" s="96" t="s">
        <v>761</v>
      </c>
      <c r="J11" s="22" t="s">
        <v>753</v>
      </c>
    </row>
    <row r="12" spans="1:12" x14ac:dyDescent="0.2">
      <c r="B12" s="45" t="s">
        <v>647</v>
      </c>
      <c r="C12" s="25" t="s">
        <v>648</v>
      </c>
      <c r="E12" s="25" t="s">
        <v>84</v>
      </c>
      <c r="G12" s="25" t="s">
        <v>667</v>
      </c>
      <c r="H12" s="96" t="s">
        <v>762</v>
      </c>
      <c r="J12" s="22" t="s">
        <v>692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41" t="s">
        <v>756</v>
      </c>
      <c r="J13" s="22" t="s">
        <v>658</v>
      </c>
    </row>
    <row r="14" spans="1:12" x14ac:dyDescent="0.2">
      <c r="B14" s="45" t="s">
        <v>646</v>
      </c>
      <c r="E14" s="25" t="s">
        <v>81</v>
      </c>
      <c r="G14" s="25" t="s">
        <v>649</v>
      </c>
      <c r="H14" s="8">
        <v>2033</v>
      </c>
      <c r="J14" s="22" t="s">
        <v>659</v>
      </c>
    </row>
    <row r="15" spans="1:12" x14ac:dyDescent="0.2">
      <c r="B15" s="13" t="s">
        <v>220</v>
      </c>
      <c r="C15" s="7" t="s">
        <v>31</v>
      </c>
      <c r="D15" s="26" t="s">
        <v>378</v>
      </c>
      <c r="E15" s="6" t="s">
        <v>81</v>
      </c>
      <c r="F15" s="16">
        <v>38029</v>
      </c>
      <c r="G15" s="7" t="s">
        <v>111</v>
      </c>
      <c r="H15" s="41" t="s">
        <v>755</v>
      </c>
      <c r="J15" s="22" t="s">
        <v>660</v>
      </c>
    </row>
    <row r="16" spans="1:12" x14ac:dyDescent="0.2">
      <c r="B16" s="42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/>
    </row>
    <row r="17" spans="2:8" x14ac:dyDescent="0.2">
      <c r="B17" s="13" t="s">
        <v>400</v>
      </c>
      <c r="C17" s="25" t="s">
        <v>171</v>
      </c>
      <c r="D17" s="26" t="s">
        <v>215</v>
      </c>
      <c r="E17" s="26" t="s">
        <v>84</v>
      </c>
      <c r="F17" s="44">
        <v>41464</v>
      </c>
      <c r="G17" s="25" t="s">
        <v>110</v>
      </c>
      <c r="H17" s="41">
        <v>2028</v>
      </c>
    </row>
    <row r="18" spans="2:8" x14ac:dyDescent="0.2">
      <c r="B18" s="72" t="s">
        <v>686</v>
      </c>
      <c r="C18" s="25" t="s">
        <v>687</v>
      </c>
      <c r="D18" s="26"/>
      <c r="E18" s="26" t="s">
        <v>84</v>
      </c>
      <c r="F18" s="44">
        <v>45456</v>
      </c>
      <c r="G18" s="25" t="s">
        <v>661</v>
      </c>
      <c r="H18" s="41">
        <v>2035</v>
      </c>
    </row>
    <row r="19" spans="2:8" x14ac:dyDescent="0.2">
      <c r="B19" s="72" t="s">
        <v>690</v>
      </c>
      <c r="C19" s="25"/>
      <c r="D19" s="26"/>
      <c r="E19" s="26"/>
      <c r="F19" s="44"/>
      <c r="G19" s="25"/>
      <c r="H19" s="41">
        <v>2037</v>
      </c>
    </row>
    <row r="20" spans="2:8" x14ac:dyDescent="0.2">
      <c r="B20" s="13" t="s">
        <v>751</v>
      </c>
      <c r="C20" s="25" t="s">
        <v>33</v>
      </c>
      <c r="F20" s="16">
        <v>45561</v>
      </c>
      <c r="G20" s="25"/>
      <c r="H20" s="41" t="s">
        <v>763</v>
      </c>
    </row>
    <row r="21" spans="2:8" x14ac:dyDescent="0.2">
      <c r="B21" s="72" t="s">
        <v>673</v>
      </c>
      <c r="C21" s="25" t="s">
        <v>655</v>
      </c>
      <c r="D21" s="26"/>
      <c r="E21" s="26" t="s">
        <v>84</v>
      </c>
      <c r="F21" s="44">
        <v>44813</v>
      </c>
      <c r="G21" s="25" t="s">
        <v>668</v>
      </c>
      <c r="H21" s="41">
        <v>2033</v>
      </c>
    </row>
    <row r="22" spans="2:8" x14ac:dyDescent="0.2">
      <c r="B22" s="86" t="s">
        <v>411</v>
      </c>
      <c r="C22" s="10" t="s">
        <v>28</v>
      </c>
      <c r="D22" s="11" t="s">
        <v>27</v>
      </c>
      <c r="E22" s="11" t="s">
        <v>81</v>
      </c>
      <c r="F22" s="87">
        <v>40627</v>
      </c>
      <c r="G22" s="10" t="s">
        <v>251</v>
      </c>
      <c r="H22" s="12">
        <v>2025</v>
      </c>
    </row>
    <row r="23" spans="2:8" x14ac:dyDescent="0.2">
      <c r="B23" s="2"/>
      <c r="C23" s="3"/>
      <c r="D23" s="3"/>
      <c r="E23" s="3"/>
      <c r="F23" s="3" t="s">
        <v>5</v>
      </c>
      <c r="G23" s="15"/>
      <c r="H23" s="4"/>
    </row>
    <row r="24" spans="2:8" x14ac:dyDescent="0.2">
      <c r="B24" s="45" t="s">
        <v>653</v>
      </c>
      <c r="C24" s="25" t="s">
        <v>486</v>
      </c>
      <c r="E24" s="25" t="s">
        <v>84</v>
      </c>
      <c r="F24" s="25" t="s">
        <v>45</v>
      </c>
      <c r="G24" s="25" t="s">
        <v>650</v>
      </c>
      <c r="H24" s="85"/>
    </row>
    <row r="25" spans="2:8" x14ac:dyDescent="0.2">
      <c r="B25" s="45" t="s">
        <v>654</v>
      </c>
      <c r="C25" s="25" t="s">
        <v>486</v>
      </c>
      <c r="E25" s="25" t="s">
        <v>84</v>
      </c>
      <c r="F25" s="25" t="s">
        <v>45</v>
      </c>
      <c r="G25" s="25" t="s">
        <v>650</v>
      </c>
      <c r="H25" s="85"/>
    </row>
    <row r="26" spans="2:8" x14ac:dyDescent="0.2">
      <c r="B26" s="45" t="s">
        <v>764</v>
      </c>
      <c r="C26" s="25" t="s">
        <v>765</v>
      </c>
      <c r="E26" s="25" t="s">
        <v>84</v>
      </c>
      <c r="F26" s="25" t="s">
        <v>45</v>
      </c>
      <c r="G26" s="25" t="s">
        <v>650</v>
      </c>
      <c r="H26" s="85"/>
    </row>
    <row r="27" spans="2:8" x14ac:dyDescent="0.2">
      <c r="B27" s="45" t="s">
        <v>766</v>
      </c>
      <c r="C27" s="25" t="s">
        <v>486</v>
      </c>
      <c r="E27" s="25" t="s">
        <v>81</v>
      </c>
      <c r="F27" s="25" t="s">
        <v>45</v>
      </c>
      <c r="G27" s="25" t="s">
        <v>767</v>
      </c>
      <c r="H27" s="85"/>
    </row>
    <row r="28" spans="2:8" x14ac:dyDescent="0.2">
      <c r="B28" s="45" t="s">
        <v>768</v>
      </c>
      <c r="C28" s="25" t="s">
        <v>769</v>
      </c>
      <c r="E28" s="25"/>
      <c r="F28" s="25" t="s">
        <v>45</v>
      </c>
      <c r="G28" s="25" t="s">
        <v>768</v>
      </c>
      <c r="H28" s="85"/>
    </row>
    <row r="29" spans="2:8" x14ac:dyDescent="0.2">
      <c r="B29" s="45" t="s">
        <v>770</v>
      </c>
      <c r="C29" s="25" t="s">
        <v>771</v>
      </c>
      <c r="E29" s="25"/>
      <c r="F29" s="25" t="s">
        <v>45</v>
      </c>
      <c r="G29" s="25" t="s">
        <v>772</v>
      </c>
      <c r="H29" s="85"/>
    </row>
    <row r="30" spans="2:8" x14ac:dyDescent="0.2">
      <c r="B30" s="45"/>
      <c r="C30" s="25"/>
      <c r="E30" s="25"/>
      <c r="F30" s="25" t="s">
        <v>174</v>
      </c>
      <c r="G30" s="25" t="s">
        <v>775</v>
      </c>
      <c r="H30" s="85"/>
    </row>
    <row r="31" spans="2:8" x14ac:dyDescent="0.2">
      <c r="B31" s="45" t="s">
        <v>773</v>
      </c>
      <c r="C31" s="25" t="s">
        <v>774</v>
      </c>
      <c r="E31" s="25"/>
      <c r="F31" s="25" t="s">
        <v>45</v>
      </c>
      <c r="G31" s="25"/>
      <c r="H31" s="85"/>
    </row>
    <row r="32" spans="2:8" x14ac:dyDescent="0.2">
      <c r="B32" s="45" t="s">
        <v>776</v>
      </c>
      <c r="C32" s="25" t="s">
        <v>777</v>
      </c>
      <c r="E32" s="25"/>
      <c r="F32" s="25" t="s">
        <v>174</v>
      </c>
      <c r="G32" s="25"/>
      <c r="H32" s="85"/>
    </row>
    <row r="33" spans="2:8" x14ac:dyDescent="0.2">
      <c r="B33" s="45" t="s">
        <v>778</v>
      </c>
      <c r="C33" s="25" t="s">
        <v>779</v>
      </c>
      <c r="E33" s="25"/>
      <c r="F33" s="25" t="s">
        <v>174</v>
      </c>
      <c r="G33" s="25"/>
      <c r="H33" s="85"/>
    </row>
    <row r="34" spans="2:8" x14ac:dyDescent="0.2">
      <c r="B34" s="45" t="s">
        <v>826</v>
      </c>
      <c r="C34" s="25" t="s">
        <v>779</v>
      </c>
      <c r="D34" s="22" t="s">
        <v>824</v>
      </c>
      <c r="E34" s="25" t="s">
        <v>81</v>
      </c>
      <c r="F34" s="25" t="s">
        <v>174</v>
      </c>
      <c r="G34" s="25" t="s">
        <v>780</v>
      </c>
      <c r="H34" s="96" t="s">
        <v>825</v>
      </c>
    </row>
    <row r="35" spans="2:8" x14ac:dyDescent="0.2">
      <c r="B35" s="45" t="s">
        <v>781</v>
      </c>
      <c r="C35" s="25" t="s">
        <v>779</v>
      </c>
      <c r="E35" s="25"/>
      <c r="F35" s="25" t="s">
        <v>174</v>
      </c>
      <c r="G35" s="25"/>
      <c r="H35" s="85"/>
    </row>
    <row r="36" spans="2:8" x14ac:dyDescent="0.2">
      <c r="B36" s="45" t="s">
        <v>782</v>
      </c>
      <c r="C36" s="25" t="s">
        <v>779</v>
      </c>
      <c r="E36" s="25"/>
      <c r="F36" s="25" t="s">
        <v>174</v>
      </c>
      <c r="G36" s="25"/>
      <c r="H36" s="85"/>
    </row>
    <row r="37" spans="2:8" x14ac:dyDescent="0.2">
      <c r="B37" s="45" t="s">
        <v>783</v>
      </c>
      <c r="C37" s="25" t="s">
        <v>779</v>
      </c>
      <c r="E37" s="25"/>
      <c r="F37" s="25" t="s">
        <v>174</v>
      </c>
      <c r="G37" s="25"/>
      <c r="H37" s="85"/>
    </row>
    <row r="38" spans="2:8" x14ac:dyDescent="0.2">
      <c r="B38" s="45" t="s">
        <v>785</v>
      </c>
      <c r="C38" s="25" t="s">
        <v>779</v>
      </c>
      <c r="E38" s="25"/>
      <c r="F38" s="25" t="s">
        <v>174</v>
      </c>
      <c r="G38" s="25"/>
      <c r="H38" s="85"/>
    </row>
    <row r="39" spans="2:8" x14ac:dyDescent="0.2">
      <c r="B39" s="45" t="s">
        <v>786</v>
      </c>
      <c r="C39" s="25" t="s">
        <v>779</v>
      </c>
      <c r="E39" s="25"/>
      <c r="F39" s="25" t="s">
        <v>174</v>
      </c>
      <c r="G39" s="25"/>
      <c r="H39" s="85"/>
    </row>
    <row r="40" spans="2:8" x14ac:dyDescent="0.2">
      <c r="B40" s="45" t="s">
        <v>787</v>
      </c>
      <c r="C40" s="25" t="s">
        <v>788</v>
      </c>
      <c r="E40" s="25"/>
      <c r="F40" s="25" t="s">
        <v>174</v>
      </c>
      <c r="G40" s="25"/>
      <c r="H40" s="85"/>
    </row>
    <row r="41" spans="2:8" x14ac:dyDescent="0.2">
      <c r="B41" s="45"/>
      <c r="C41" s="25" t="s">
        <v>779</v>
      </c>
      <c r="E41" s="25"/>
      <c r="F41" s="25" t="s">
        <v>174</v>
      </c>
      <c r="G41" s="25" t="s">
        <v>789</v>
      </c>
      <c r="H41" s="85"/>
    </row>
    <row r="42" spans="2:8" x14ac:dyDescent="0.2">
      <c r="B42" s="45" t="s">
        <v>784</v>
      </c>
      <c r="C42" s="25" t="s">
        <v>779</v>
      </c>
      <c r="E42" s="25"/>
      <c r="F42" s="25" t="s">
        <v>174</v>
      </c>
      <c r="G42" s="25"/>
      <c r="H42" s="85"/>
    </row>
    <row r="43" spans="2:8" x14ac:dyDescent="0.2">
      <c r="B43" s="45" t="s">
        <v>790</v>
      </c>
      <c r="C43" s="25" t="s">
        <v>425</v>
      </c>
      <c r="E43" s="25"/>
      <c r="F43" s="25" t="s">
        <v>45</v>
      </c>
      <c r="G43" s="25" t="s">
        <v>791</v>
      </c>
      <c r="H43" s="85"/>
    </row>
    <row r="44" spans="2:8" x14ac:dyDescent="0.2">
      <c r="B44" s="45" t="s">
        <v>792</v>
      </c>
      <c r="C44" s="25" t="s">
        <v>793</v>
      </c>
      <c r="E44" s="25"/>
      <c r="F44" s="25" t="s">
        <v>45</v>
      </c>
      <c r="G44" s="25"/>
      <c r="H44" s="85"/>
    </row>
    <row r="45" spans="2:8" x14ac:dyDescent="0.2">
      <c r="B45" s="45" t="s">
        <v>827</v>
      </c>
      <c r="C45" s="25" t="s">
        <v>363</v>
      </c>
      <c r="E45" s="25"/>
      <c r="F45" s="25"/>
      <c r="G45" s="25"/>
      <c r="H45" s="85"/>
    </row>
    <row r="46" spans="2:8" x14ac:dyDescent="0.2">
      <c r="B46" s="45" t="s">
        <v>828</v>
      </c>
      <c r="C46" s="25" t="s">
        <v>363</v>
      </c>
      <c r="E46" s="25"/>
      <c r="F46" s="25"/>
      <c r="G46" s="25"/>
      <c r="H46" s="85"/>
    </row>
    <row r="47" spans="2:8" x14ac:dyDescent="0.2">
      <c r="B47" s="45" t="s">
        <v>794</v>
      </c>
      <c r="C47" s="25" t="s">
        <v>795</v>
      </c>
      <c r="E47" s="25"/>
      <c r="F47" s="25" t="s">
        <v>159</v>
      </c>
      <c r="G47" s="25"/>
      <c r="H47" s="85"/>
    </row>
    <row r="48" spans="2:8" x14ac:dyDescent="0.2">
      <c r="B48" s="45" t="s">
        <v>796</v>
      </c>
      <c r="C48" s="25" t="s">
        <v>797</v>
      </c>
      <c r="E48" s="25"/>
      <c r="F48" s="25" t="s">
        <v>174</v>
      </c>
      <c r="G48" s="25"/>
      <c r="H48" s="85"/>
    </row>
    <row r="49" spans="2:12" x14ac:dyDescent="0.2">
      <c r="B49" s="45" t="s">
        <v>799</v>
      </c>
      <c r="C49" s="25" t="s">
        <v>797</v>
      </c>
      <c r="E49" s="25"/>
      <c r="F49" s="25" t="s">
        <v>174</v>
      </c>
      <c r="G49" s="25" t="s">
        <v>798</v>
      </c>
      <c r="H49" s="85"/>
    </row>
    <row r="50" spans="2:12" x14ac:dyDescent="0.2">
      <c r="B50" s="45" t="s">
        <v>800</v>
      </c>
      <c r="C50" s="25" t="s">
        <v>797</v>
      </c>
      <c r="E50" s="22"/>
      <c r="F50" s="25" t="s">
        <v>174</v>
      </c>
      <c r="G50" s="25"/>
      <c r="H50" s="85"/>
    </row>
    <row r="51" spans="2:12" x14ac:dyDescent="0.2">
      <c r="B51" s="45" t="s">
        <v>801</v>
      </c>
      <c r="C51" s="25" t="s">
        <v>808</v>
      </c>
      <c r="E51" s="22"/>
      <c r="F51" s="25" t="s">
        <v>174</v>
      </c>
      <c r="G51" s="25" t="s">
        <v>802</v>
      </c>
      <c r="H51" s="85"/>
    </row>
    <row r="52" spans="2:12" x14ac:dyDescent="0.2">
      <c r="B52" s="45" t="s">
        <v>669</v>
      </c>
      <c r="C52" s="25" t="s">
        <v>671</v>
      </c>
      <c r="E52" s="22"/>
      <c r="F52" s="25" t="s">
        <v>45</v>
      </c>
      <c r="G52" s="25" t="s">
        <v>670</v>
      </c>
      <c r="H52" s="85"/>
    </row>
    <row r="53" spans="2:12" customFormat="1" x14ac:dyDescent="0.2">
      <c r="B53" s="45" t="s">
        <v>665</v>
      </c>
      <c r="C53" s="25" t="s">
        <v>171</v>
      </c>
      <c r="D53" s="1"/>
      <c r="E53" s="1"/>
      <c r="F53" s="25" t="s">
        <v>45</v>
      </c>
      <c r="G53" s="25" t="s">
        <v>666</v>
      </c>
      <c r="H53" s="31"/>
      <c r="I53" s="31"/>
      <c r="J53" s="61"/>
      <c r="K53" s="31"/>
      <c r="L53" s="31"/>
    </row>
    <row r="54" spans="2:12" customFormat="1" x14ac:dyDescent="0.2">
      <c r="B54" s="45" t="s">
        <v>804</v>
      </c>
      <c r="C54" s="25" t="s">
        <v>805</v>
      </c>
      <c r="D54" s="1"/>
      <c r="E54" s="1"/>
      <c r="F54" s="25" t="s">
        <v>159</v>
      </c>
      <c r="G54" s="25"/>
      <c r="H54" s="31"/>
      <c r="I54" s="31"/>
      <c r="J54" s="61"/>
      <c r="K54" s="31"/>
      <c r="L54" s="31"/>
    </row>
    <row r="55" spans="2:12" customFormat="1" x14ac:dyDescent="0.2">
      <c r="B55" s="45" t="s">
        <v>806</v>
      </c>
      <c r="C55" s="25" t="s">
        <v>807</v>
      </c>
      <c r="D55" s="1"/>
      <c r="E55" s="1"/>
      <c r="F55" s="25"/>
      <c r="G55" s="25"/>
      <c r="H55" s="31"/>
      <c r="I55" s="31"/>
      <c r="J55" s="61"/>
      <c r="K55" s="31"/>
      <c r="L55" s="31"/>
    </row>
    <row r="56" spans="2:12" x14ac:dyDescent="0.2">
      <c r="B56" s="45" t="s">
        <v>803</v>
      </c>
      <c r="C56" s="25" t="s">
        <v>655</v>
      </c>
      <c r="E56" s="22"/>
      <c r="F56" s="25" t="s">
        <v>159</v>
      </c>
      <c r="G56" s="25" t="s">
        <v>668</v>
      </c>
      <c r="H56" s="85"/>
    </row>
    <row r="57" spans="2:12" x14ac:dyDescent="0.2">
      <c r="B57" s="45" t="s">
        <v>809</v>
      </c>
      <c r="C57" s="25" t="s">
        <v>363</v>
      </c>
      <c r="E57" s="22"/>
      <c r="F57" s="25" t="s">
        <v>174</v>
      </c>
      <c r="G57" s="25" t="s">
        <v>810</v>
      </c>
      <c r="H57" s="85"/>
    </row>
    <row r="58" spans="2:12" x14ac:dyDescent="0.2">
      <c r="B58" s="45" t="s">
        <v>811</v>
      </c>
      <c r="C58" s="25" t="s">
        <v>812</v>
      </c>
      <c r="E58" s="22"/>
      <c r="F58" s="25" t="s">
        <v>174</v>
      </c>
      <c r="G58" s="25" t="s">
        <v>813</v>
      </c>
      <c r="H58" s="85"/>
    </row>
    <row r="59" spans="2:12" x14ac:dyDescent="0.2">
      <c r="B59" s="45" t="s">
        <v>814</v>
      </c>
      <c r="C59" s="25" t="s">
        <v>815</v>
      </c>
      <c r="E59" s="22"/>
      <c r="F59" s="25" t="s">
        <v>174</v>
      </c>
      <c r="G59" s="25" t="s">
        <v>816</v>
      </c>
      <c r="H59" s="85"/>
    </row>
    <row r="60" spans="2:12" x14ac:dyDescent="0.2">
      <c r="B60" s="45"/>
      <c r="C60" s="25" t="s">
        <v>363</v>
      </c>
      <c r="E60" s="22"/>
      <c r="F60" s="25" t="s">
        <v>159</v>
      </c>
      <c r="G60" s="25" t="s">
        <v>817</v>
      </c>
      <c r="H60" s="85"/>
    </row>
    <row r="61" spans="2:12" x14ac:dyDescent="0.2">
      <c r="B61" s="5" t="s">
        <v>179</v>
      </c>
      <c r="C61" s="7" t="s">
        <v>181</v>
      </c>
      <c r="D61" s="6">
        <v>1</v>
      </c>
      <c r="E61" s="7" t="s">
        <v>180</v>
      </c>
      <c r="F61" s="7" t="s">
        <v>182</v>
      </c>
      <c r="G61" s="7"/>
      <c r="H61" s="8"/>
    </row>
    <row r="62" spans="2:12" x14ac:dyDescent="0.2">
      <c r="B62" s="45" t="s">
        <v>426</v>
      </c>
      <c r="C62" s="25" t="s">
        <v>425</v>
      </c>
      <c r="D62" s="6">
        <v>1</v>
      </c>
      <c r="E62" s="7"/>
      <c r="F62" s="7"/>
      <c r="G62" s="7"/>
      <c r="H62" s="8"/>
    </row>
    <row r="63" spans="2:12" x14ac:dyDescent="0.2">
      <c r="B63" s="45" t="s">
        <v>428</v>
      </c>
      <c r="C63" s="25" t="s">
        <v>173</v>
      </c>
      <c r="D63" s="26" t="s">
        <v>430</v>
      </c>
      <c r="E63" s="25" t="s">
        <v>84</v>
      </c>
      <c r="F63" s="25" t="s">
        <v>159</v>
      </c>
      <c r="G63" s="25" t="s">
        <v>429</v>
      </c>
      <c r="H63" s="8"/>
    </row>
    <row r="64" spans="2:12" x14ac:dyDescent="0.2">
      <c r="B64" s="5" t="s">
        <v>362</v>
      </c>
      <c r="C64" s="7" t="s">
        <v>363</v>
      </c>
      <c r="D64" s="6">
        <v>1</v>
      </c>
      <c r="E64" s="7" t="s">
        <v>84</v>
      </c>
      <c r="F64" s="25" t="s">
        <v>159</v>
      </c>
      <c r="G64" s="7" t="s">
        <v>364</v>
      </c>
      <c r="H64" s="8"/>
    </row>
    <row r="65" spans="2:8" x14ac:dyDescent="0.2">
      <c r="B65" s="45" t="s">
        <v>431</v>
      </c>
      <c r="C65" s="25" t="s">
        <v>432</v>
      </c>
      <c r="D65" s="26" t="s">
        <v>433</v>
      </c>
      <c r="E65" s="25" t="s">
        <v>84</v>
      </c>
      <c r="F65" s="25" t="s">
        <v>159</v>
      </c>
      <c r="G65" s="25" t="s">
        <v>434</v>
      </c>
      <c r="H65" s="8"/>
    </row>
    <row r="66" spans="2:8" x14ac:dyDescent="0.2">
      <c r="B66" s="5" t="s">
        <v>246</v>
      </c>
      <c r="C66" s="7" t="s">
        <v>247</v>
      </c>
      <c r="D66" s="6">
        <v>1</v>
      </c>
      <c r="E66" s="7" t="s">
        <v>84</v>
      </c>
      <c r="F66" s="7" t="s">
        <v>159</v>
      </c>
      <c r="G66" s="7" t="s">
        <v>248</v>
      </c>
      <c r="H66" s="8"/>
    </row>
    <row r="67" spans="2:8" x14ac:dyDescent="0.2">
      <c r="B67" s="9" t="s">
        <v>208</v>
      </c>
      <c r="C67" s="10" t="s">
        <v>209</v>
      </c>
      <c r="D67" s="11">
        <v>1</v>
      </c>
      <c r="E67" s="10" t="s">
        <v>84</v>
      </c>
      <c r="F67" s="10" t="s">
        <v>174</v>
      </c>
      <c r="G67" s="10" t="s">
        <v>211</v>
      </c>
      <c r="H67" s="12"/>
    </row>
    <row r="69" spans="2:8" x14ac:dyDescent="0.2">
      <c r="G69" s="1" t="s">
        <v>628</v>
      </c>
    </row>
    <row r="72" spans="2:8" x14ac:dyDescent="0.2">
      <c r="G72" s="19" t="s">
        <v>161</v>
      </c>
    </row>
    <row r="73" spans="2:8" x14ac:dyDescent="0.2">
      <c r="G73" s="19" t="s">
        <v>214</v>
      </c>
    </row>
    <row r="74" spans="2:8" x14ac:dyDescent="0.2">
      <c r="G74" s="19" t="s">
        <v>223</v>
      </c>
    </row>
    <row r="75" spans="2:8" x14ac:dyDescent="0.2">
      <c r="G75" s="1" t="s">
        <v>250</v>
      </c>
    </row>
    <row r="76" spans="2:8" x14ac:dyDescent="0.2">
      <c r="G76" s="33" t="s">
        <v>353</v>
      </c>
    </row>
    <row r="77" spans="2:8" x14ac:dyDescent="0.2">
      <c r="G77" s="19" t="s">
        <v>358</v>
      </c>
    </row>
    <row r="78" spans="2:8" x14ac:dyDescent="0.2">
      <c r="G78" s="19" t="s">
        <v>379</v>
      </c>
    </row>
    <row r="79" spans="2:8" x14ac:dyDescent="0.2">
      <c r="G79" s="22" t="s">
        <v>424</v>
      </c>
    </row>
    <row r="80" spans="2:8" x14ac:dyDescent="0.2">
      <c r="G80" s="22" t="s">
        <v>399</v>
      </c>
    </row>
    <row r="81" spans="7:7" x14ac:dyDescent="0.2">
      <c r="G81" s="22" t="s">
        <v>466</v>
      </c>
    </row>
    <row r="82" spans="7:7" x14ac:dyDescent="0.2">
      <c r="G82" s="1" t="s">
        <v>496</v>
      </c>
    </row>
    <row r="83" spans="7:7" x14ac:dyDescent="0.2">
      <c r="G83" s="1" t="s">
        <v>497</v>
      </c>
    </row>
    <row r="84" spans="7:7" x14ac:dyDescent="0.2">
      <c r="G84" s="22" t="s">
        <v>706</v>
      </c>
    </row>
    <row r="85" spans="7:7" x14ac:dyDescent="0.2">
      <c r="G85" s="22" t="s">
        <v>688</v>
      </c>
    </row>
    <row r="86" spans="7:7" x14ac:dyDescent="0.2">
      <c r="G86" s="22" t="s">
        <v>718</v>
      </c>
    </row>
    <row r="87" spans="7:7" x14ac:dyDescent="0.2">
      <c r="G87" s="22" t="s">
        <v>694</v>
      </c>
    </row>
    <row r="88" spans="7:7" x14ac:dyDescent="0.2">
      <c r="G88" s="22" t="s">
        <v>693</v>
      </c>
    </row>
    <row r="89" spans="7:7" x14ac:dyDescent="0.2">
      <c r="G89" s="22" t="s">
        <v>691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2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0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1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374</v>
      </c>
    </row>
    <row r="7" spans="1:3" x14ac:dyDescent="0.2">
      <c r="C7" s="22" t="s">
        <v>372</v>
      </c>
    </row>
    <row r="8" spans="1:3" x14ac:dyDescent="0.2">
      <c r="C8" s="22" t="s">
        <v>373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8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63</v>
      </c>
    </row>
    <row r="2" spans="1:3" x14ac:dyDescent="0.2">
      <c r="B2" s="31" t="s">
        <v>64</v>
      </c>
    </row>
    <row r="3" spans="1:3" x14ac:dyDescent="0.2">
      <c r="B3" s="31" t="s">
        <v>65</v>
      </c>
      <c r="C3" s="31" t="s">
        <v>210</v>
      </c>
    </row>
    <row r="4" spans="1:3" x14ac:dyDescent="0.2">
      <c r="B4" s="31" t="s">
        <v>140</v>
      </c>
      <c r="C4" s="31" t="s">
        <v>639</v>
      </c>
    </row>
    <row r="5" spans="1:3" x14ac:dyDescent="0.2">
      <c r="B5" s="31" t="s">
        <v>139</v>
      </c>
    </row>
    <row r="6" spans="1:3" x14ac:dyDescent="0.2">
      <c r="C6" s="46" t="s">
        <v>462</v>
      </c>
    </row>
    <row r="7" spans="1:3" x14ac:dyDescent="0.2">
      <c r="C7" s="31" t="s">
        <v>427</v>
      </c>
    </row>
    <row r="9" spans="1:3" x14ac:dyDescent="0.2">
      <c r="C9" s="46" t="s">
        <v>460</v>
      </c>
    </row>
    <row r="11" spans="1:3" x14ac:dyDescent="0.2">
      <c r="C11" s="46" t="s">
        <v>461</v>
      </c>
    </row>
    <row r="13" spans="1:3" x14ac:dyDescent="0.2">
      <c r="C13" s="46" t="s">
        <v>463</v>
      </c>
    </row>
    <row r="15" spans="1:3" x14ac:dyDescent="0.2">
      <c r="C15" s="31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8"/>
  <sheetViews>
    <sheetView tabSelected="1" zoomScale="160" zoomScaleNormal="160" workbookViewId="0">
      <pane xSplit="2" ySplit="2" topLeftCell="DG136" activePane="bottomRight" state="frozen"/>
      <selection pane="topRight" activeCell="C1" sqref="C1"/>
      <selection pane="bottomLeft" activeCell="A3" sqref="A3"/>
      <selection pane="bottomRight" activeCell="DW156" sqref="DW156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7" customWidth="1"/>
    <col min="22" max="22" width="6.7109375" style="27" customWidth="1"/>
    <col min="23" max="24" width="7.28515625" style="27" customWidth="1"/>
    <col min="25" max="30" width="7.28515625" style="47" customWidth="1"/>
    <col min="31" max="82" width="7.28515625" style="27" customWidth="1"/>
    <col min="83" max="86" width="7.42578125" style="27" customWidth="1"/>
    <col min="87" max="89" width="5.42578125" style="27" customWidth="1"/>
    <col min="90" max="101" width="6.42578125" style="27" customWidth="1"/>
    <col min="102" max="102" width="7" style="27" bestFit="1" customWidth="1"/>
    <col min="103" max="104" width="6.42578125" style="27" bestFit="1" customWidth="1"/>
    <col min="105" max="109" width="7" style="27" customWidth="1"/>
    <col min="110" max="112" width="7" style="47" customWidth="1"/>
    <col min="113" max="118" width="7.140625" style="27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0"/>
    </row>
    <row r="2" spans="1:137" x14ac:dyDescent="0.2">
      <c r="C2" s="27" t="s">
        <v>241</v>
      </c>
      <c r="D2" s="27" t="s">
        <v>240</v>
      </c>
      <c r="E2" s="27" t="s">
        <v>239</v>
      </c>
      <c r="F2" s="27" t="s">
        <v>167</v>
      </c>
      <c r="G2" s="27" t="s">
        <v>166</v>
      </c>
      <c r="H2" s="27" t="s">
        <v>137</v>
      </c>
      <c r="I2" s="27" t="s">
        <v>136</v>
      </c>
      <c r="J2" s="27" t="s">
        <v>135</v>
      </c>
      <c r="K2" s="27" t="s">
        <v>162</v>
      </c>
      <c r="L2" s="27" t="s">
        <v>163</v>
      </c>
      <c r="M2" s="27" t="s">
        <v>204</v>
      </c>
      <c r="N2" s="27" t="s">
        <v>205</v>
      </c>
      <c r="O2" s="27" t="s">
        <v>213</v>
      </c>
      <c r="P2" s="27" t="s">
        <v>226</v>
      </c>
      <c r="Q2" s="27" t="s">
        <v>227</v>
      </c>
      <c r="R2" s="27" t="s">
        <v>228</v>
      </c>
      <c r="S2" s="32" t="s">
        <v>343</v>
      </c>
      <c r="T2" s="32" t="s">
        <v>354</v>
      </c>
      <c r="U2" s="32" t="s">
        <v>355</v>
      </c>
      <c r="V2" s="32" t="s">
        <v>356</v>
      </c>
      <c r="W2" s="32" t="s">
        <v>365</v>
      </c>
      <c r="X2" s="32" t="s">
        <v>366</v>
      </c>
      <c r="Y2" s="48" t="s">
        <v>367</v>
      </c>
      <c r="Z2" s="48" t="s">
        <v>368</v>
      </c>
      <c r="AA2" s="48" t="s">
        <v>394</v>
      </c>
      <c r="AB2" s="48" t="s">
        <v>395</v>
      </c>
      <c r="AC2" s="48" t="s">
        <v>396</v>
      </c>
      <c r="AD2" s="48" t="s">
        <v>397</v>
      </c>
      <c r="AE2" s="32" t="s">
        <v>398</v>
      </c>
      <c r="AF2" s="32" t="s">
        <v>414</v>
      </c>
      <c r="AG2" s="32" t="s">
        <v>415</v>
      </c>
      <c r="AH2" s="32" t="s">
        <v>416</v>
      </c>
      <c r="AI2" s="32" t="s">
        <v>565</v>
      </c>
      <c r="AJ2" s="32" t="s">
        <v>566</v>
      </c>
      <c r="AK2" s="32" t="s">
        <v>567</v>
      </c>
      <c r="AL2" s="32" t="s">
        <v>568</v>
      </c>
      <c r="AM2" s="32" t="s">
        <v>564</v>
      </c>
      <c r="AN2" s="32" t="s">
        <v>569</v>
      </c>
      <c r="AO2" s="32" t="s">
        <v>572</v>
      </c>
      <c r="AP2" s="32" t="s">
        <v>573</v>
      </c>
      <c r="AQ2" s="32" t="s">
        <v>574</v>
      </c>
      <c r="AR2" s="32" t="s">
        <v>575</v>
      </c>
      <c r="AS2" s="32" t="s">
        <v>576</v>
      </c>
      <c r="AT2" s="27" t="s">
        <v>577</v>
      </c>
      <c r="AU2" s="32" t="s">
        <v>580</v>
      </c>
      <c r="AV2" s="32" t="s">
        <v>581</v>
      </c>
      <c r="AW2" s="32" t="s">
        <v>582</v>
      </c>
      <c r="AX2" s="32" t="s">
        <v>583</v>
      </c>
      <c r="AY2" s="32" t="s">
        <v>584</v>
      </c>
      <c r="AZ2" s="32" t="s">
        <v>585</v>
      </c>
      <c r="BA2" s="32" t="s">
        <v>586</v>
      </c>
      <c r="BB2" s="32" t="s">
        <v>587</v>
      </c>
      <c r="BC2" s="32" t="s">
        <v>588</v>
      </c>
      <c r="BD2" s="32" t="s">
        <v>589</v>
      </c>
      <c r="BE2" s="32" t="s">
        <v>590</v>
      </c>
      <c r="BF2" s="32" t="s">
        <v>591</v>
      </c>
      <c r="BG2" s="32" t="s">
        <v>592</v>
      </c>
      <c r="BH2" s="32" t="s">
        <v>593</v>
      </c>
      <c r="BI2" s="32" t="s">
        <v>594</v>
      </c>
      <c r="BJ2" s="32" t="s">
        <v>595</v>
      </c>
      <c r="BK2" s="32" t="s">
        <v>596</v>
      </c>
      <c r="BL2" s="32" t="s">
        <v>597</v>
      </c>
      <c r="BM2" s="32" t="s">
        <v>598</v>
      </c>
      <c r="BN2" s="32" t="s">
        <v>599</v>
      </c>
      <c r="BO2" s="32" t="s">
        <v>600</v>
      </c>
      <c r="BP2" s="32" t="s">
        <v>601</v>
      </c>
      <c r="BQ2" s="32" t="s">
        <v>602</v>
      </c>
      <c r="BR2" s="32" t="s">
        <v>603</v>
      </c>
      <c r="BS2" s="32" t="s">
        <v>579</v>
      </c>
      <c r="BT2" s="32" t="s">
        <v>604</v>
      </c>
      <c r="BU2" s="32" t="s">
        <v>605</v>
      </c>
      <c r="BV2" s="32" t="s">
        <v>606</v>
      </c>
      <c r="BW2" s="32" t="s">
        <v>608</v>
      </c>
      <c r="BX2" s="32" t="s">
        <v>609</v>
      </c>
      <c r="BY2" s="32" t="s">
        <v>610</v>
      </c>
      <c r="BZ2" s="32" t="s">
        <v>611</v>
      </c>
      <c r="CA2" s="32" t="s">
        <v>676</v>
      </c>
      <c r="CB2" s="32" t="s">
        <v>677</v>
      </c>
      <c r="CC2" s="32" t="s">
        <v>678</v>
      </c>
      <c r="CD2" s="32" t="s">
        <v>679</v>
      </c>
      <c r="CE2" s="32" t="s">
        <v>680</v>
      </c>
      <c r="CF2" s="32" t="s">
        <v>681</v>
      </c>
      <c r="CG2" s="32" t="s">
        <v>682</v>
      </c>
      <c r="CH2" s="32" t="s">
        <v>683</v>
      </c>
      <c r="CL2" s="27">
        <v>1989</v>
      </c>
      <c r="CM2" s="27">
        <v>1990</v>
      </c>
      <c r="CN2" s="27">
        <v>1991</v>
      </c>
      <c r="CO2" s="27">
        <v>1992</v>
      </c>
      <c r="CP2" s="27">
        <v>1993</v>
      </c>
      <c r="CQ2" s="27">
        <v>1994</v>
      </c>
      <c r="CR2" s="27">
        <v>1995</v>
      </c>
      <c r="CS2" s="27">
        <v>1996</v>
      </c>
      <c r="CT2" s="27">
        <v>1997</v>
      </c>
      <c r="CU2" s="27">
        <v>1998</v>
      </c>
      <c r="CV2" s="27">
        <v>1999</v>
      </c>
      <c r="CW2" s="27">
        <v>2000</v>
      </c>
      <c r="CX2" s="27">
        <v>2001</v>
      </c>
      <c r="CY2" s="27">
        <v>2002</v>
      </c>
      <c r="CZ2" s="27">
        <v>2003</v>
      </c>
      <c r="DA2" s="27">
        <v>2004</v>
      </c>
      <c r="DB2" s="27">
        <v>2005</v>
      </c>
      <c r="DC2" s="27">
        <v>2006</v>
      </c>
      <c r="DD2" s="27">
        <v>2007</v>
      </c>
      <c r="DE2" s="27">
        <v>2008</v>
      </c>
      <c r="DF2" s="47">
        <v>2009</v>
      </c>
      <c r="DG2" s="47">
        <v>2010</v>
      </c>
      <c r="DH2" s="47">
        <v>2011</v>
      </c>
      <c r="DI2" s="27">
        <v>2012</v>
      </c>
      <c r="DJ2" s="68">
        <v>2013</v>
      </c>
      <c r="DK2" s="68">
        <v>2014</v>
      </c>
      <c r="DL2" s="27">
        <f t="shared" ref="DL2:DQ2" si="0">DK2+1</f>
        <v>2015</v>
      </c>
      <c r="DM2" s="27">
        <f t="shared" si="0"/>
        <v>2016</v>
      </c>
      <c r="DN2" s="27">
        <f t="shared" si="0"/>
        <v>2017</v>
      </c>
      <c r="DO2" s="27">
        <f t="shared" si="0"/>
        <v>2018</v>
      </c>
      <c r="DP2" s="27">
        <f t="shared" si="0"/>
        <v>2019</v>
      </c>
      <c r="DQ2" s="27">
        <f t="shared" si="0"/>
        <v>2020</v>
      </c>
      <c r="DR2" s="27">
        <f>DQ2+1</f>
        <v>2021</v>
      </c>
      <c r="DS2" s="27">
        <f>DR2+1</f>
        <v>2022</v>
      </c>
      <c r="DT2" s="27">
        <f>DS2+1</f>
        <v>2023</v>
      </c>
      <c r="DU2" s="27">
        <f>DT2+1</f>
        <v>2024</v>
      </c>
      <c r="DV2" s="27">
        <f>DU2+1</f>
        <v>2025</v>
      </c>
      <c r="DW2" s="27">
        <f t="shared" ref="DW2:EF2" si="1">DV2+1</f>
        <v>2026</v>
      </c>
      <c r="DX2" s="27">
        <f t="shared" si="1"/>
        <v>2027</v>
      </c>
      <c r="DY2" s="27">
        <f t="shared" si="1"/>
        <v>2028</v>
      </c>
      <c r="DZ2" s="27">
        <f t="shared" si="1"/>
        <v>2029</v>
      </c>
      <c r="EA2" s="27">
        <f t="shared" si="1"/>
        <v>2030</v>
      </c>
      <c r="EB2" s="27">
        <f t="shared" si="1"/>
        <v>2031</v>
      </c>
      <c r="EC2" s="27">
        <f t="shared" si="1"/>
        <v>2032</v>
      </c>
      <c r="ED2" s="27">
        <f t="shared" si="1"/>
        <v>2033</v>
      </c>
      <c r="EE2" s="27">
        <f t="shared" si="1"/>
        <v>2034</v>
      </c>
      <c r="EF2" s="27">
        <f t="shared" si="1"/>
        <v>2035</v>
      </c>
    </row>
    <row r="3" spans="1:137" s="43" customFormat="1" x14ac:dyDescent="0.2">
      <c r="B3" s="43" t="s">
        <v>439</v>
      </c>
      <c r="C3" s="34"/>
      <c r="D3" s="34"/>
      <c r="E3" s="34"/>
      <c r="F3" s="34"/>
      <c r="G3" s="34">
        <v>5</v>
      </c>
      <c r="H3" s="34">
        <v>18</v>
      </c>
      <c r="I3" s="34">
        <v>34</v>
      </c>
      <c r="J3" s="34">
        <v>32</v>
      </c>
      <c r="K3" s="34">
        <v>41</v>
      </c>
      <c r="L3" s="34">
        <v>55</v>
      </c>
      <c r="M3" s="34">
        <v>60</v>
      </c>
      <c r="N3" s="34">
        <v>75</v>
      </c>
      <c r="O3" s="34">
        <v>87</v>
      </c>
      <c r="P3" s="34">
        <v>106</v>
      </c>
      <c r="Q3" s="34">
        <v>119</v>
      </c>
      <c r="R3" s="34">
        <v>129</v>
      </c>
      <c r="S3" s="34">
        <v>124</v>
      </c>
      <c r="T3" s="34">
        <v>148</v>
      </c>
      <c r="U3" s="34">
        <v>162</v>
      </c>
      <c r="V3" s="29">
        <v>168</v>
      </c>
      <c r="W3" s="34">
        <v>169</v>
      </c>
      <c r="X3" s="34">
        <v>178</v>
      </c>
      <c r="Y3" s="53">
        <v>184</v>
      </c>
      <c r="Z3" s="53">
        <v>202</v>
      </c>
      <c r="AA3" s="53">
        <v>199</v>
      </c>
      <c r="AB3" s="53">
        <v>228</v>
      </c>
      <c r="AC3" s="53">
        <v>233</v>
      </c>
      <c r="AD3" s="53">
        <v>257</v>
      </c>
      <c r="AE3" s="34">
        <v>254</v>
      </c>
      <c r="AF3" s="34">
        <v>290</v>
      </c>
      <c r="AG3" s="53">
        <v>307</v>
      </c>
      <c r="AH3" s="53">
        <f>1176-AG3-AF3-AE3</f>
        <v>325</v>
      </c>
      <c r="AI3" s="34">
        <v>320</v>
      </c>
      <c r="AJ3" s="34">
        <v>352</v>
      </c>
      <c r="AK3" s="34">
        <v>375</v>
      </c>
      <c r="AL3" s="34">
        <v>397</v>
      </c>
      <c r="AM3" s="34">
        <v>363</v>
      </c>
      <c r="AN3" s="34">
        <v>402</v>
      </c>
      <c r="AO3" s="34">
        <v>444</v>
      </c>
      <c r="AP3" s="34">
        <v>443</v>
      </c>
      <c r="AQ3" s="34">
        <v>400</v>
      </c>
      <c r="AR3" s="34">
        <v>461</v>
      </c>
      <c r="AS3" s="34">
        <v>484</v>
      </c>
      <c r="AT3" s="34">
        <v>540</v>
      </c>
      <c r="AU3" s="34">
        <v>475</v>
      </c>
      <c r="AV3" s="34">
        <v>593</v>
      </c>
      <c r="AW3" s="34">
        <v>572</v>
      </c>
      <c r="AX3" s="34">
        <v>625</v>
      </c>
      <c r="AY3" s="34">
        <v>535</v>
      </c>
      <c r="AZ3" s="34">
        <v>650</v>
      </c>
      <c r="BA3" s="34">
        <v>632</v>
      </c>
      <c r="BB3" s="34">
        <v>662</v>
      </c>
      <c r="BC3" s="34">
        <v>593</v>
      </c>
      <c r="BD3" s="34">
        <v>711</v>
      </c>
      <c r="BE3" s="34">
        <v>675</v>
      </c>
      <c r="BF3" s="34">
        <v>731</v>
      </c>
      <c r="BG3" s="34">
        <v>640</v>
      </c>
      <c r="BH3" s="34">
        <v>778</v>
      </c>
      <c r="BI3" s="34">
        <v>767</v>
      </c>
      <c r="BJ3" s="34">
        <v>792</v>
      </c>
      <c r="BK3" s="34">
        <v>714</v>
      </c>
      <c r="BL3" s="34">
        <v>750</v>
      </c>
      <c r="BM3" s="34">
        <v>826</v>
      </c>
      <c r="BN3" s="34">
        <v>867</v>
      </c>
      <c r="BO3" s="34">
        <v>758</v>
      </c>
      <c r="BP3" s="34">
        <v>814</v>
      </c>
      <c r="BQ3" s="34">
        <v>870</v>
      </c>
      <c r="BR3" s="34">
        <v>864</v>
      </c>
      <c r="BS3" s="34">
        <v>792</v>
      </c>
      <c r="BT3" s="34">
        <v>876</v>
      </c>
      <c r="BU3" s="29">
        <v>883</v>
      </c>
      <c r="BV3" s="29">
        <v>913</v>
      </c>
      <c r="BW3" s="29">
        <v>764</v>
      </c>
      <c r="BX3" s="29">
        <v>927</v>
      </c>
      <c r="BY3" s="29">
        <v>925</v>
      </c>
      <c r="BZ3" s="29">
        <v>985</v>
      </c>
      <c r="CA3" s="29">
        <v>798</v>
      </c>
      <c r="CB3" s="29">
        <v>948</v>
      </c>
      <c r="CC3" s="29">
        <v>936</v>
      </c>
      <c r="CD3" s="29">
        <v>1000</v>
      </c>
      <c r="CE3" s="29">
        <f t="shared" ref="CC3:CH3" si="2">+CA3*1.05</f>
        <v>837.90000000000009</v>
      </c>
      <c r="CF3" s="29">
        <f t="shared" si="2"/>
        <v>995.40000000000009</v>
      </c>
      <c r="CG3" s="29">
        <f t="shared" si="2"/>
        <v>982.80000000000007</v>
      </c>
      <c r="CH3" s="29">
        <f t="shared" si="2"/>
        <v>1050</v>
      </c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>
        <f t="shared" ref="DC3:DC10" si="3">SUM(G3:J3)</f>
        <v>89</v>
      </c>
      <c r="DD3" s="34">
        <f t="shared" ref="DD3:DD10" si="4">SUM(K3:N3)</f>
        <v>231</v>
      </c>
      <c r="DE3" s="34">
        <f t="shared" ref="DE3:DE10" si="5">SUM(O3:R3)</f>
        <v>441</v>
      </c>
      <c r="DF3" s="49">
        <f t="shared" ref="DF3:DF10" si="6">SUM(S3:V3)</f>
        <v>602</v>
      </c>
      <c r="DG3" s="49">
        <f t="shared" ref="DG3:DG10" si="7">SUM(W3:Z3)</f>
        <v>733</v>
      </c>
      <c r="DH3" s="49">
        <f t="shared" ref="DH3:DH10" si="8">SUM(AA3:AD3)</f>
        <v>917</v>
      </c>
      <c r="DI3" s="29">
        <f t="shared" ref="DI3:DI10" si="9">SUM(AE3:AH3)</f>
        <v>1176</v>
      </c>
      <c r="DJ3" s="88">
        <v>1444</v>
      </c>
      <c r="DK3" s="88">
        <v>1652</v>
      </c>
      <c r="DL3" s="88">
        <v>1885</v>
      </c>
      <c r="DM3" s="88">
        <v>2265</v>
      </c>
      <c r="DN3" s="88">
        <v>2479</v>
      </c>
      <c r="DO3" s="34">
        <v>2710</v>
      </c>
      <c r="DP3" s="34">
        <v>2977</v>
      </c>
      <c r="DQ3" s="29">
        <f t="shared" ref="DQ3:DQ10" si="10">SUM(BK3:BN3)</f>
        <v>3157</v>
      </c>
      <c r="DR3" s="34">
        <f t="shared" ref="DR3:DR24" si="11">SUM(BO3:BR3)</f>
        <v>3306</v>
      </c>
      <c r="DS3" s="29">
        <f t="shared" ref="DS3" si="12">SUM(BS3:BV3)</f>
        <v>3464</v>
      </c>
      <c r="DT3" s="29">
        <f t="shared" ref="DT3" si="13">SUM(BW3:BZ3)</f>
        <v>3601</v>
      </c>
      <c r="DU3" s="34">
        <f t="shared" ref="DU3" si="14">SUM(CA3:CD3)</f>
        <v>3682</v>
      </c>
      <c r="DV3" s="34">
        <f t="shared" ref="DV3" si="15">SUM(CE3:CH3)</f>
        <v>3866.1000000000004</v>
      </c>
      <c r="DW3" s="34">
        <f t="shared" ref="DW3" si="16">+DV3</f>
        <v>3866.1000000000004</v>
      </c>
      <c r="DX3" s="34">
        <f t="shared" ref="DX3" si="17">+DW3</f>
        <v>3866.1000000000004</v>
      </c>
      <c r="DY3" s="34">
        <f t="shared" ref="DY3" si="18">+DX3</f>
        <v>3866.1000000000004</v>
      </c>
      <c r="DZ3" s="34">
        <f t="shared" ref="DZ3" si="19">+DY3</f>
        <v>3866.1000000000004</v>
      </c>
      <c r="EA3" s="34">
        <f t="shared" ref="EA3" si="20">+DZ3</f>
        <v>3866.1000000000004</v>
      </c>
      <c r="EB3" s="34">
        <f t="shared" ref="EB3" si="21">+EA3</f>
        <v>3866.1000000000004</v>
      </c>
      <c r="EC3" s="34">
        <f>+EB3*0.9</f>
        <v>3479.4900000000002</v>
      </c>
      <c r="ED3" s="34">
        <f>+EC3*0.9</f>
        <v>3131.5410000000002</v>
      </c>
      <c r="EE3" s="34">
        <f>+ED3*0.9</f>
        <v>2818.3869000000004</v>
      </c>
      <c r="EF3" s="34">
        <f>+EE3*0.9</f>
        <v>2536.5482100000004</v>
      </c>
    </row>
    <row r="4" spans="1:137" s="24" customFormat="1" x14ac:dyDescent="0.2">
      <c r="B4" s="43" t="s">
        <v>703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4" t="s">
        <v>357</v>
      </c>
      <c r="W4" s="34" t="s">
        <v>357</v>
      </c>
      <c r="X4" s="34" t="s">
        <v>357</v>
      </c>
      <c r="Y4" s="53" t="s">
        <v>357</v>
      </c>
      <c r="Z4" s="53" t="s">
        <v>357</v>
      </c>
      <c r="AA4" s="53" t="s">
        <v>357</v>
      </c>
      <c r="AB4" s="53" t="s">
        <v>357</v>
      </c>
      <c r="AC4" s="53" t="s">
        <v>357</v>
      </c>
      <c r="AD4" s="53" t="s">
        <v>357</v>
      </c>
      <c r="AE4" s="53" t="s">
        <v>357</v>
      </c>
      <c r="AF4" s="34">
        <v>1</v>
      </c>
      <c r="AG4" s="53">
        <v>0</v>
      </c>
      <c r="AH4" s="53">
        <v>1</v>
      </c>
      <c r="AI4" s="34">
        <v>22</v>
      </c>
      <c r="AJ4" s="34">
        <v>12</v>
      </c>
      <c r="AK4" s="34">
        <v>41</v>
      </c>
      <c r="AL4" s="34">
        <v>71</v>
      </c>
      <c r="AM4" s="34">
        <v>106</v>
      </c>
      <c r="AN4" s="34">
        <v>171</v>
      </c>
      <c r="AO4" s="34">
        <v>216</v>
      </c>
      <c r="AP4" s="34">
        <v>281</v>
      </c>
      <c r="AQ4" s="34">
        <v>355</v>
      </c>
      <c r="AR4" s="34">
        <v>437</v>
      </c>
      <c r="AS4" s="34">
        <v>466</v>
      </c>
      <c r="AT4" s="29">
        <v>602</v>
      </c>
      <c r="AU4" s="29">
        <v>734</v>
      </c>
      <c r="AV4" s="29">
        <v>777</v>
      </c>
      <c r="AW4" s="29">
        <v>884</v>
      </c>
      <c r="AX4" s="29">
        <v>948</v>
      </c>
      <c r="AY4" s="29">
        <v>1101</v>
      </c>
      <c r="AZ4" s="29">
        <v>1176</v>
      </c>
      <c r="BA4" s="29">
        <v>1232</v>
      </c>
      <c r="BB4" s="29">
        <v>1363</v>
      </c>
      <c r="BC4" s="29">
        <v>1506</v>
      </c>
      <c r="BD4" s="29">
        <v>1650</v>
      </c>
      <c r="BE4" s="29">
        <v>1577</v>
      </c>
      <c r="BF4" s="29">
        <v>1705</v>
      </c>
      <c r="BG4" s="29">
        <v>1925</v>
      </c>
      <c r="BH4" s="29">
        <v>2042</v>
      </c>
      <c r="BI4" s="29">
        <v>1928</v>
      </c>
      <c r="BJ4" s="29">
        <v>2034</v>
      </c>
      <c r="BK4" s="29">
        <v>2641</v>
      </c>
      <c r="BL4" s="29">
        <v>2163</v>
      </c>
      <c r="BM4" s="29">
        <v>2095</v>
      </c>
      <c r="BN4" s="29">
        <v>2269</v>
      </c>
      <c r="BO4" s="29">
        <v>2886</v>
      </c>
      <c r="BP4" s="29">
        <v>2792</v>
      </c>
      <c r="BQ4" s="29">
        <v>2413</v>
      </c>
      <c r="BR4" s="29">
        <v>2671</v>
      </c>
      <c r="BS4" s="29">
        <v>3211</v>
      </c>
      <c r="BT4" s="29">
        <v>3235</v>
      </c>
      <c r="BU4" s="29">
        <v>2655</v>
      </c>
      <c r="BV4" s="29">
        <v>2688</v>
      </c>
      <c r="BW4" s="29">
        <v>3423</v>
      </c>
      <c r="BX4" s="29">
        <v>3204</v>
      </c>
      <c r="BY4" s="29">
        <v>2705</v>
      </c>
      <c r="BZ4" s="29">
        <v>2874</v>
      </c>
      <c r="CA4" s="29">
        <v>3720</v>
      </c>
      <c r="CB4" s="29">
        <v>3416</v>
      </c>
      <c r="CC4" s="29">
        <v>3002</v>
      </c>
      <c r="CD4" s="29">
        <v>3195</v>
      </c>
      <c r="CE4" s="29">
        <f t="shared" ref="CC4:CH4" si="22">+CA4*1.03</f>
        <v>3831.6</v>
      </c>
      <c r="CF4" s="29">
        <f t="shared" si="22"/>
        <v>3518.48</v>
      </c>
      <c r="CG4" s="29">
        <f t="shared" si="22"/>
        <v>3092.06</v>
      </c>
      <c r="CH4" s="29">
        <f t="shared" si="22"/>
        <v>3290.85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/>
      <c r="DC4"/>
      <c r="DD4"/>
      <c r="DE4"/>
      <c r="DF4"/>
      <c r="DG4"/>
      <c r="DH4"/>
      <c r="DI4"/>
      <c r="DJ4">
        <v>146</v>
      </c>
      <c r="DK4">
        <v>774</v>
      </c>
      <c r="DL4" s="88">
        <v>1860</v>
      </c>
      <c r="DM4" s="88">
        <v>3343</v>
      </c>
      <c r="DN4" s="88">
        <v>4872</v>
      </c>
      <c r="DO4" s="29">
        <v>6438</v>
      </c>
      <c r="DP4" s="29">
        <v>7929</v>
      </c>
      <c r="DQ4" s="29">
        <f>SUM(BK4:BN4)</f>
        <v>9168</v>
      </c>
      <c r="DR4" s="34">
        <f>SUM(BO4:BR4)</f>
        <v>10762</v>
      </c>
      <c r="DS4" s="29">
        <f>SUM(BS4:BV4)</f>
        <v>11789</v>
      </c>
      <c r="DT4" s="29">
        <f>SUM(BW4:BZ4)</f>
        <v>12206</v>
      </c>
      <c r="DU4" s="34">
        <f>SUM(CA4:CD4)</f>
        <v>13333</v>
      </c>
      <c r="DV4" s="34">
        <f>SUM(CE4:CH4)</f>
        <v>13732.99</v>
      </c>
      <c r="DW4" s="34">
        <f>+DV4*0.95</f>
        <v>13046.340499999998</v>
      </c>
      <c r="DX4" s="34">
        <f>+DW4*0.95</f>
        <v>12394.023474999998</v>
      </c>
      <c r="DY4" s="34">
        <f>+DX4*0.3</f>
        <v>3718.2070424999993</v>
      </c>
      <c r="DZ4" s="34">
        <f>+DY4*0.2</f>
        <v>743.6414084999999</v>
      </c>
      <c r="EA4" s="34">
        <f>+DZ4*0.3</f>
        <v>223.09242254999995</v>
      </c>
      <c r="EB4" s="34">
        <f>+EA4*0.3</f>
        <v>66.927726764999989</v>
      </c>
      <c r="EC4" s="34">
        <f t="shared" ref="EC4:EF4" si="23">+EB4*0.3</f>
        <v>20.078318029499997</v>
      </c>
      <c r="ED4" s="34">
        <f t="shared" si="23"/>
        <v>6.0234954088499988</v>
      </c>
      <c r="EE4" s="34">
        <f t="shared" si="23"/>
        <v>1.8070486226549995</v>
      </c>
      <c r="EF4" s="34">
        <f t="shared" si="23"/>
        <v>0.54211458679649982</v>
      </c>
    </row>
    <row r="5" spans="1:137" s="24" customFormat="1" x14ac:dyDescent="0.2">
      <c r="B5" s="43" t="s">
        <v>607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4"/>
      <c r="W5" s="34"/>
      <c r="X5" s="34"/>
      <c r="Y5" s="53"/>
      <c r="Z5" s="53"/>
      <c r="AA5" s="5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34">
        <v>1</v>
      </c>
      <c r="AP5" s="34">
        <v>5</v>
      </c>
      <c r="AQ5" s="34">
        <v>40</v>
      </c>
      <c r="AR5" s="34">
        <v>122</v>
      </c>
      <c r="AS5" s="34">
        <v>305</v>
      </c>
      <c r="AT5" s="29">
        <v>475</v>
      </c>
      <c r="AU5" s="29">
        <v>704</v>
      </c>
      <c r="AV5" s="29">
        <v>840</v>
      </c>
      <c r="AW5" s="29">
        <v>920</v>
      </c>
      <c r="AX5" s="29">
        <v>1310</v>
      </c>
      <c r="AY5" s="29">
        <v>1127</v>
      </c>
      <c r="AZ5" s="29">
        <v>1195</v>
      </c>
      <c r="BA5" s="29">
        <v>1265</v>
      </c>
      <c r="BB5" s="29">
        <v>1361</v>
      </c>
      <c r="BC5" s="29">
        <v>1511</v>
      </c>
      <c r="BD5" s="29">
        <v>1627</v>
      </c>
      <c r="BE5" s="29">
        <v>1793</v>
      </c>
      <c r="BF5" s="29">
        <v>1804</v>
      </c>
      <c r="BG5" s="29">
        <v>1801</v>
      </c>
      <c r="BH5" s="29">
        <v>1823</v>
      </c>
      <c r="BI5" s="29">
        <v>1817</v>
      </c>
      <c r="BJ5" s="29">
        <v>1763</v>
      </c>
      <c r="BK5" s="29">
        <v>1766</v>
      </c>
      <c r="BL5" s="29">
        <v>1653</v>
      </c>
      <c r="BM5" s="29">
        <v>1780</v>
      </c>
      <c r="BN5" s="29">
        <v>1793</v>
      </c>
      <c r="BO5" s="29">
        <v>1720</v>
      </c>
      <c r="BP5" s="29">
        <v>1910</v>
      </c>
      <c r="BQ5" s="29">
        <v>1905</v>
      </c>
      <c r="BR5" s="29">
        <v>1988</v>
      </c>
      <c r="BS5" s="29">
        <v>1923</v>
      </c>
      <c r="BT5" s="29">
        <v>2063</v>
      </c>
      <c r="BU5" s="29">
        <v>2047</v>
      </c>
      <c r="BV5" s="29">
        <v>2216</v>
      </c>
      <c r="BW5" s="29">
        <v>2202</v>
      </c>
      <c r="BX5" s="29">
        <v>2145</v>
      </c>
      <c r="BY5" s="29">
        <v>2275</v>
      </c>
      <c r="BZ5" s="29">
        <v>2387</v>
      </c>
      <c r="CA5" s="29">
        <v>2078</v>
      </c>
      <c r="CB5" s="29">
        <v>2387</v>
      </c>
      <c r="CC5" s="29">
        <v>2360</v>
      </c>
      <c r="CD5" s="29">
        <v>2479</v>
      </c>
      <c r="CE5" s="29">
        <f t="shared" ref="CC5:CH5" si="24">+CA5*1.02</f>
        <v>2119.56</v>
      </c>
      <c r="CF5" s="29">
        <f t="shared" si="24"/>
        <v>2434.7400000000002</v>
      </c>
      <c r="CG5" s="29">
        <f t="shared" si="24"/>
        <v>2407.1999999999998</v>
      </c>
      <c r="CH5" s="29">
        <f t="shared" si="24"/>
        <v>2528.58</v>
      </c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/>
      <c r="DB5"/>
      <c r="DC5"/>
      <c r="DD5"/>
      <c r="DE5"/>
      <c r="DF5"/>
      <c r="DG5"/>
      <c r="DH5"/>
      <c r="DI5" s="29">
        <f t="shared" si="9"/>
        <v>0</v>
      </c>
      <c r="DJ5"/>
      <c r="DK5"/>
      <c r="DL5" s="88">
        <v>942</v>
      </c>
      <c r="DM5" s="88">
        <v>3774</v>
      </c>
      <c r="DN5" s="89">
        <v>4948</v>
      </c>
      <c r="DO5" s="29">
        <v>6735</v>
      </c>
      <c r="DP5" s="29">
        <v>7204</v>
      </c>
      <c r="DQ5" s="29">
        <f t="shared" si="10"/>
        <v>6992</v>
      </c>
      <c r="DR5" s="34">
        <f t="shared" si="11"/>
        <v>7523</v>
      </c>
      <c r="DS5" s="29">
        <f t="shared" ref="DS5" si="25">SUM(BS5:BV5)</f>
        <v>8249</v>
      </c>
      <c r="DT5" s="29">
        <f t="shared" ref="DT5" si="26">SUM(BW5:BZ5)</f>
        <v>9009</v>
      </c>
      <c r="DU5" s="34">
        <f t="shared" ref="DU5:DU25" si="27">SUM(CA5:CD5)</f>
        <v>9304</v>
      </c>
      <c r="DV5" s="34">
        <f t="shared" ref="DV5:DV21" si="28">SUM(CE5:CH5)</f>
        <v>9490.08</v>
      </c>
      <c r="DW5" s="34">
        <f t="shared" ref="DW5:DY5" si="29">+DV5*1.02</f>
        <v>9679.8816000000006</v>
      </c>
      <c r="DX5" s="34">
        <f t="shared" si="29"/>
        <v>9873.4792320000015</v>
      </c>
      <c r="DY5" s="34">
        <f t="shared" si="29"/>
        <v>10070.948816640002</v>
      </c>
      <c r="DZ5" s="34">
        <f>+DY5*0.3</f>
        <v>3021.2846449920007</v>
      </c>
      <c r="EA5" s="34">
        <f>+DZ5*0.8</f>
        <v>2417.0277159936009</v>
      </c>
      <c r="EB5" s="34">
        <f t="shared" ref="EB5:EF5" si="30">+EA5*0.8</f>
        <v>1933.6221727948807</v>
      </c>
      <c r="EC5" s="34">
        <f t="shared" si="30"/>
        <v>1546.8977382359046</v>
      </c>
      <c r="ED5" s="34">
        <f t="shared" si="30"/>
        <v>1237.5181905887239</v>
      </c>
      <c r="EE5" s="34">
        <f t="shared" si="30"/>
        <v>990.0145524709792</v>
      </c>
      <c r="EF5" s="34">
        <f t="shared" si="30"/>
        <v>792.01164197678338</v>
      </c>
      <c r="EG5" s="34"/>
    </row>
    <row r="6" spans="1:137" s="24" customFormat="1" x14ac:dyDescent="0.2">
      <c r="B6" s="43" t="s">
        <v>707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4"/>
      <c r="W6" s="34"/>
      <c r="X6" s="34"/>
      <c r="Y6" s="53"/>
      <c r="Z6" s="53"/>
      <c r="AA6" s="53"/>
      <c r="AB6" s="53"/>
      <c r="AC6" s="5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29">
        <v>0</v>
      </c>
      <c r="BI6" s="29">
        <v>0</v>
      </c>
      <c r="BJ6" s="29">
        <v>1299</v>
      </c>
      <c r="BK6" s="29">
        <v>2915</v>
      </c>
      <c r="BL6" s="29">
        <v>2884</v>
      </c>
      <c r="BM6" s="29">
        <v>3027</v>
      </c>
      <c r="BN6" s="29">
        <v>3280</v>
      </c>
      <c r="BO6" s="29">
        <v>2944</v>
      </c>
      <c r="BP6" s="29">
        <v>3202</v>
      </c>
      <c r="BQ6" s="29">
        <v>3347</v>
      </c>
      <c r="BR6" s="29">
        <v>3328</v>
      </c>
      <c r="BS6" s="29">
        <v>2797</v>
      </c>
      <c r="BT6" s="29">
        <v>2501</v>
      </c>
      <c r="BU6" s="29">
        <v>2420</v>
      </c>
      <c r="BV6" s="29">
        <v>2260</v>
      </c>
      <c r="BW6" s="29">
        <v>1750</v>
      </c>
      <c r="BX6" s="29">
        <v>1468</v>
      </c>
      <c r="BY6" s="29">
        <v>1429</v>
      </c>
      <c r="BZ6" s="29">
        <v>1450</v>
      </c>
      <c r="CA6" s="29">
        <v>1669</v>
      </c>
      <c r="CB6" s="29">
        <v>1353</v>
      </c>
      <c r="CC6" s="29">
        <v>1412</v>
      </c>
      <c r="CD6" s="29">
        <v>1339</v>
      </c>
      <c r="CE6" s="29">
        <f>+CA6*0.6</f>
        <v>1001.4</v>
      </c>
      <c r="CF6" s="29">
        <f>+CB6*0.6</f>
        <v>811.8</v>
      </c>
      <c r="CG6" s="29">
        <f>+CC6*0.6</f>
        <v>847.19999999999993</v>
      </c>
      <c r="CH6" s="29">
        <f>+CD6*0.6</f>
        <v>803.4</v>
      </c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>
        <v>0</v>
      </c>
      <c r="DE6" s="29">
        <v>0</v>
      </c>
      <c r="DF6" s="29">
        <v>0</v>
      </c>
      <c r="DG6" s="29">
        <v>0</v>
      </c>
      <c r="DH6" s="29">
        <v>0</v>
      </c>
      <c r="DI6" s="29">
        <v>0</v>
      </c>
      <c r="DJ6" s="64">
        <v>0</v>
      </c>
      <c r="DK6" s="64">
        <v>0</v>
      </c>
      <c r="DL6" s="64">
        <v>0</v>
      </c>
      <c r="DM6" s="64">
        <v>0</v>
      </c>
      <c r="DN6" s="64">
        <v>0</v>
      </c>
      <c r="DO6" s="64">
        <v>0</v>
      </c>
      <c r="DP6" s="64">
        <v>1299</v>
      </c>
      <c r="DQ6" s="29">
        <f>SUM(BK6:BN6)</f>
        <v>12106</v>
      </c>
      <c r="DR6" s="34">
        <f>SUM(BO6:BR6)</f>
        <v>12821</v>
      </c>
      <c r="DS6" s="29">
        <f t="shared" ref="DS6" si="31">SUM(BS6:BV6)</f>
        <v>9978</v>
      </c>
      <c r="DT6" s="29">
        <f t="shared" ref="DT6" si="32">SUM(BW6:BZ6)</f>
        <v>6097</v>
      </c>
      <c r="DU6" s="34">
        <f t="shared" si="27"/>
        <v>5773</v>
      </c>
      <c r="DV6" s="34">
        <f t="shared" si="28"/>
        <v>3463.7999999999997</v>
      </c>
      <c r="DW6" s="34">
        <f>+DV6*0.2</f>
        <v>692.76</v>
      </c>
      <c r="DX6" s="34">
        <f t="shared" ref="DX6" si="33">+DW6*0.2</f>
        <v>138.55199999999999</v>
      </c>
      <c r="DY6" s="34">
        <f>+DX6*0.4</f>
        <v>55.4208</v>
      </c>
      <c r="DZ6" s="34">
        <f t="shared" ref="DZ6:EF6" si="34">+DY6*0.4</f>
        <v>22.168320000000001</v>
      </c>
      <c r="EA6" s="34">
        <f t="shared" si="34"/>
        <v>8.8673280000000005</v>
      </c>
      <c r="EB6" s="34">
        <f t="shared" si="34"/>
        <v>3.5469312000000004</v>
      </c>
      <c r="EC6" s="34">
        <f t="shared" si="34"/>
        <v>1.4187724800000003</v>
      </c>
      <c r="ED6" s="34">
        <f t="shared" si="34"/>
        <v>0.56750899200000016</v>
      </c>
      <c r="EE6" s="34">
        <f t="shared" si="34"/>
        <v>0.22700359680000007</v>
      </c>
      <c r="EF6" s="34">
        <f t="shared" si="34"/>
        <v>9.080143872000003E-2</v>
      </c>
    </row>
    <row r="7" spans="1:137" s="24" customFormat="1" x14ac:dyDescent="0.2">
      <c r="B7" s="43" t="s">
        <v>708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9"/>
      <c r="Z7" s="49"/>
      <c r="AA7" s="49"/>
      <c r="AB7" s="49"/>
      <c r="AC7" s="49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29">
        <v>0</v>
      </c>
      <c r="BI7" s="29">
        <v>0</v>
      </c>
      <c r="BJ7" s="29">
        <v>322</v>
      </c>
      <c r="BK7" s="29">
        <v>713</v>
      </c>
      <c r="BL7" s="29">
        <v>745</v>
      </c>
      <c r="BM7" s="29">
        <v>777</v>
      </c>
      <c r="BN7" s="29">
        <v>835</v>
      </c>
      <c r="BO7" s="29">
        <v>773</v>
      </c>
      <c r="BP7" s="29">
        <v>854</v>
      </c>
      <c r="BQ7" s="29">
        <v>851</v>
      </c>
      <c r="BR7" s="29">
        <v>854</v>
      </c>
      <c r="BS7" s="29">
        <v>826</v>
      </c>
      <c r="BT7" s="29">
        <v>908</v>
      </c>
      <c r="BU7" s="29">
        <v>886</v>
      </c>
      <c r="BV7" s="29">
        <v>877</v>
      </c>
      <c r="BW7" s="29">
        <v>832</v>
      </c>
      <c r="BX7" s="29">
        <v>847</v>
      </c>
      <c r="BY7" s="29">
        <v>872</v>
      </c>
      <c r="BZ7" s="29">
        <v>890</v>
      </c>
      <c r="CA7" s="29">
        <v>865</v>
      </c>
      <c r="CB7" s="29">
        <v>959</v>
      </c>
      <c r="CC7" s="29">
        <v>898</v>
      </c>
      <c r="CD7" s="29">
        <v>823</v>
      </c>
      <c r="CE7" s="29">
        <f>+CA7*0.6</f>
        <v>519</v>
      </c>
      <c r="CF7" s="29">
        <f>+CB7*0.6</f>
        <v>575.4</v>
      </c>
      <c r="CG7" s="29">
        <f>+CC7*0.6</f>
        <v>538.79999999999995</v>
      </c>
      <c r="CH7" s="29">
        <f>+CD7*0.6</f>
        <v>493.79999999999995</v>
      </c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/>
      <c r="DB7"/>
      <c r="DC7"/>
      <c r="DD7"/>
      <c r="DE7"/>
      <c r="DF7"/>
      <c r="DG7"/>
      <c r="DH7"/>
      <c r="DI7"/>
      <c r="DJ7"/>
      <c r="DK7"/>
      <c r="DL7" s="88">
        <v>0</v>
      </c>
      <c r="DM7" s="88">
        <v>0</v>
      </c>
      <c r="DN7" s="88">
        <v>0</v>
      </c>
      <c r="DO7" s="29">
        <v>0</v>
      </c>
      <c r="DP7" s="29">
        <v>322</v>
      </c>
      <c r="DQ7" s="29">
        <f>SUM(BK7:BN7)</f>
        <v>3070</v>
      </c>
      <c r="DR7" s="34">
        <f>SUM(BO7:BR7)</f>
        <v>3332</v>
      </c>
      <c r="DS7" s="29">
        <f t="shared" ref="DS7" si="35">SUM(BS7:BV7)</f>
        <v>3497</v>
      </c>
      <c r="DT7" s="29">
        <f t="shared" ref="DT7" si="36">SUM(BW7:BZ7)</f>
        <v>3441</v>
      </c>
      <c r="DU7" s="34">
        <f t="shared" si="27"/>
        <v>3545</v>
      </c>
      <c r="DV7" s="34">
        <f t="shared" si="28"/>
        <v>2127</v>
      </c>
      <c r="DW7" s="24">
        <f>+DV7*0.3</f>
        <v>638.1</v>
      </c>
      <c r="DX7" s="24">
        <f>+DW7*0.3</f>
        <v>191.43</v>
      </c>
      <c r="DY7" s="24">
        <f>+DX7*0.4</f>
        <v>76.572000000000003</v>
      </c>
      <c r="DZ7" s="24">
        <f t="shared" ref="DZ7:EF7" si="37">+DY7*0.4</f>
        <v>30.628800000000002</v>
      </c>
      <c r="EA7" s="24">
        <f t="shared" si="37"/>
        <v>12.251520000000001</v>
      </c>
      <c r="EB7" s="24">
        <f t="shared" si="37"/>
        <v>4.900608000000001</v>
      </c>
      <c r="EC7" s="24">
        <f t="shared" si="37"/>
        <v>1.9602432000000005</v>
      </c>
      <c r="ED7" s="24">
        <f t="shared" si="37"/>
        <v>0.78409728000000023</v>
      </c>
      <c r="EE7" s="24">
        <f t="shared" si="37"/>
        <v>0.3136389120000001</v>
      </c>
      <c r="EF7" s="24">
        <f t="shared" si="37"/>
        <v>0.12545556480000006</v>
      </c>
    </row>
    <row r="8" spans="1:137" s="24" customFormat="1" x14ac:dyDescent="0.2">
      <c r="B8" s="43" t="s">
        <v>445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4"/>
      <c r="T8" s="34"/>
      <c r="U8" s="34"/>
      <c r="V8" s="34" t="s">
        <v>357</v>
      </c>
      <c r="W8" s="34" t="s">
        <v>357</v>
      </c>
      <c r="X8" s="34" t="s">
        <v>357</v>
      </c>
      <c r="Y8" s="53" t="s">
        <v>357</v>
      </c>
      <c r="Z8" s="53" t="s">
        <v>357</v>
      </c>
      <c r="AA8" s="53"/>
      <c r="AB8" s="53">
        <v>95</v>
      </c>
      <c r="AC8" s="53">
        <v>121</v>
      </c>
      <c r="AD8" s="53">
        <v>144</v>
      </c>
      <c r="AE8" s="34">
        <v>154</v>
      </c>
      <c r="AF8" s="34">
        <v>162</v>
      </c>
      <c r="AG8" s="53">
        <v>179</v>
      </c>
      <c r="AH8" s="53">
        <f>706-AG8-AF8-AE8</f>
        <v>211</v>
      </c>
      <c r="AI8" s="34">
        <v>229</v>
      </c>
      <c r="AJ8" s="34">
        <v>233</v>
      </c>
      <c r="AK8" s="34">
        <v>238</v>
      </c>
      <c r="AL8" s="34">
        <v>260</v>
      </c>
      <c r="AM8" s="34">
        <v>271</v>
      </c>
      <c r="AN8" s="34">
        <v>321</v>
      </c>
      <c r="AO8" s="34">
        <v>350</v>
      </c>
      <c r="AP8" s="34">
        <v>366</v>
      </c>
      <c r="AQ8" s="34">
        <v>325</v>
      </c>
      <c r="AR8" s="34">
        <v>296</v>
      </c>
      <c r="AS8" s="34">
        <v>240</v>
      </c>
      <c r="AT8" s="29">
        <v>265</v>
      </c>
      <c r="AU8" s="29">
        <v>263</v>
      </c>
      <c r="AV8" s="29">
        <v>241</v>
      </c>
      <c r="AW8" s="29">
        <v>285</v>
      </c>
      <c r="AX8" s="29">
        <v>264</v>
      </c>
      <c r="AY8" s="29">
        <v>330</v>
      </c>
      <c r="AZ8" s="29">
        <v>322</v>
      </c>
      <c r="BA8" s="29">
        <v>323</v>
      </c>
      <c r="BB8" s="29">
        <v>269</v>
      </c>
      <c r="BC8" s="29">
        <v>249</v>
      </c>
      <c r="BD8" s="29">
        <v>315</v>
      </c>
      <c r="BE8" s="29">
        <v>382</v>
      </c>
      <c r="BF8" s="29">
        <v>384</v>
      </c>
      <c r="BG8" s="29">
        <v>384</v>
      </c>
      <c r="BH8" s="29">
        <v>367</v>
      </c>
      <c r="BI8" s="29">
        <v>353</v>
      </c>
      <c r="BJ8" s="29">
        <v>385</v>
      </c>
      <c r="BK8" s="29">
        <v>396</v>
      </c>
      <c r="BL8" s="29">
        <v>369</v>
      </c>
      <c r="BM8" s="29">
        <v>446</v>
      </c>
      <c r="BN8" s="29">
        <v>471</v>
      </c>
      <c r="BO8" s="29">
        <v>456</v>
      </c>
      <c r="BP8" s="29">
        <v>510</v>
      </c>
      <c r="BQ8" s="29">
        <v>515</v>
      </c>
      <c r="BR8" s="29">
        <v>545</v>
      </c>
      <c r="BS8" s="29">
        <v>515</v>
      </c>
      <c r="BT8" s="29">
        <v>525</v>
      </c>
      <c r="BU8" s="29">
        <v>523</v>
      </c>
      <c r="BV8" s="29">
        <v>568</v>
      </c>
      <c r="BW8" s="29">
        <v>508</v>
      </c>
      <c r="BX8" s="29">
        <v>585</v>
      </c>
      <c r="BY8" s="29">
        <v>579</v>
      </c>
      <c r="BZ8" s="29">
        <v>566</v>
      </c>
      <c r="CA8" s="29">
        <v>583</v>
      </c>
      <c r="CB8" s="29">
        <v>630</v>
      </c>
      <c r="CC8" s="29">
        <v>642</v>
      </c>
      <c r="CD8" s="29">
        <v>675</v>
      </c>
      <c r="CE8" s="29">
        <f t="shared" ref="CC8:CH8" si="38">+CA8</f>
        <v>583</v>
      </c>
      <c r="CF8" s="29">
        <f t="shared" si="38"/>
        <v>630</v>
      </c>
      <c r="CG8" s="29">
        <f t="shared" si="38"/>
        <v>642</v>
      </c>
      <c r="CH8" s="29">
        <f t="shared" si="38"/>
        <v>675</v>
      </c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53" t="s">
        <v>357</v>
      </c>
      <c r="DG8" s="53" t="s">
        <v>357</v>
      </c>
      <c r="DH8" s="49">
        <f>SUM(AA8:AD8)</f>
        <v>360</v>
      </c>
      <c r="DI8" s="29">
        <f>SUM(AE8:AH8)</f>
        <v>706</v>
      </c>
      <c r="DJ8"/>
      <c r="DK8"/>
      <c r="DL8" s="88">
        <v>1126</v>
      </c>
      <c r="DM8" s="88">
        <v>1053</v>
      </c>
      <c r="DN8" s="88">
        <v>1244</v>
      </c>
      <c r="DO8" s="29">
        <v>1330</v>
      </c>
      <c r="DP8" s="29">
        <v>1489</v>
      </c>
      <c r="DQ8" s="29">
        <f>SUM(BK8:BN8)</f>
        <v>1682</v>
      </c>
      <c r="DR8" s="34">
        <f>SUM(BO8:BR8)</f>
        <v>2026</v>
      </c>
      <c r="DS8" s="29">
        <f t="shared" ref="DS8" si="39">SUM(BS8:BV8)</f>
        <v>2131</v>
      </c>
      <c r="DT8" s="29">
        <f t="shared" ref="DT8" si="40">SUM(BW8:BZ8)</f>
        <v>2238</v>
      </c>
      <c r="DU8" s="34">
        <f t="shared" si="27"/>
        <v>2530</v>
      </c>
      <c r="DV8" s="34">
        <f t="shared" si="28"/>
        <v>2530</v>
      </c>
      <c r="DW8" s="29">
        <f t="shared" ref="DW8" si="41">+DV8</f>
        <v>2530</v>
      </c>
      <c r="DX8" s="29">
        <f t="shared" ref="DX8" si="42">+DW8</f>
        <v>2530</v>
      </c>
      <c r="DY8" s="29">
        <f t="shared" ref="DY8" si="43">+DX8</f>
        <v>2530</v>
      </c>
      <c r="DZ8" s="29">
        <f t="shared" ref="DZ8" si="44">+DY8</f>
        <v>2530</v>
      </c>
      <c r="EA8" s="29">
        <f t="shared" ref="EA8" si="45">+DZ8</f>
        <v>2530</v>
      </c>
      <c r="EB8" s="29">
        <f t="shared" ref="EB8" si="46">+EA8</f>
        <v>2530</v>
      </c>
      <c r="EC8" s="29">
        <f t="shared" ref="EC8" si="47">+EB8</f>
        <v>2530</v>
      </c>
      <c r="ED8" s="29">
        <f t="shared" ref="ED8" si="48">+EC8</f>
        <v>2530</v>
      </c>
      <c r="EE8" s="29">
        <f t="shared" ref="EE8" si="49">+ED8</f>
        <v>2530</v>
      </c>
      <c r="EF8" s="29">
        <f t="shared" ref="EF8" si="50">+EE8</f>
        <v>2530</v>
      </c>
    </row>
    <row r="9" spans="1:137" s="24" customFormat="1" x14ac:dyDescent="0.2">
      <c r="B9" s="43" t="s">
        <v>695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4"/>
      <c r="W9" s="34"/>
      <c r="X9" s="34"/>
      <c r="Y9" s="53"/>
      <c r="Z9" s="53"/>
      <c r="AA9" s="53"/>
      <c r="AB9" s="53"/>
      <c r="AC9" s="53"/>
      <c r="AD9" s="53"/>
      <c r="AE9" s="53"/>
      <c r="AF9" s="34"/>
      <c r="AG9" s="53"/>
      <c r="AH9" s="53"/>
      <c r="AI9" s="34"/>
      <c r="AJ9" s="34"/>
      <c r="AK9" s="34"/>
      <c r="AL9" s="34"/>
      <c r="AM9" s="34"/>
      <c r="AN9" s="34"/>
      <c r="AO9" s="34"/>
      <c r="AP9" s="34"/>
      <c r="AQ9" s="93"/>
      <c r="AR9" s="93"/>
      <c r="AS9" s="93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29">
        <v>0</v>
      </c>
      <c r="BI9" s="29">
        <v>0</v>
      </c>
      <c r="BJ9" s="29">
        <v>0</v>
      </c>
      <c r="BK9" s="29">
        <v>8</v>
      </c>
      <c r="BL9" s="29">
        <v>55</v>
      </c>
      <c r="BM9" s="29">
        <v>96</v>
      </c>
      <c r="BN9" s="29">
        <v>115</v>
      </c>
      <c r="BO9" s="29">
        <v>112</v>
      </c>
      <c r="BP9" s="29">
        <v>128</v>
      </c>
      <c r="BQ9" s="29">
        <v>160</v>
      </c>
      <c r="BR9" s="29">
        <v>151</v>
      </c>
      <c r="BS9" s="29">
        <v>156</v>
      </c>
      <c r="BT9" s="29">
        <v>172</v>
      </c>
      <c r="BU9" s="29">
        <v>190</v>
      </c>
      <c r="BV9" s="29">
        <v>199</v>
      </c>
      <c r="BW9" s="29">
        <v>206</v>
      </c>
      <c r="BX9" s="29">
        <v>234</v>
      </c>
      <c r="BY9" s="29">
        <v>248</v>
      </c>
      <c r="BZ9" s="29">
        <v>320</v>
      </c>
      <c r="CA9" s="29">
        <v>354</v>
      </c>
      <c r="CB9" s="29">
        <v>425</v>
      </c>
      <c r="CC9" s="29">
        <v>447</v>
      </c>
      <c r="CD9" s="29">
        <v>547</v>
      </c>
      <c r="CE9" s="29">
        <f t="shared" ref="CC9:CH9" si="51">+CD9+50</f>
        <v>597</v>
      </c>
      <c r="CF9" s="29">
        <f t="shared" si="51"/>
        <v>647</v>
      </c>
      <c r="CG9" s="29">
        <f t="shared" si="51"/>
        <v>697</v>
      </c>
      <c r="CH9" s="29">
        <f t="shared" si="51"/>
        <v>747</v>
      </c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53"/>
      <c r="DG9" s="49"/>
      <c r="DH9" s="53"/>
      <c r="DI9" s="34"/>
      <c r="DJ9" s="65"/>
      <c r="DK9" s="65"/>
      <c r="DL9" s="34">
        <v>0</v>
      </c>
      <c r="DM9" s="34">
        <v>0</v>
      </c>
      <c r="DN9" s="29">
        <v>0</v>
      </c>
      <c r="DO9" s="29">
        <v>0</v>
      </c>
      <c r="DP9" s="29">
        <v>0</v>
      </c>
      <c r="DQ9" s="29">
        <f>SUM(BK9:BN9)</f>
        <v>274</v>
      </c>
      <c r="DR9" s="34">
        <f>SUM(BO9:BR9)</f>
        <v>551</v>
      </c>
      <c r="DS9" s="29">
        <f>SUM(BS9:BV9)</f>
        <v>717</v>
      </c>
      <c r="DT9" s="29">
        <f>SUM(BW9:BZ9)</f>
        <v>1008</v>
      </c>
      <c r="DU9" s="34">
        <f t="shared" si="27"/>
        <v>1773</v>
      </c>
      <c r="DV9" s="34">
        <f t="shared" si="28"/>
        <v>2688</v>
      </c>
      <c r="DW9" s="29">
        <f t="shared" ref="DW9" si="52">+DV9*1.1</f>
        <v>2956.8</v>
      </c>
      <c r="DX9" s="34">
        <f>+DW9*1.07</f>
        <v>3163.7760000000003</v>
      </c>
      <c r="DY9" s="34">
        <f t="shared" ref="DY9" si="53">+DX9*1.07</f>
        <v>3385.2403200000003</v>
      </c>
      <c r="DZ9" s="34">
        <f>+DY9</f>
        <v>3385.2403200000003</v>
      </c>
      <c r="EA9" s="24">
        <f>+DZ9</f>
        <v>3385.2403200000003</v>
      </c>
      <c r="EB9" s="24">
        <f>+EA9*0.95</f>
        <v>3215.9783040000002</v>
      </c>
      <c r="EC9" s="24">
        <f>+EB9*0.95</f>
        <v>3055.1793888000002</v>
      </c>
      <c r="ED9" s="24">
        <f>+EC9*0.95</f>
        <v>2902.4204193599999</v>
      </c>
      <c r="EE9" s="24">
        <f>+ED9*0.95</f>
        <v>2757.2993983919996</v>
      </c>
      <c r="EF9" s="24">
        <f>+EE9*0.95</f>
        <v>2619.4344284723993</v>
      </c>
    </row>
    <row r="10" spans="1:137" s="24" customFormat="1" x14ac:dyDescent="0.2">
      <c r="B10" s="43" t="s">
        <v>455</v>
      </c>
      <c r="C10" s="29"/>
      <c r="D10" s="29"/>
      <c r="E10" s="29"/>
      <c r="F10" s="29"/>
      <c r="G10" s="29"/>
      <c r="H10" s="29"/>
      <c r="I10" s="29">
        <v>11</v>
      </c>
      <c r="J10" s="29">
        <v>14</v>
      </c>
      <c r="K10" s="29">
        <v>21</v>
      </c>
      <c r="L10" s="29">
        <v>35</v>
      </c>
      <c r="M10" s="29">
        <v>46</v>
      </c>
      <c r="N10" s="29">
        <v>56</v>
      </c>
      <c r="O10" s="29">
        <v>66</v>
      </c>
      <c r="P10" s="29">
        <v>76</v>
      </c>
      <c r="Q10" s="29">
        <v>82</v>
      </c>
      <c r="R10" s="29">
        <v>86</v>
      </c>
      <c r="S10" s="29">
        <v>88</v>
      </c>
      <c r="T10" s="29">
        <v>107</v>
      </c>
      <c r="U10" s="29">
        <v>107</v>
      </c>
      <c r="V10" s="29">
        <v>119</v>
      </c>
      <c r="W10" s="29">
        <v>131</v>
      </c>
      <c r="X10" s="34">
        <v>132</v>
      </c>
      <c r="Y10" s="53">
        <v>144</v>
      </c>
      <c r="Z10" s="53">
        <v>169</v>
      </c>
      <c r="AA10" s="53">
        <v>172</v>
      </c>
      <c r="AB10" s="53">
        <v>193</v>
      </c>
      <c r="AC10" s="53">
        <v>211</v>
      </c>
      <c r="AD10" s="53">
        <v>227</v>
      </c>
      <c r="AE10" s="34">
        <v>231</v>
      </c>
      <c r="AF10" s="34">
        <v>244</v>
      </c>
      <c r="AG10" s="53">
        <v>263</v>
      </c>
      <c r="AH10" s="53">
        <f>1019-AG10-AF10-AE10</f>
        <v>281</v>
      </c>
      <c r="AI10" s="34">
        <v>287</v>
      </c>
      <c r="AJ10" s="34">
        <v>312</v>
      </c>
      <c r="AK10" s="34">
        <v>316</v>
      </c>
      <c r="AL10" s="34">
        <v>365</v>
      </c>
      <c r="AM10" s="34">
        <v>342</v>
      </c>
      <c r="AN10" s="34">
        <v>368</v>
      </c>
      <c r="AO10" s="34">
        <v>385</v>
      </c>
      <c r="AP10" s="34">
        <v>398</v>
      </c>
      <c r="AQ10" s="34">
        <v>375</v>
      </c>
      <c r="AR10" s="34">
        <v>405</v>
      </c>
      <c r="AS10" s="34">
        <v>411</v>
      </c>
      <c r="AT10" s="29">
        <v>429</v>
      </c>
      <c r="AU10" s="29">
        <v>407</v>
      </c>
      <c r="AV10" s="29">
        <v>451</v>
      </c>
      <c r="AW10" s="29">
        <v>472</v>
      </c>
      <c r="AX10" s="29">
        <v>494</v>
      </c>
      <c r="AY10" s="29">
        <v>463</v>
      </c>
      <c r="AZ10" s="29">
        <v>506</v>
      </c>
      <c r="BA10" s="29">
        <v>509</v>
      </c>
      <c r="BB10" s="29">
        <v>527</v>
      </c>
      <c r="BC10" s="29">
        <v>438</v>
      </c>
      <c r="BD10" s="29">
        <v>535</v>
      </c>
      <c r="BE10" s="29">
        <v>491</v>
      </c>
      <c r="BF10" s="29">
        <v>536</v>
      </c>
      <c r="BG10" s="29">
        <v>459</v>
      </c>
      <c r="BH10" s="29">
        <v>544</v>
      </c>
      <c r="BI10" s="29">
        <v>558</v>
      </c>
      <c r="BJ10" s="29">
        <v>549</v>
      </c>
      <c r="BK10" s="29">
        <v>521</v>
      </c>
      <c r="BL10" s="29">
        <v>511</v>
      </c>
      <c r="BM10" s="29">
        <v>544</v>
      </c>
      <c r="BN10" s="29">
        <v>564</v>
      </c>
      <c r="BO10" s="29">
        <v>470</v>
      </c>
      <c r="BP10" s="29">
        <v>541</v>
      </c>
      <c r="BQ10" s="29">
        <v>551</v>
      </c>
      <c r="BR10" s="29">
        <v>555</v>
      </c>
      <c r="BS10" s="29">
        <v>483</v>
      </c>
      <c r="BT10" s="29">
        <v>544</v>
      </c>
      <c r="BU10" s="29">
        <v>560</v>
      </c>
      <c r="BV10" s="29">
        <v>578</v>
      </c>
      <c r="BW10" s="29">
        <v>429</v>
      </c>
      <c r="BX10" s="29">
        <v>458</v>
      </c>
      <c r="BY10" s="29">
        <v>517</v>
      </c>
      <c r="BZ10" s="29">
        <v>526</v>
      </c>
      <c r="CA10" s="29">
        <v>374</v>
      </c>
      <c r="CB10" s="29">
        <v>424</v>
      </c>
      <c r="CC10" s="29">
        <v>290</v>
      </c>
      <c r="CD10" s="29">
        <v>198</v>
      </c>
      <c r="CE10" s="29">
        <f>+CD10*0.7</f>
        <v>138.6</v>
      </c>
      <c r="CF10" s="29">
        <f>+CE10*0.7</f>
        <v>97.02</v>
      </c>
      <c r="CG10" s="29">
        <f>+CF10*0.7</f>
        <v>67.913999999999987</v>
      </c>
      <c r="CH10" s="29">
        <f>+CG10*0.7</f>
        <v>47.539799999999985</v>
      </c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>
        <f t="shared" si="3"/>
        <v>25</v>
      </c>
      <c r="DD10" s="29">
        <f t="shared" si="4"/>
        <v>158</v>
      </c>
      <c r="DE10" s="29">
        <f t="shared" si="5"/>
        <v>310</v>
      </c>
      <c r="DF10" s="49">
        <f t="shared" si="6"/>
        <v>421</v>
      </c>
      <c r="DG10" s="49">
        <f t="shared" si="7"/>
        <v>576</v>
      </c>
      <c r="DH10" s="49">
        <f t="shared" si="8"/>
        <v>803</v>
      </c>
      <c r="DI10" s="29">
        <f t="shared" si="9"/>
        <v>1019</v>
      </c>
      <c r="DJ10"/>
      <c r="DK10"/>
      <c r="DL10" s="88">
        <v>1620</v>
      </c>
      <c r="DM10" s="88">
        <v>1824</v>
      </c>
      <c r="DN10" s="88">
        <v>2005</v>
      </c>
      <c r="DO10" s="29">
        <v>2000</v>
      </c>
      <c r="DP10" s="29">
        <v>2110</v>
      </c>
      <c r="DQ10" s="29">
        <f t="shared" si="10"/>
        <v>2140</v>
      </c>
      <c r="DR10" s="34">
        <f t="shared" si="11"/>
        <v>2117</v>
      </c>
      <c r="DS10" s="29">
        <f t="shared" ref="DS10" si="54">SUM(BS10:BV10)</f>
        <v>2165</v>
      </c>
      <c r="DT10" s="29">
        <f t="shared" ref="DT10:DT11" si="55">SUM(BW10:BZ10)</f>
        <v>1930</v>
      </c>
      <c r="DU10" s="34">
        <f t="shared" si="27"/>
        <v>1286</v>
      </c>
      <c r="DV10" s="34">
        <f t="shared" si="28"/>
        <v>351.07380000000001</v>
      </c>
      <c r="DW10" s="29">
        <f t="shared" ref="DW10:EA10" si="56">+DV10*0.5</f>
        <v>175.5369</v>
      </c>
      <c r="DX10" s="29">
        <f t="shared" si="56"/>
        <v>87.768450000000001</v>
      </c>
      <c r="DY10" s="29">
        <f t="shared" si="56"/>
        <v>43.884225000000001</v>
      </c>
      <c r="DZ10" s="29">
        <f t="shared" si="56"/>
        <v>21.9421125</v>
      </c>
      <c r="EA10" s="29">
        <f t="shared" si="56"/>
        <v>10.97105625</v>
      </c>
      <c r="EB10" s="29">
        <f t="shared" ref="EB10" si="57">+EA10*0.5</f>
        <v>5.4855281250000001</v>
      </c>
      <c r="EC10" s="29">
        <f t="shared" ref="EC10" si="58">+EB10*0.5</f>
        <v>2.7427640625</v>
      </c>
      <c r="ED10" s="29">
        <f t="shared" ref="ED10" si="59">+EC10*0.5</f>
        <v>1.37138203125</v>
      </c>
      <c r="EE10" s="29">
        <f t="shared" ref="EE10" si="60">+ED10*0.5</f>
        <v>0.68569101562500001</v>
      </c>
      <c r="EF10" s="29">
        <f t="shared" ref="EF10" si="61">+EE10*0.5</f>
        <v>0.34284550781250001</v>
      </c>
    </row>
    <row r="11" spans="1:137" x14ac:dyDescent="0.2">
      <c r="B11" s="1" t="s">
        <v>97</v>
      </c>
      <c r="C11" s="29">
        <f>3578-SUM(C3:C10)-C47-C48</f>
        <v>2853</v>
      </c>
      <c r="D11" s="29">
        <f>3886-SUM(D3:D10)-C47-C48</f>
        <v>3161</v>
      </c>
      <c r="E11" s="29">
        <f>3778-SUM(E3:E10)-C47-C48</f>
        <v>3053</v>
      </c>
      <c r="F11" s="29">
        <f>4012-SUM(F3:F10)-C47-C48</f>
        <v>3287</v>
      </c>
      <c r="G11" s="29">
        <f>3700-SUM(G3:G10)-C47-C48</f>
        <v>2970</v>
      </c>
      <c r="H11" s="29">
        <f>3859-SUM(H3:H10)-C47-C48</f>
        <v>3116</v>
      </c>
      <c r="I11" s="29">
        <f>3154-SUM(I3:I10)-C47-C48</f>
        <v>2384</v>
      </c>
      <c r="J11" s="29">
        <f>3145-SUM(J3:J10)-C47-C48</f>
        <v>2374</v>
      </c>
      <c r="K11" s="29">
        <f>3457-SUM(K2:K10)-C47-C48</f>
        <v>2670</v>
      </c>
      <c r="L11" s="29">
        <f>3851-SUM(L3:L10)-C47-C48</f>
        <v>3036</v>
      </c>
      <c r="M11" s="29">
        <f>3926-SUM(M3:M10)-M47-M48</f>
        <v>3632</v>
      </c>
      <c r="N11" s="29">
        <f>4388-SUM(N3:N10)-N47-N48</f>
        <v>4053</v>
      </c>
      <c r="O11" s="29">
        <f>4188-SUM(O3:O10)-O47-O48</f>
        <v>3868</v>
      </c>
      <c r="P11" s="29">
        <f>4475-SUM(P3:P10)-P47-P48</f>
        <v>4123</v>
      </c>
      <c r="Q11" s="29">
        <f>4510-SUM(Q3:Q10)-Q47-Q48</f>
        <v>4184</v>
      </c>
      <c r="R11" s="29">
        <f>4542-SUM(R3:R10)-R47-R48</f>
        <v>4201</v>
      </c>
      <c r="S11" s="29">
        <f>4322-SUM(S3:S10)</f>
        <v>4110</v>
      </c>
      <c r="T11" s="29">
        <f>4665-SUM(T3:T10)</f>
        <v>4410</v>
      </c>
      <c r="U11" s="29">
        <f>4788-SUM(U3:U10)</f>
        <v>4519</v>
      </c>
      <c r="V11" s="29">
        <f>5033-SUM(V3:V10)</f>
        <v>4746</v>
      </c>
      <c r="W11" s="29">
        <v>781</v>
      </c>
      <c r="X11" s="29">
        <f>4768-SUM(X3:X10)</f>
        <v>4458</v>
      </c>
      <c r="Y11" s="49">
        <v>721</v>
      </c>
      <c r="Z11" s="49">
        <v>830</v>
      </c>
      <c r="AA11" s="49">
        <v>734</v>
      </c>
      <c r="AB11" s="49">
        <v>750</v>
      </c>
      <c r="AC11" s="49">
        <v>725</v>
      </c>
      <c r="AD11" s="49">
        <v>741</v>
      </c>
      <c r="AE11" s="34">
        <v>681</v>
      </c>
      <c r="AF11" s="29">
        <v>672</v>
      </c>
      <c r="AG11" s="49">
        <v>644</v>
      </c>
      <c r="AH11" s="49">
        <f>2695-SUM(AE11:AG11)</f>
        <v>698</v>
      </c>
      <c r="AI11" s="29">
        <v>691</v>
      </c>
      <c r="AJ11" s="29">
        <v>671</v>
      </c>
      <c r="AK11" s="29">
        <v>670</v>
      </c>
      <c r="AL11" s="29">
        <v>733</v>
      </c>
      <c r="AM11" s="29">
        <v>772</v>
      </c>
      <c r="AN11" s="29">
        <v>767</v>
      </c>
      <c r="AO11" s="29">
        <v>778</v>
      </c>
      <c r="AP11" s="29"/>
      <c r="AQ11" s="94"/>
      <c r="AR11" s="94"/>
      <c r="AS11" s="94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CA11" s="27">
        <v>319</v>
      </c>
      <c r="CB11" s="27">
        <v>341</v>
      </c>
      <c r="CC11" s="29">
        <v>433</v>
      </c>
      <c r="CD11" s="29">
        <v>512</v>
      </c>
      <c r="CE11" s="29">
        <f t="shared" ref="CD11:CH11" si="62">+CD11</f>
        <v>512</v>
      </c>
      <c r="CF11" s="29">
        <f t="shared" si="62"/>
        <v>512</v>
      </c>
      <c r="CG11" s="29">
        <f t="shared" si="62"/>
        <v>512</v>
      </c>
      <c r="CH11" s="29">
        <f t="shared" si="62"/>
        <v>512</v>
      </c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>
        <v>1878</v>
      </c>
      <c r="CZ11" s="29">
        <v>3087</v>
      </c>
      <c r="DA11" s="29">
        <v>2667</v>
      </c>
      <c r="DB11" s="29">
        <f>SUM(C11:F11)</f>
        <v>12354</v>
      </c>
      <c r="DC11" s="29">
        <f>SUM(G11:J11)</f>
        <v>10844</v>
      </c>
      <c r="DD11" s="29">
        <f>SUM(K11:N11)</f>
        <v>13391</v>
      </c>
      <c r="DE11" s="29">
        <f>SUM(O11:R11)</f>
        <v>16376</v>
      </c>
      <c r="DF11" s="49">
        <f>SUM(S11:V11)</f>
        <v>17785</v>
      </c>
      <c r="DG11" s="49">
        <f>SUM(W11:Z11)</f>
        <v>6790</v>
      </c>
      <c r="DH11" s="49">
        <f>SUM(AA11:AD11)</f>
        <v>2950</v>
      </c>
      <c r="DI11" s="29">
        <f>SUM(AE11:AH11)</f>
        <v>2695</v>
      </c>
      <c r="DJ11" s="64">
        <f>DI11*0.95</f>
        <v>2560.25</v>
      </c>
      <c r="DK11" s="64">
        <f>DJ11*0.95</f>
        <v>2432.2374999999997</v>
      </c>
      <c r="DL11" s="29">
        <f>DK11*0.95</f>
        <v>2310.6256249999997</v>
      </c>
      <c r="DM11" s="29">
        <f>DL11*0.95</f>
        <v>2195.0943437499996</v>
      </c>
      <c r="DN11" s="29">
        <f>DM11*0.95</f>
        <v>2085.3396265624997</v>
      </c>
      <c r="DT11" s="29">
        <f t="shared" si="55"/>
        <v>0</v>
      </c>
      <c r="DU11" s="34">
        <f t="shared" si="27"/>
        <v>1605</v>
      </c>
      <c r="DV11" s="34">
        <f t="shared" si="28"/>
        <v>2048</v>
      </c>
      <c r="DW11" s="34">
        <f>+DV11*0.9</f>
        <v>1843.2</v>
      </c>
      <c r="DX11" s="34">
        <f t="shared" ref="DX11:EF11" si="63">+DW11*0.9</f>
        <v>1658.88</v>
      </c>
      <c r="DY11" s="34">
        <f t="shared" si="63"/>
        <v>1492.9920000000002</v>
      </c>
      <c r="DZ11" s="34">
        <f t="shared" si="63"/>
        <v>1343.6928000000003</v>
      </c>
      <c r="EA11" s="34">
        <f t="shared" si="63"/>
        <v>1209.3235200000004</v>
      </c>
      <c r="EB11" s="34">
        <f t="shared" si="63"/>
        <v>1088.3911680000003</v>
      </c>
      <c r="EC11" s="34">
        <f t="shared" si="63"/>
        <v>979.55205120000028</v>
      </c>
      <c r="ED11" s="34">
        <f t="shared" si="63"/>
        <v>881.59684608000032</v>
      </c>
      <c r="EE11" s="34">
        <f t="shared" si="63"/>
        <v>793.4371614720003</v>
      </c>
      <c r="EF11" s="34">
        <f t="shared" si="63"/>
        <v>714.09344532480031</v>
      </c>
    </row>
    <row r="12" spans="1:137" s="24" customFormat="1" x14ac:dyDescent="0.2">
      <c r="B12" s="43" t="s">
        <v>619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4"/>
      <c r="W12" s="34"/>
      <c r="X12" s="34"/>
      <c r="Y12" s="53"/>
      <c r="Z12" s="53"/>
      <c r="AA12" s="53"/>
      <c r="AB12" s="53"/>
      <c r="AC12" s="53"/>
      <c r="AD12" s="5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6</v>
      </c>
      <c r="BT12" s="29">
        <v>58</v>
      </c>
      <c r="BU12" s="29">
        <v>84</v>
      </c>
      <c r="BV12" s="29">
        <v>104</v>
      </c>
      <c r="BW12" s="29">
        <v>117</v>
      </c>
      <c r="BX12" s="29">
        <v>154</v>
      </c>
      <c r="BY12" s="29">
        <v>166</v>
      </c>
      <c r="BZ12" s="29">
        <v>190</v>
      </c>
      <c r="CA12" s="29">
        <v>206</v>
      </c>
      <c r="CB12" s="29">
        <v>235</v>
      </c>
      <c r="CC12" s="29">
        <v>233</v>
      </c>
      <c r="CD12" s="29">
        <v>254</v>
      </c>
      <c r="CE12" s="29">
        <f>+CD12+10</f>
        <v>264</v>
      </c>
      <c r="CF12" s="29">
        <f>+CE12+10</f>
        <v>274</v>
      </c>
      <c r="CG12" s="29">
        <f>+CF12+10</f>
        <v>284</v>
      </c>
      <c r="CH12" s="29">
        <f>+CG12+10</f>
        <v>294</v>
      </c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53"/>
      <c r="DG12" s="49"/>
      <c r="DH12" s="53"/>
      <c r="DI12" s="34"/>
      <c r="DJ12" s="65"/>
      <c r="DK12" s="65"/>
      <c r="DL12" s="34">
        <v>0</v>
      </c>
      <c r="DM12" s="34">
        <v>0</v>
      </c>
      <c r="DN12" s="34">
        <v>0</v>
      </c>
      <c r="DO12" s="34">
        <v>0</v>
      </c>
      <c r="DP12" s="29">
        <v>0</v>
      </c>
      <c r="DQ12" s="29">
        <f>SUM(BK12:BN12)</f>
        <v>0</v>
      </c>
      <c r="DR12" s="34">
        <f>SUM(BO12:BR12)</f>
        <v>0</v>
      </c>
      <c r="DS12" s="29">
        <f>SUM(BS12:BV12)</f>
        <v>252</v>
      </c>
      <c r="DT12" s="29">
        <f t="shared" ref="DT12" si="64">SUM(BW12:BZ12)</f>
        <v>627</v>
      </c>
      <c r="DU12" s="34">
        <f t="shared" si="27"/>
        <v>928</v>
      </c>
      <c r="DV12" s="34">
        <f t="shared" si="28"/>
        <v>1116</v>
      </c>
      <c r="DW12" s="29">
        <f t="shared" ref="DW12:DX12" si="65">+DV12*1.2</f>
        <v>1339.2</v>
      </c>
      <c r="DX12" s="29">
        <f t="shared" si="65"/>
        <v>1607.04</v>
      </c>
      <c r="DY12" s="29">
        <f>+DX12*1.1</f>
        <v>1767.7440000000001</v>
      </c>
      <c r="DZ12" s="29">
        <f>+DY12*1.05</f>
        <v>1856.1312000000003</v>
      </c>
      <c r="EA12" s="29">
        <f>+DZ12*1.01</f>
        <v>1874.6925120000003</v>
      </c>
      <c r="EB12" s="29">
        <f t="shared" ref="EB12:EF12" si="66">+EA12*1.01</f>
        <v>1893.4394371200003</v>
      </c>
      <c r="EC12" s="29">
        <f t="shared" si="66"/>
        <v>1912.3738314912002</v>
      </c>
      <c r="ED12" s="29">
        <f t="shared" si="66"/>
        <v>1931.4975698061123</v>
      </c>
      <c r="EE12" s="29">
        <f t="shared" si="66"/>
        <v>1950.8125455041734</v>
      </c>
      <c r="EF12" s="29">
        <f t="shared" si="66"/>
        <v>1970.3206709592152</v>
      </c>
    </row>
    <row r="13" spans="1:137" s="24" customFormat="1" x14ac:dyDescent="0.2">
      <c r="B13" s="43" t="s">
        <v>620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4"/>
      <c r="W13" s="34"/>
      <c r="X13" s="34"/>
      <c r="Y13" s="53"/>
      <c r="Z13" s="53"/>
      <c r="AA13" s="53"/>
      <c r="AB13" s="53"/>
      <c r="AC13" s="53"/>
      <c r="AD13" s="5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29">
        <v>0</v>
      </c>
      <c r="BI13" s="29">
        <v>0</v>
      </c>
      <c r="BJ13" s="29">
        <v>166</v>
      </c>
      <c r="BK13" s="29">
        <v>300</v>
      </c>
      <c r="BL13" s="29">
        <v>308</v>
      </c>
      <c r="BM13" s="29">
        <v>342</v>
      </c>
      <c r="BN13" s="29">
        <v>297</v>
      </c>
      <c r="BO13" s="29">
        <v>314</v>
      </c>
      <c r="BP13" s="29">
        <v>296</v>
      </c>
      <c r="BQ13" s="29">
        <v>266</v>
      </c>
      <c r="BR13" s="29">
        <v>305</v>
      </c>
      <c r="BS13" s="29">
        <v>214</v>
      </c>
      <c r="BT13" s="29">
        <v>241</v>
      </c>
      <c r="BU13" s="29">
        <v>177</v>
      </c>
      <c r="BV13" s="29">
        <v>179</v>
      </c>
      <c r="BW13" s="29">
        <v>239</v>
      </c>
      <c r="BX13" s="29">
        <v>258</v>
      </c>
      <c r="BY13" s="29">
        <v>260</v>
      </c>
      <c r="BZ13" s="29">
        <v>247</v>
      </c>
      <c r="CA13" s="29">
        <v>217</v>
      </c>
      <c r="CB13" s="29">
        <v>231</v>
      </c>
      <c r="CC13" s="29">
        <v>253</v>
      </c>
      <c r="CD13" s="29">
        <v>174</v>
      </c>
      <c r="CE13" s="29">
        <f>+CA13*0.6</f>
        <v>130.19999999999999</v>
      </c>
      <c r="CF13" s="29">
        <f>+CB13*0.6</f>
        <v>138.6</v>
      </c>
      <c r="CG13" s="29">
        <f>+CC13*0.6</f>
        <v>151.79999999999998</v>
      </c>
      <c r="CH13" s="29">
        <f>+CD13*0.6</f>
        <v>104.39999999999999</v>
      </c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53"/>
      <c r="DG13" s="49"/>
      <c r="DH13" s="53"/>
      <c r="DI13" s="34"/>
      <c r="DJ13" s="65"/>
      <c r="DK13" s="65"/>
      <c r="DL13" s="34">
        <v>0</v>
      </c>
      <c r="DM13" s="34">
        <v>0</v>
      </c>
      <c r="DN13" s="34">
        <v>0</v>
      </c>
      <c r="DO13" s="34">
        <v>0</v>
      </c>
      <c r="DP13" s="29">
        <v>166</v>
      </c>
      <c r="DQ13" s="29">
        <f>SUM(BK13:BN13)</f>
        <v>1247</v>
      </c>
      <c r="DR13" s="34">
        <f>SUM(BO13:BR13)</f>
        <v>1181</v>
      </c>
      <c r="DS13" s="29">
        <f>SUM(BS13:BV13)</f>
        <v>811</v>
      </c>
      <c r="DT13" s="29">
        <f>SUM(BW13:BZ13)</f>
        <v>1004</v>
      </c>
      <c r="DU13" s="34">
        <f t="shared" si="27"/>
        <v>875</v>
      </c>
      <c r="DV13" s="34">
        <f t="shared" si="28"/>
        <v>524.99999999999989</v>
      </c>
      <c r="DW13" s="29">
        <f t="shared" ref="DW13:DZ13" si="67">+DV13*0.9</f>
        <v>472.49999999999989</v>
      </c>
      <c r="DX13" s="29">
        <f t="shared" si="67"/>
        <v>425.24999999999989</v>
      </c>
      <c r="DY13" s="29">
        <f t="shared" si="67"/>
        <v>382.72499999999991</v>
      </c>
      <c r="DZ13" s="29">
        <f t="shared" si="67"/>
        <v>344.45249999999993</v>
      </c>
      <c r="EA13" s="29">
        <f t="shared" ref="EA13" si="68">+DZ13*0.9</f>
        <v>310.00724999999994</v>
      </c>
      <c r="EB13" s="29">
        <f t="shared" ref="EB13:EB14" si="69">+EA13*0.9</f>
        <v>279.00652499999995</v>
      </c>
      <c r="EC13" s="29">
        <f t="shared" ref="EC13:EC14" si="70">+EB13*0.9</f>
        <v>251.10587249999998</v>
      </c>
      <c r="ED13" s="29">
        <f t="shared" ref="ED13:ED14" si="71">+EC13*0.9</f>
        <v>225.99528524999999</v>
      </c>
      <c r="EE13" s="29">
        <f t="shared" ref="EE13:EE14" si="72">+ED13*0.9</f>
        <v>203.39575672500001</v>
      </c>
      <c r="EF13" s="29">
        <f t="shared" ref="EF13:EF14" si="73">+EE13*0.9</f>
        <v>183.05618105250002</v>
      </c>
    </row>
    <row r="14" spans="1:137" s="24" customFormat="1" x14ac:dyDescent="0.2">
      <c r="B14" s="43" t="s">
        <v>613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4"/>
      <c r="W14" s="34"/>
      <c r="X14" s="34"/>
      <c r="Y14" s="53"/>
      <c r="Z14" s="53"/>
      <c r="AA14" s="53"/>
      <c r="AB14" s="53"/>
      <c r="AC14" s="53"/>
      <c r="AD14" s="53"/>
      <c r="AE14" s="53"/>
      <c r="AF14" s="34"/>
      <c r="AG14" s="53"/>
      <c r="AH14" s="53"/>
      <c r="AI14" s="34"/>
      <c r="AJ14" s="34"/>
      <c r="AK14" s="34"/>
      <c r="AL14" s="34"/>
      <c r="AM14" s="34"/>
      <c r="AN14" s="34"/>
      <c r="AO14" s="34">
        <v>820</v>
      </c>
      <c r="AP14" s="34">
        <v>835</v>
      </c>
      <c r="AQ14" s="34">
        <v>639</v>
      </c>
      <c r="AR14" s="34">
        <v>724</v>
      </c>
      <c r="AS14" s="34">
        <v>625</v>
      </c>
      <c r="AT14" s="29">
        <v>583</v>
      </c>
      <c r="AU14" s="29">
        <v>535</v>
      </c>
      <c r="AV14" s="29">
        <v>537</v>
      </c>
      <c r="AW14" s="29">
        <v>550</v>
      </c>
      <c r="AX14" s="29">
        <v>581</v>
      </c>
      <c r="AY14" s="29">
        <v>499</v>
      </c>
      <c r="AZ14" s="29">
        <v>479</v>
      </c>
      <c r="BA14" s="29">
        <v>539</v>
      </c>
      <c r="BB14" s="29">
        <v>595</v>
      </c>
      <c r="BC14" s="29">
        <v>405</v>
      </c>
      <c r="BD14" s="29">
        <v>421</v>
      </c>
      <c r="BE14" s="29">
        <v>539</v>
      </c>
      <c r="BF14" s="29">
        <v>579</v>
      </c>
      <c r="BG14" s="29">
        <v>487</v>
      </c>
      <c r="BH14" s="29">
        <v>481</v>
      </c>
      <c r="BI14" s="29">
        <v>350</v>
      </c>
      <c r="BJ14" s="29">
        <v>356</v>
      </c>
      <c r="BK14" s="29">
        <v>418</v>
      </c>
      <c r="BL14" s="29">
        <v>331</v>
      </c>
      <c r="BM14" s="29">
        <v>287</v>
      </c>
      <c r="BN14" s="29">
        <v>448</v>
      </c>
      <c r="BO14" s="29">
        <v>506</v>
      </c>
      <c r="BP14" s="29">
        <v>473</v>
      </c>
      <c r="BQ14" s="29">
        <v>339</v>
      </c>
      <c r="BR14" s="29">
        <v>441</v>
      </c>
      <c r="BS14" s="29">
        <v>462</v>
      </c>
      <c r="BT14" s="29">
        <v>435</v>
      </c>
      <c r="BU14" s="29">
        <v>441</v>
      </c>
      <c r="BV14" s="29">
        <v>411</v>
      </c>
      <c r="BW14" s="29">
        <v>467</v>
      </c>
      <c r="BX14" s="29">
        <v>472</v>
      </c>
      <c r="BY14" s="29">
        <v>476</v>
      </c>
      <c r="BZ14" s="29">
        <v>480</v>
      </c>
      <c r="CA14" s="29">
        <v>228</v>
      </c>
      <c r="CB14" s="29">
        <v>222</v>
      </c>
      <c r="CC14" s="29">
        <v>225</v>
      </c>
      <c r="CD14" s="29">
        <v>250</v>
      </c>
      <c r="CE14" s="29">
        <f t="shared" ref="CC14:CH14" si="74">+CD14</f>
        <v>250</v>
      </c>
      <c r="CF14" s="29">
        <f t="shared" si="74"/>
        <v>250</v>
      </c>
      <c r="CG14" s="29">
        <f t="shared" si="74"/>
        <v>250</v>
      </c>
      <c r="CH14" s="29">
        <f t="shared" si="74"/>
        <v>250</v>
      </c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53"/>
      <c r="DG14" s="49"/>
      <c r="DH14" s="53"/>
      <c r="DI14" s="34"/>
      <c r="DJ14" s="65"/>
      <c r="DK14" s="65"/>
      <c r="DL14" s="34"/>
      <c r="DM14" s="34"/>
      <c r="DN14" s="29"/>
      <c r="DO14" s="29">
        <v>2357</v>
      </c>
      <c r="DP14" s="29">
        <v>1674</v>
      </c>
      <c r="DQ14" s="29">
        <f t="shared" ref="DQ14:DQ26" si="75">SUM(BK14:BN14)</f>
        <v>1484</v>
      </c>
      <c r="DR14" s="34">
        <f t="shared" si="11"/>
        <v>1759</v>
      </c>
      <c r="DS14" s="29">
        <f t="shared" ref="DS14:DS24" si="76">SUM(BS14:BV14)</f>
        <v>1749</v>
      </c>
      <c r="DT14" s="29">
        <f t="shared" ref="DT14:DT25" si="77">SUM(BW14:BZ14)</f>
        <v>1895</v>
      </c>
      <c r="DU14" s="34">
        <f t="shared" si="27"/>
        <v>925</v>
      </c>
      <c r="DV14" s="34">
        <f t="shared" si="28"/>
        <v>1000</v>
      </c>
      <c r="DW14" s="29">
        <f t="shared" ref="DW14:DZ14" si="78">+DV14*0.95</f>
        <v>950</v>
      </c>
      <c r="DX14" s="29">
        <f t="shared" si="78"/>
        <v>902.5</v>
      </c>
      <c r="DY14" s="29">
        <f t="shared" si="78"/>
        <v>857.375</v>
      </c>
      <c r="DZ14" s="29">
        <f t="shared" si="78"/>
        <v>814.50624999999991</v>
      </c>
      <c r="EA14" s="29">
        <f t="shared" ref="EA14" si="79">+DZ14*0.9</f>
        <v>733.05562499999996</v>
      </c>
      <c r="EB14" s="29">
        <f t="shared" si="69"/>
        <v>659.75006250000001</v>
      </c>
      <c r="EC14" s="29">
        <f t="shared" si="70"/>
        <v>593.77505625000003</v>
      </c>
      <c r="ED14" s="29">
        <f t="shared" si="71"/>
        <v>534.39755062500001</v>
      </c>
      <c r="EE14" s="29">
        <f t="shared" si="72"/>
        <v>480.9577955625</v>
      </c>
      <c r="EF14" s="29">
        <f t="shared" si="73"/>
        <v>432.86201600625003</v>
      </c>
    </row>
    <row r="15" spans="1:137" s="24" customFormat="1" x14ac:dyDescent="0.2">
      <c r="B15" s="43" t="s">
        <v>616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4"/>
      <c r="W15" s="34"/>
      <c r="X15" s="34"/>
      <c r="Y15" s="53"/>
      <c r="Z15" s="53"/>
      <c r="AA15" s="53"/>
      <c r="AB15" s="53"/>
      <c r="AC15" s="53"/>
      <c r="AD15" s="53"/>
      <c r="AE15" s="53"/>
      <c r="AF15" s="34"/>
      <c r="AG15" s="5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17</v>
      </c>
      <c r="BQ15" s="29">
        <v>30</v>
      </c>
      <c r="BR15" s="29">
        <v>40</v>
      </c>
      <c r="BS15" s="29">
        <v>44</v>
      </c>
      <c r="BT15" s="29">
        <v>39</v>
      </c>
      <c r="BU15" s="29">
        <v>44</v>
      </c>
      <c r="BV15" s="29">
        <v>55</v>
      </c>
      <c r="BW15" s="29">
        <v>71</v>
      </c>
      <c r="BX15" s="29">
        <v>100</v>
      </c>
      <c r="BY15" s="29">
        <v>92</v>
      </c>
      <c r="BZ15" s="29">
        <v>101</v>
      </c>
      <c r="CA15" s="29">
        <v>107</v>
      </c>
      <c r="CB15" s="29">
        <v>153</v>
      </c>
      <c r="CC15" s="29">
        <v>224</v>
      </c>
      <c r="CD15" s="29">
        <v>263</v>
      </c>
      <c r="CE15" s="29">
        <f t="shared" ref="CC15:CH15" si="80">+CD15+5</f>
        <v>268</v>
      </c>
      <c r="CF15" s="29">
        <f t="shared" si="80"/>
        <v>273</v>
      </c>
      <c r="CG15" s="29">
        <f t="shared" si="80"/>
        <v>278</v>
      </c>
      <c r="CH15" s="29">
        <f t="shared" si="80"/>
        <v>283</v>
      </c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53"/>
      <c r="DG15" s="49"/>
      <c r="DH15" s="53"/>
      <c r="DI15" s="34"/>
      <c r="DJ15" s="65"/>
      <c r="DK15" s="65"/>
      <c r="DL15" s="34">
        <v>0</v>
      </c>
      <c r="DM15" s="34">
        <v>0</v>
      </c>
      <c r="DN15" s="34">
        <v>0</v>
      </c>
      <c r="DO15" s="34">
        <v>0</v>
      </c>
      <c r="DP15" s="29">
        <v>0</v>
      </c>
      <c r="DQ15" s="29">
        <f>SUM(BK15:BN15)</f>
        <v>0</v>
      </c>
      <c r="DR15" s="34">
        <f>SUM(BO15:BR15)</f>
        <v>87</v>
      </c>
      <c r="DS15" s="29">
        <f>SUM(BS15:BV15)</f>
        <v>182</v>
      </c>
      <c r="DT15" s="29">
        <f>SUM(BW15:BZ15)</f>
        <v>364</v>
      </c>
      <c r="DU15" s="34">
        <f t="shared" si="27"/>
        <v>747</v>
      </c>
      <c r="DV15" s="34">
        <f t="shared" si="28"/>
        <v>1102</v>
      </c>
      <c r="DW15" s="29">
        <f>+DV15*1.2</f>
        <v>1322.3999999999999</v>
      </c>
      <c r="DX15" s="29">
        <f>+DW15*1.2</f>
        <v>1586.8799999999999</v>
      </c>
      <c r="DY15" s="34">
        <f>+DX15*1.05</f>
        <v>1666.2239999999999</v>
      </c>
      <c r="DZ15" s="34">
        <f>+DY15*1.05</f>
        <v>1749.5352</v>
      </c>
      <c r="EA15" s="24">
        <f>+DZ15*1.01</f>
        <v>1767.0305519999999</v>
      </c>
      <c r="EB15" s="24">
        <f t="shared" ref="EB15:EF15" si="81">+EA15*1.01</f>
        <v>1784.70085752</v>
      </c>
      <c r="EC15" s="24">
        <f t="shared" si="81"/>
        <v>1802.5478660952001</v>
      </c>
      <c r="ED15" s="24">
        <f t="shared" si="81"/>
        <v>1820.5733447561522</v>
      </c>
      <c r="EE15" s="24">
        <f t="shared" si="81"/>
        <v>1838.7790782037137</v>
      </c>
      <c r="EF15" s="24">
        <f t="shared" si="81"/>
        <v>1857.1668689857509</v>
      </c>
    </row>
    <row r="16" spans="1:137" s="24" customFormat="1" x14ac:dyDescent="0.2">
      <c r="B16" s="43" t="s">
        <v>615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4"/>
      <c r="W16" s="34"/>
      <c r="X16" s="34"/>
      <c r="Y16" s="53"/>
      <c r="Z16" s="53"/>
      <c r="AA16" s="53"/>
      <c r="AB16" s="53"/>
      <c r="AC16" s="53"/>
      <c r="AD16" s="53"/>
      <c r="AE16" s="53"/>
      <c r="AF16" s="34"/>
      <c r="AG16" s="5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29">
        <v>0</v>
      </c>
      <c r="BI16" s="29">
        <v>0</v>
      </c>
      <c r="BJ16" s="29">
        <v>0</v>
      </c>
      <c r="BK16" s="29">
        <v>0</v>
      </c>
      <c r="BL16" s="29">
        <v>1</v>
      </c>
      <c r="BM16" s="29">
        <v>2</v>
      </c>
      <c r="BN16" s="29">
        <v>9</v>
      </c>
      <c r="BO16" s="29">
        <v>18</v>
      </c>
      <c r="BP16" s="29">
        <v>28</v>
      </c>
      <c r="BQ16" s="29">
        <v>40</v>
      </c>
      <c r="BR16" s="29">
        <v>48</v>
      </c>
      <c r="BS16" s="29">
        <v>36</v>
      </c>
      <c r="BT16" s="29">
        <v>66</v>
      </c>
      <c r="BU16" s="29">
        <v>69</v>
      </c>
      <c r="BV16" s="29">
        <v>79</v>
      </c>
      <c r="BW16" s="29">
        <v>78</v>
      </c>
      <c r="BX16" s="29">
        <v>100</v>
      </c>
      <c r="BY16" s="29">
        <v>123</v>
      </c>
      <c r="BZ16" s="29">
        <v>133</v>
      </c>
      <c r="CA16" s="29">
        <v>110</v>
      </c>
      <c r="CB16" s="29">
        <v>151</v>
      </c>
      <c r="CC16" s="29">
        <v>147</v>
      </c>
      <c r="CD16" s="29">
        <v>158</v>
      </c>
      <c r="CE16" s="29">
        <f t="shared" ref="CD16:CH16" si="82">+CA16*1.1</f>
        <v>121.00000000000001</v>
      </c>
      <c r="CF16" s="29">
        <f t="shared" si="82"/>
        <v>166.10000000000002</v>
      </c>
      <c r="CG16" s="29">
        <f t="shared" si="82"/>
        <v>161.70000000000002</v>
      </c>
      <c r="CH16" s="29">
        <f t="shared" si="82"/>
        <v>173.8</v>
      </c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53"/>
      <c r="DG16" s="49"/>
      <c r="DH16" s="53"/>
      <c r="DI16" s="34"/>
      <c r="DJ16" s="65"/>
      <c r="DK16" s="65"/>
      <c r="DL16" s="34">
        <v>0</v>
      </c>
      <c r="DM16" s="34">
        <v>0</v>
      </c>
      <c r="DN16" s="34">
        <v>0</v>
      </c>
      <c r="DO16" s="34">
        <v>0</v>
      </c>
      <c r="DP16" s="29">
        <v>0</v>
      </c>
      <c r="DQ16" s="29">
        <f>SUM(BK16:BN16)</f>
        <v>12</v>
      </c>
      <c r="DR16" s="34">
        <f>SUM(BO16:BR16)</f>
        <v>134</v>
      </c>
      <c r="DS16" s="29">
        <f>SUM(BS16:BV16)</f>
        <v>250</v>
      </c>
      <c r="DT16" s="29">
        <f>SUM(BW16:BZ16)</f>
        <v>434</v>
      </c>
      <c r="DU16" s="34">
        <f t="shared" si="27"/>
        <v>566</v>
      </c>
      <c r="DV16" s="34">
        <f t="shared" si="28"/>
        <v>622.60000000000014</v>
      </c>
      <c r="DW16" s="29">
        <f t="shared" ref="DW16:DX16" si="83">+DV16*1.2</f>
        <v>747.12000000000012</v>
      </c>
      <c r="DX16" s="29">
        <f t="shared" si="83"/>
        <v>896.5440000000001</v>
      </c>
      <c r="DY16" s="34">
        <f>+DX16*1.05</f>
        <v>941.37120000000016</v>
      </c>
      <c r="DZ16" s="34">
        <f>+DY16*1.05</f>
        <v>988.43976000000021</v>
      </c>
      <c r="EA16" s="24">
        <f>+DZ16*1.01</f>
        <v>998.32415760000026</v>
      </c>
      <c r="EB16" s="24">
        <f>+EA16*0.9</f>
        <v>898.49174184000026</v>
      </c>
      <c r="EC16" s="24">
        <f>+EB16*0.5</f>
        <v>449.24587092000013</v>
      </c>
      <c r="ED16" s="24">
        <f t="shared" ref="ED16:EF16" si="84">+EC16*0.5</f>
        <v>224.62293546000006</v>
      </c>
      <c r="EE16" s="24">
        <f t="shared" si="84"/>
        <v>112.31146773000003</v>
      </c>
      <c r="EF16" s="24">
        <f t="shared" si="84"/>
        <v>56.155733865000016</v>
      </c>
    </row>
    <row r="17" spans="2:136" s="24" customFormat="1" x14ac:dyDescent="0.2">
      <c r="B17" s="43" t="s">
        <v>640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4"/>
      <c r="W17" s="34"/>
      <c r="X17" s="34"/>
      <c r="Y17" s="53"/>
      <c r="Z17" s="53"/>
      <c r="AA17" s="53"/>
      <c r="AB17" s="53"/>
      <c r="AC17" s="53"/>
      <c r="AD17" s="53"/>
      <c r="AE17" s="53"/>
      <c r="AF17" s="34"/>
      <c r="AG17" s="5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3</v>
      </c>
      <c r="BU17" s="29">
        <v>5</v>
      </c>
      <c r="BV17" s="29">
        <v>16</v>
      </c>
      <c r="BW17" s="29">
        <v>29</v>
      </c>
      <c r="BX17" s="29">
        <v>46</v>
      </c>
      <c r="BY17" s="29">
        <v>68</v>
      </c>
      <c r="BZ17" s="29">
        <v>88</v>
      </c>
      <c r="CA17" s="29">
        <v>84</v>
      </c>
      <c r="CB17" s="29">
        <v>139</v>
      </c>
      <c r="CC17" s="29">
        <v>156</v>
      </c>
      <c r="CD17" s="29">
        <v>223</v>
      </c>
      <c r="CE17" s="29">
        <f t="shared" ref="CC17:CH17" si="85">+CD17+30</f>
        <v>253</v>
      </c>
      <c r="CF17" s="29">
        <f t="shared" si="85"/>
        <v>283</v>
      </c>
      <c r="CG17" s="29">
        <f t="shared" si="85"/>
        <v>313</v>
      </c>
      <c r="CH17" s="29">
        <f t="shared" si="85"/>
        <v>343</v>
      </c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53"/>
      <c r="DG17" s="49"/>
      <c r="DH17" s="53"/>
      <c r="DI17" s="34"/>
      <c r="DJ17" s="65"/>
      <c r="DK17" s="65"/>
      <c r="DL17" s="34">
        <v>0</v>
      </c>
      <c r="DM17" s="34">
        <v>0</v>
      </c>
      <c r="DN17" s="34">
        <v>0</v>
      </c>
      <c r="DO17" s="34">
        <v>0</v>
      </c>
      <c r="DP17" s="29">
        <v>0</v>
      </c>
      <c r="DQ17" s="29">
        <f>SUM(BK17:BN17)</f>
        <v>0</v>
      </c>
      <c r="DR17" s="34">
        <f>SUM(BO17:BR17)</f>
        <v>0</v>
      </c>
      <c r="DS17" s="29">
        <f>SUM(BS17:BV17)</f>
        <v>24</v>
      </c>
      <c r="DT17" s="29">
        <f>SUM(BW17:BZ17)</f>
        <v>231</v>
      </c>
      <c r="DU17" s="34">
        <f t="shared" si="27"/>
        <v>602</v>
      </c>
      <c r="DV17" s="34">
        <f t="shared" si="28"/>
        <v>1192</v>
      </c>
      <c r="DW17" s="34">
        <f>+DV17*1.3</f>
        <v>1549.6000000000001</v>
      </c>
      <c r="DX17" s="34">
        <f>+DW17*1.3</f>
        <v>2014.4800000000002</v>
      </c>
      <c r="DY17" s="34">
        <f>+DX17*1.2</f>
        <v>2417.3760000000002</v>
      </c>
      <c r="DZ17" s="34">
        <f>+DY17*1.15</f>
        <v>2779.9823999999999</v>
      </c>
      <c r="EA17" s="24">
        <f>+DZ17*1.1</f>
        <v>3057.9806400000002</v>
      </c>
      <c r="EB17" s="24">
        <f>+EA17</f>
        <v>3057.9806400000002</v>
      </c>
      <c r="EC17" s="24">
        <f>+EB17</f>
        <v>3057.9806400000002</v>
      </c>
      <c r="ED17" s="24">
        <f>+EC17</f>
        <v>3057.9806400000002</v>
      </c>
      <c r="EE17" s="24">
        <f>+ED17*0.1</f>
        <v>305.79806400000001</v>
      </c>
      <c r="EF17" s="24">
        <f>+EE17*0.1</f>
        <v>30.579806400000002</v>
      </c>
    </row>
    <row r="18" spans="2:136" s="24" customFormat="1" x14ac:dyDescent="0.2">
      <c r="B18" s="43" t="s">
        <v>614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4"/>
      <c r="W18" s="34"/>
      <c r="X18" s="34"/>
      <c r="Y18" s="53"/>
      <c r="Z18" s="53"/>
      <c r="AA18" s="53"/>
      <c r="AB18" s="53"/>
      <c r="AC18" s="53"/>
      <c r="AD18" s="53"/>
      <c r="AE18" s="53"/>
      <c r="AF18" s="34"/>
      <c r="AG18" s="5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24</v>
      </c>
      <c r="BQ18" s="29">
        <v>71</v>
      </c>
      <c r="BR18" s="29">
        <v>69</v>
      </c>
      <c r="BS18" s="29">
        <v>67</v>
      </c>
      <c r="BT18" s="29">
        <v>89</v>
      </c>
      <c r="BU18" s="29">
        <v>107</v>
      </c>
      <c r="BV18" s="29">
        <v>125</v>
      </c>
      <c r="BW18" s="29">
        <v>147</v>
      </c>
      <c r="BX18" s="29">
        <v>132</v>
      </c>
      <c r="BY18" s="29">
        <v>93</v>
      </c>
      <c r="BZ18" s="29">
        <v>100</v>
      </c>
      <c r="CA18" s="29">
        <v>82</v>
      </c>
      <c r="CB18" s="29">
        <v>95</v>
      </c>
      <c r="CC18" s="29">
        <v>124</v>
      </c>
      <c r="CD18" s="29">
        <v>105</v>
      </c>
      <c r="CE18" s="29">
        <f t="shared" ref="CE18" si="86">+CA18*1.1</f>
        <v>90.2</v>
      </c>
      <c r="CF18" s="29">
        <f t="shared" ref="CF18" si="87">+CB18*1.1</f>
        <v>104.50000000000001</v>
      </c>
      <c r="CG18" s="29">
        <f t="shared" ref="CG18" si="88">+CC18*1.1</f>
        <v>136.4</v>
      </c>
      <c r="CH18" s="29">
        <f t="shared" ref="CH18" si="89">+CD18*1.1</f>
        <v>115.50000000000001</v>
      </c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53"/>
      <c r="DG18" s="49"/>
      <c r="DH18" s="53"/>
      <c r="DI18" s="34"/>
      <c r="DJ18" s="65"/>
      <c r="DK18" s="65"/>
      <c r="DL18" s="34">
        <v>0</v>
      </c>
      <c r="DM18" s="34">
        <v>0</v>
      </c>
      <c r="DN18" s="34">
        <v>0</v>
      </c>
      <c r="DO18" s="34">
        <v>0</v>
      </c>
      <c r="DP18" s="29">
        <v>0</v>
      </c>
      <c r="DQ18" s="29">
        <f t="shared" si="75"/>
        <v>0</v>
      </c>
      <c r="DR18" s="34">
        <f t="shared" si="11"/>
        <v>164</v>
      </c>
      <c r="DS18" s="29">
        <f t="shared" si="76"/>
        <v>388</v>
      </c>
      <c r="DT18" s="29">
        <f t="shared" si="77"/>
        <v>472</v>
      </c>
      <c r="DU18" s="34">
        <f t="shared" si="27"/>
        <v>406</v>
      </c>
      <c r="DV18" s="34">
        <f t="shared" si="28"/>
        <v>446.6</v>
      </c>
      <c r="DW18" s="29">
        <f t="shared" ref="DW18:DX18" si="90">+DV18*1.2</f>
        <v>535.91999999999996</v>
      </c>
      <c r="DX18" s="29">
        <f t="shared" si="90"/>
        <v>643.10399999999993</v>
      </c>
      <c r="DY18" s="34">
        <f>+DX18*1.05</f>
        <v>675.25919999999996</v>
      </c>
      <c r="DZ18" s="34">
        <f t="shared" ref="DZ18" si="91">+DY18*1.05</f>
        <v>709.02215999999999</v>
      </c>
      <c r="EA18" s="24">
        <f>+DZ18*1.01</f>
        <v>716.11238159999994</v>
      </c>
      <c r="EB18" s="24">
        <f>+EA18</f>
        <v>716.11238159999994</v>
      </c>
      <c r="EC18" s="24">
        <f t="shared" ref="EC18:EF18" si="92">+EB18</f>
        <v>716.11238159999994</v>
      </c>
      <c r="ED18" s="24">
        <f t="shared" si="92"/>
        <v>716.11238159999994</v>
      </c>
      <c r="EE18" s="24">
        <f t="shared" si="92"/>
        <v>716.11238159999994</v>
      </c>
      <c r="EF18" s="24">
        <f t="shared" si="92"/>
        <v>716.11238159999994</v>
      </c>
    </row>
    <row r="19" spans="2:136" s="24" customFormat="1" x14ac:dyDescent="0.2">
      <c r="B19" s="43" t="s">
        <v>675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4"/>
      <c r="W19" s="34"/>
      <c r="X19" s="34"/>
      <c r="Y19" s="53"/>
      <c r="Z19" s="53"/>
      <c r="AA19" s="53"/>
      <c r="AB19" s="53"/>
      <c r="AC19" s="53"/>
      <c r="AD19" s="53"/>
      <c r="AE19" s="53"/>
      <c r="AF19" s="34"/>
      <c r="AG19" s="5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29">
        <v>0</v>
      </c>
      <c r="BI19" s="29">
        <v>0</v>
      </c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>
        <v>1</v>
      </c>
      <c r="BV19" s="29">
        <v>7</v>
      </c>
      <c r="BW19" s="29">
        <v>16</v>
      </c>
      <c r="BX19" s="29">
        <v>25</v>
      </c>
      <c r="BY19" s="29">
        <v>66</v>
      </c>
      <c r="BZ19" s="29">
        <v>63</v>
      </c>
      <c r="CA19" s="29">
        <v>44</v>
      </c>
      <c r="CB19" s="29">
        <v>53</v>
      </c>
      <c r="CC19" s="29">
        <v>66</v>
      </c>
      <c r="CD19" s="29">
        <v>83</v>
      </c>
      <c r="CE19" s="29">
        <f>+CD19+10</f>
        <v>93</v>
      </c>
      <c r="CF19" s="29">
        <f>+CE19+10</f>
        <v>103</v>
      </c>
      <c r="CG19" s="29">
        <f>+CF19+10</f>
        <v>113</v>
      </c>
      <c r="CH19" s="29">
        <f>+CG19+10</f>
        <v>123</v>
      </c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53"/>
      <c r="DG19" s="49"/>
      <c r="DH19" s="53"/>
      <c r="DI19" s="34"/>
      <c r="DJ19" s="65"/>
      <c r="DK19" s="65"/>
      <c r="DL19" s="34">
        <v>0</v>
      </c>
      <c r="DM19" s="34">
        <v>0</v>
      </c>
      <c r="DN19" s="34">
        <v>0</v>
      </c>
      <c r="DO19" s="34">
        <v>0</v>
      </c>
      <c r="DP19" s="29">
        <v>0</v>
      </c>
      <c r="DQ19" s="29">
        <f t="shared" ref="DQ19" si="93">SUM(BK19:BN19)</f>
        <v>0</v>
      </c>
      <c r="DR19" s="34">
        <f t="shared" ref="DR19" si="94">SUM(BO19:BR19)</f>
        <v>0</v>
      </c>
      <c r="DS19" s="29">
        <f>SUM(BS19:BV19)</f>
        <v>8</v>
      </c>
      <c r="DT19" s="29">
        <f>SUM(BW19:BZ19)</f>
        <v>170</v>
      </c>
      <c r="DU19" s="34">
        <f t="shared" si="27"/>
        <v>246</v>
      </c>
      <c r="DV19" s="34">
        <f t="shared" si="28"/>
        <v>432</v>
      </c>
      <c r="DW19" s="29">
        <f>+DV19*1.8</f>
        <v>777.6</v>
      </c>
      <c r="DX19" s="29">
        <f>+DW19*1.8</f>
        <v>1399.68</v>
      </c>
      <c r="DY19" s="34">
        <f>+DX19*1.5</f>
        <v>2099.52</v>
      </c>
      <c r="DZ19" s="34">
        <f>+DY19*1.5</f>
        <v>3149.2799999999997</v>
      </c>
      <c r="EA19" s="24">
        <f>+DZ19*1.05</f>
        <v>3306.7439999999997</v>
      </c>
      <c r="EB19" s="24">
        <f>+EA19*1.1</f>
        <v>3637.4184</v>
      </c>
      <c r="EC19" s="24">
        <f>+EB19*1.1</f>
        <v>4001.1602400000002</v>
      </c>
      <c r="ED19" s="24">
        <f>+EC19*1.1</f>
        <v>4401.2762640000001</v>
      </c>
      <c r="EE19" s="24">
        <f>+ED19*1.1</f>
        <v>4841.4038904000008</v>
      </c>
      <c r="EF19" s="24">
        <f>+EE19*0.1</f>
        <v>484.14038904000012</v>
      </c>
    </row>
    <row r="20" spans="2:136" s="24" customFormat="1" x14ac:dyDescent="0.2">
      <c r="B20" s="43" t="s">
        <v>684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4"/>
      <c r="W20" s="34"/>
      <c r="X20" s="34"/>
      <c r="Y20" s="53"/>
      <c r="Z20" s="53"/>
      <c r="AA20" s="53"/>
      <c r="AB20" s="53"/>
      <c r="AC20" s="53"/>
      <c r="AD20" s="53"/>
      <c r="AE20" s="53"/>
      <c r="AF20" s="34"/>
      <c r="AG20" s="5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21</v>
      </c>
      <c r="CB20" s="29">
        <v>32</v>
      </c>
      <c r="CC20" s="29">
        <v>34</v>
      </c>
      <c r="CD20" s="29">
        <v>39</v>
      </c>
      <c r="CE20" s="29">
        <f t="shared" ref="CC20:CH20" si="95">+CD20+5</f>
        <v>44</v>
      </c>
      <c r="CF20" s="29">
        <f t="shared" si="95"/>
        <v>49</v>
      </c>
      <c r="CG20" s="29">
        <f t="shared" si="95"/>
        <v>54</v>
      </c>
      <c r="CH20" s="29">
        <f t="shared" si="95"/>
        <v>59</v>
      </c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53"/>
      <c r="DG20" s="49"/>
      <c r="DH20" s="53"/>
      <c r="DI20" s="34"/>
      <c r="DJ20" s="65"/>
      <c r="DK20" s="65"/>
      <c r="DL20" s="34">
        <v>0</v>
      </c>
      <c r="DM20" s="34">
        <v>0</v>
      </c>
      <c r="DN20" s="34">
        <v>0</v>
      </c>
      <c r="DO20" s="34">
        <v>0</v>
      </c>
      <c r="DP20" s="29">
        <v>0</v>
      </c>
      <c r="DQ20" s="29"/>
      <c r="DR20" s="34"/>
      <c r="DS20" s="29"/>
      <c r="DT20" s="29">
        <f t="shared" ref="DT20" si="96">SUM(BW20:BZ20)</f>
        <v>0</v>
      </c>
      <c r="DU20" s="34">
        <f t="shared" si="27"/>
        <v>126</v>
      </c>
      <c r="DV20" s="34">
        <f t="shared" si="28"/>
        <v>206</v>
      </c>
      <c r="DW20" s="34">
        <f>+DV20*1.1</f>
        <v>226.60000000000002</v>
      </c>
      <c r="DX20" s="34">
        <f t="shared" ref="DX20:EE20" si="97">+DW20*1.1</f>
        <v>249.26000000000005</v>
      </c>
      <c r="DY20" s="34">
        <f t="shared" si="97"/>
        <v>274.18600000000009</v>
      </c>
      <c r="DZ20" s="34">
        <f t="shared" si="97"/>
        <v>301.60460000000012</v>
      </c>
      <c r="EA20" s="34">
        <f t="shared" si="97"/>
        <v>331.76506000000018</v>
      </c>
      <c r="EB20" s="34">
        <f t="shared" si="97"/>
        <v>364.94156600000025</v>
      </c>
      <c r="EC20" s="34">
        <f t="shared" si="97"/>
        <v>401.4357226000003</v>
      </c>
      <c r="ED20" s="34">
        <f t="shared" si="97"/>
        <v>441.57929486000035</v>
      </c>
      <c r="EE20" s="34">
        <f t="shared" si="97"/>
        <v>485.7372243460004</v>
      </c>
      <c r="EF20" s="24">
        <f>+EE20*0.1</f>
        <v>48.573722434600043</v>
      </c>
    </row>
    <row r="21" spans="2:136" s="24" customFormat="1" x14ac:dyDescent="0.2">
      <c r="B21" s="43" t="s">
        <v>685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4"/>
      <c r="W21" s="34"/>
      <c r="X21" s="34"/>
      <c r="Y21" s="53"/>
      <c r="Z21" s="53"/>
      <c r="AA21" s="53"/>
      <c r="AB21" s="53"/>
      <c r="AC21" s="53"/>
      <c r="AD21" s="53"/>
      <c r="AE21" s="53"/>
      <c r="AF21" s="34"/>
      <c r="AG21" s="5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>
        <v>0</v>
      </c>
      <c r="BW21" s="29">
        <v>0</v>
      </c>
      <c r="BX21" s="29">
        <v>0</v>
      </c>
      <c r="BY21" s="29">
        <v>0</v>
      </c>
      <c r="BZ21" s="29">
        <v>1</v>
      </c>
      <c r="CA21" s="29">
        <v>6</v>
      </c>
      <c r="CB21" s="29">
        <v>7</v>
      </c>
      <c r="CC21" s="29">
        <v>10</v>
      </c>
      <c r="CD21" s="29">
        <v>15</v>
      </c>
      <c r="CE21" s="29">
        <f t="shared" ref="CC21:CH21" si="98">+CD21+1</f>
        <v>16</v>
      </c>
      <c r="CF21" s="29">
        <f t="shared" si="98"/>
        <v>17</v>
      </c>
      <c r="CG21" s="29">
        <f t="shared" si="98"/>
        <v>18</v>
      </c>
      <c r="CH21" s="29">
        <f t="shared" si="98"/>
        <v>19</v>
      </c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53"/>
      <c r="DG21" s="49"/>
      <c r="DH21" s="53"/>
      <c r="DI21" s="34"/>
      <c r="DJ21" s="65"/>
      <c r="DK21" s="65"/>
      <c r="DL21" s="34">
        <v>0</v>
      </c>
      <c r="DM21" s="34">
        <v>0</v>
      </c>
      <c r="DN21" s="34">
        <v>0</v>
      </c>
      <c r="DO21" s="34">
        <v>0</v>
      </c>
      <c r="DP21" s="29">
        <v>0</v>
      </c>
      <c r="DQ21" s="29"/>
      <c r="DR21" s="34"/>
      <c r="DS21" s="29"/>
      <c r="DT21" s="29">
        <f>SUM(BW21:BZ21)</f>
        <v>1</v>
      </c>
      <c r="DU21" s="34">
        <f t="shared" si="27"/>
        <v>38</v>
      </c>
      <c r="DV21" s="34">
        <f t="shared" si="28"/>
        <v>70</v>
      </c>
      <c r="DW21" s="29">
        <f>+DV21</f>
        <v>70</v>
      </c>
      <c r="DX21" s="29">
        <f t="shared" ref="DX21:EF21" si="99">+DW21</f>
        <v>70</v>
      </c>
      <c r="DY21" s="29">
        <f t="shared" si="99"/>
        <v>70</v>
      </c>
      <c r="DZ21" s="29">
        <f t="shared" si="99"/>
        <v>70</v>
      </c>
      <c r="EA21" s="29">
        <f t="shared" si="99"/>
        <v>70</v>
      </c>
      <c r="EB21" s="29">
        <f t="shared" si="99"/>
        <v>70</v>
      </c>
      <c r="EC21" s="29">
        <f t="shared" si="99"/>
        <v>70</v>
      </c>
      <c r="ED21" s="29">
        <f t="shared" si="99"/>
        <v>70</v>
      </c>
      <c r="EE21" s="29">
        <f t="shared" si="99"/>
        <v>70</v>
      </c>
      <c r="EF21" s="29">
        <f t="shared" si="99"/>
        <v>70</v>
      </c>
    </row>
    <row r="22" spans="2:136" s="24" customFormat="1" x14ac:dyDescent="0.2">
      <c r="B22" s="43" t="s">
        <v>629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4"/>
      <c r="W22" s="34"/>
      <c r="X22" s="34"/>
      <c r="Y22" s="53"/>
      <c r="Z22" s="53"/>
      <c r="AA22" s="53"/>
      <c r="AB22" s="53"/>
      <c r="AC22" s="53"/>
      <c r="AD22" s="53"/>
      <c r="AE22" s="53"/>
      <c r="AF22" s="34"/>
      <c r="AG22" s="5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29">
        <v>3</v>
      </c>
      <c r="AU22" s="29">
        <v>28</v>
      </c>
      <c r="AV22" s="29">
        <v>34</v>
      </c>
      <c r="AW22" s="29">
        <v>41</v>
      </c>
      <c r="AX22" s="29">
        <v>47</v>
      </c>
      <c r="AY22" s="29">
        <v>53</v>
      </c>
      <c r="AZ22" s="29">
        <v>55</v>
      </c>
      <c r="BA22" s="29">
        <v>60</v>
      </c>
      <c r="BB22" s="29">
        <v>63</v>
      </c>
      <c r="BC22" s="29">
        <v>55</v>
      </c>
      <c r="BD22" s="29">
        <v>64</v>
      </c>
      <c r="BE22" s="29">
        <v>59</v>
      </c>
      <c r="BF22" s="29">
        <v>69</v>
      </c>
      <c r="BG22" s="29">
        <v>83</v>
      </c>
      <c r="BH22" s="29">
        <v>91</v>
      </c>
      <c r="BI22" s="29">
        <v>89</v>
      </c>
      <c r="BJ22" s="29">
        <v>94</v>
      </c>
      <c r="BK22" s="29">
        <v>97</v>
      </c>
      <c r="BL22" s="29">
        <v>97</v>
      </c>
      <c r="BM22" s="29">
        <v>96</v>
      </c>
      <c r="BN22" s="29">
        <v>91</v>
      </c>
      <c r="BO22" s="29">
        <v>85</v>
      </c>
      <c r="BP22" s="29">
        <v>86</v>
      </c>
      <c r="BQ22" s="29">
        <v>82</v>
      </c>
      <c r="BR22" s="29">
        <v>81</v>
      </c>
      <c r="BS22" s="29">
        <v>75</v>
      </c>
      <c r="BT22" s="29">
        <v>77</v>
      </c>
      <c r="BU22" s="29">
        <v>73</v>
      </c>
      <c r="BV22" s="29">
        <v>71</v>
      </c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/>
      <c r="DB22"/>
      <c r="DC22"/>
      <c r="DD22"/>
      <c r="DE22"/>
      <c r="DF22"/>
      <c r="DG22"/>
      <c r="DH22"/>
      <c r="DI22"/>
      <c r="DJ22"/>
      <c r="DK22"/>
      <c r="DL22" s="34">
        <v>3</v>
      </c>
      <c r="DM22" s="34">
        <v>150</v>
      </c>
      <c r="DN22" s="34">
        <v>231</v>
      </c>
      <c r="DO22" s="29">
        <v>247</v>
      </c>
      <c r="DP22" s="29">
        <v>357</v>
      </c>
      <c r="DQ22" s="29">
        <f>SUM(BK22:BN22)</f>
        <v>381</v>
      </c>
      <c r="DR22" s="34">
        <f>SUM(BO22:BR22)</f>
        <v>334</v>
      </c>
      <c r="DS22" s="29">
        <f t="shared" ref="DS22" si="100">SUM(BS22:BV22)</f>
        <v>296</v>
      </c>
      <c r="DT22" s="29">
        <f t="shared" ref="DT22" si="101">SUM(BW22:BZ22)</f>
        <v>0</v>
      </c>
      <c r="DU22" s="34"/>
      <c r="DV22" s="34"/>
      <c r="DW22" s="29"/>
      <c r="DX22" s="29"/>
      <c r="DY22" s="29"/>
      <c r="DZ22" s="29"/>
      <c r="EA22" s="29"/>
    </row>
    <row r="23" spans="2:136" s="24" customFormat="1" x14ac:dyDescent="0.2">
      <c r="B23" s="43" t="s">
        <v>617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4"/>
      <c r="W23" s="34"/>
      <c r="X23" s="34"/>
      <c r="Y23" s="53"/>
      <c r="Z23" s="53"/>
      <c r="AA23" s="53"/>
      <c r="AB23" s="53"/>
      <c r="AC23" s="53"/>
      <c r="AD23" s="53"/>
      <c r="AE23" s="53"/>
      <c r="AF23" s="34"/>
      <c r="AG23" s="5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29">
        <v>0</v>
      </c>
      <c r="BI23" s="29">
        <v>0</v>
      </c>
      <c r="BJ23" s="29">
        <v>5</v>
      </c>
      <c r="BK23" s="29">
        <v>12</v>
      </c>
      <c r="BL23" s="29">
        <v>15</v>
      </c>
      <c r="BM23" s="29">
        <v>13</v>
      </c>
      <c r="BN23" s="29">
        <v>15</v>
      </c>
      <c r="BO23" s="29">
        <v>16</v>
      </c>
      <c r="BP23" s="29">
        <v>16</v>
      </c>
      <c r="BQ23" s="29">
        <v>22</v>
      </c>
      <c r="BR23" s="29">
        <v>20</v>
      </c>
      <c r="BS23" s="29">
        <v>18</v>
      </c>
      <c r="BT23" s="29">
        <v>23</v>
      </c>
      <c r="BU23" s="29">
        <v>21</v>
      </c>
      <c r="BV23" s="29">
        <v>23</v>
      </c>
      <c r="BW23" s="29">
        <v>25</v>
      </c>
      <c r="BX23" s="29">
        <v>27</v>
      </c>
      <c r="BY23" s="29">
        <v>29</v>
      </c>
      <c r="BZ23" s="29">
        <v>29</v>
      </c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53"/>
      <c r="DG23" s="49"/>
      <c r="DH23" s="53"/>
      <c r="DI23" s="34"/>
      <c r="DJ23" s="65"/>
      <c r="DK23" s="65"/>
      <c r="DL23" s="34">
        <v>0</v>
      </c>
      <c r="DM23" s="34">
        <v>0</v>
      </c>
      <c r="DN23" s="34">
        <v>0</v>
      </c>
      <c r="DO23" s="29">
        <v>0</v>
      </c>
      <c r="DP23" s="29">
        <v>5</v>
      </c>
      <c r="DQ23" s="29">
        <f t="shared" si="75"/>
        <v>55</v>
      </c>
      <c r="DR23" s="34">
        <f t="shared" si="11"/>
        <v>74</v>
      </c>
      <c r="DS23" s="29">
        <f t="shared" si="76"/>
        <v>85</v>
      </c>
      <c r="DT23" s="29">
        <f t="shared" si="77"/>
        <v>110</v>
      </c>
      <c r="DU23" s="34"/>
      <c r="DV23" s="34"/>
      <c r="DW23" s="29"/>
      <c r="DX23" s="29"/>
      <c r="DY23" s="29"/>
      <c r="DZ23" s="29"/>
      <c r="EA23" s="29"/>
    </row>
    <row r="24" spans="2:136" s="24" customFormat="1" x14ac:dyDescent="0.2">
      <c r="B24" s="43" t="s">
        <v>618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4"/>
      <c r="W24" s="34"/>
      <c r="X24" s="34"/>
      <c r="Y24" s="53"/>
      <c r="Z24" s="53"/>
      <c r="AA24" s="53"/>
      <c r="AB24" s="53"/>
      <c r="AC24" s="53"/>
      <c r="AD24" s="53"/>
      <c r="AE24" s="53"/>
      <c r="AF24" s="34"/>
      <c r="AG24" s="5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3</v>
      </c>
      <c r="BN24" s="29">
        <v>14</v>
      </c>
      <c r="BO24" s="29">
        <v>15</v>
      </c>
      <c r="BP24" s="29">
        <v>12</v>
      </c>
      <c r="BQ24" s="29">
        <v>21</v>
      </c>
      <c r="BR24" s="29">
        <v>25</v>
      </c>
      <c r="BS24" s="29">
        <v>23</v>
      </c>
      <c r="BT24" s="29">
        <v>32</v>
      </c>
      <c r="BU24" s="29">
        <v>32</v>
      </c>
      <c r="BV24" s="29">
        <v>37</v>
      </c>
      <c r="BW24" s="29">
        <v>34</v>
      </c>
      <c r="BX24" s="29">
        <v>44</v>
      </c>
      <c r="BY24" s="29">
        <v>43</v>
      </c>
      <c r="BZ24" s="29">
        <v>47</v>
      </c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53"/>
      <c r="DG24" s="49"/>
      <c r="DH24" s="53"/>
      <c r="DI24" s="34"/>
      <c r="DJ24" s="65"/>
      <c r="DK24" s="65"/>
      <c r="DL24" s="34">
        <v>0</v>
      </c>
      <c r="DM24" s="34">
        <v>0</v>
      </c>
      <c r="DN24" s="34">
        <v>0</v>
      </c>
      <c r="DO24" s="29">
        <v>0</v>
      </c>
      <c r="DP24" s="29">
        <v>0</v>
      </c>
      <c r="DQ24" s="29">
        <f t="shared" si="75"/>
        <v>17</v>
      </c>
      <c r="DR24" s="34">
        <f t="shared" si="11"/>
        <v>73</v>
      </c>
      <c r="DS24" s="29">
        <f t="shared" si="76"/>
        <v>124</v>
      </c>
      <c r="DT24" s="29">
        <f t="shared" si="77"/>
        <v>168</v>
      </c>
      <c r="DU24" s="34"/>
      <c r="DV24" s="34"/>
      <c r="DW24" s="29"/>
      <c r="DX24" s="29"/>
      <c r="DY24" s="34"/>
      <c r="DZ24" s="34"/>
    </row>
    <row r="25" spans="2:136" s="24" customFormat="1" x14ac:dyDescent="0.2">
      <c r="B25" s="43" t="s">
        <v>752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4"/>
      <c r="W25" s="34"/>
      <c r="X25" s="34"/>
      <c r="Y25" s="53"/>
      <c r="Z25" s="53"/>
      <c r="AA25" s="53"/>
      <c r="AB25" s="53"/>
      <c r="AC25" s="53"/>
      <c r="AD25" s="53"/>
      <c r="AE25" s="53"/>
      <c r="AF25" s="34"/>
      <c r="AG25" s="5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>
        <v>10</v>
      </c>
      <c r="CE25" s="29">
        <v>100</v>
      </c>
      <c r="CF25" s="29">
        <f t="shared" ref="CF25:CH25" si="102">+CE25+50</f>
        <v>150</v>
      </c>
      <c r="CG25" s="29">
        <f t="shared" si="102"/>
        <v>200</v>
      </c>
      <c r="CH25" s="29">
        <f t="shared" si="102"/>
        <v>250</v>
      </c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53"/>
      <c r="DG25" s="49"/>
      <c r="DH25" s="53"/>
      <c r="DI25" s="34"/>
      <c r="DJ25" s="65"/>
      <c r="DK25" s="65"/>
      <c r="DL25" s="34"/>
      <c r="DM25" s="34"/>
      <c r="DN25" s="34"/>
      <c r="DO25" s="29"/>
      <c r="DP25" s="29"/>
      <c r="DQ25" s="29"/>
      <c r="DR25" s="34"/>
      <c r="DS25" s="29"/>
      <c r="DT25" s="29">
        <f t="shared" si="77"/>
        <v>0</v>
      </c>
      <c r="DU25" s="34">
        <f t="shared" si="27"/>
        <v>10</v>
      </c>
      <c r="DV25" s="34">
        <v>3000</v>
      </c>
      <c r="DW25" s="29">
        <v>6000</v>
      </c>
      <c r="DX25" s="29">
        <f>+DW25*1.3</f>
        <v>7800</v>
      </c>
      <c r="DY25" s="29">
        <f>+DX25*1.3</f>
        <v>10140</v>
      </c>
      <c r="DZ25" s="29">
        <f>+DY25*1.3</f>
        <v>13182</v>
      </c>
      <c r="EA25" s="24">
        <f>+DZ25*1.1</f>
        <v>14500.2</v>
      </c>
      <c r="EB25" s="24">
        <f>+EA25*1.1</f>
        <v>15950.220000000003</v>
      </c>
      <c r="EC25" s="24">
        <f>+EB25*1.1</f>
        <v>17545.242000000006</v>
      </c>
      <c r="ED25" s="24">
        <f>+EC25*0.1</f>
        <v>1754.5242000000007</v>
      </c>
      <c r="EE25" s="24">
        <f t="shared" ref="EE25:EF25" si="103">+ED25*0.1</f>
        <v>175.45242000000007</v>
      </c>
      <c r="EF25" s="24">
        <f t="shared" si="103"/>
        <v>17.545242000000009</v>
      </c>
    </row>
    <row r="26" spans="2:136" s="24" customFormat="1" x14ac:dyDescent="0.2">
      <c r="B26" s="43" t="s">
        <v>641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4"/>
      <c r="W26" s="34"/>
      <c r="X26" s="34"/>
      <c r="Y26" s="53"/>
      <c r="Z26" s="53"/>
      <c r="AA26" s="53"/>
      <c r="AB26" s="53"/>
      <c r="AC26" s="53"/>
      <c r="AD26" s="53"/>
      <c r="AE26" s="53"/>
      <c r="AF26" s="34"/>
      <c r="AG26" s="5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29">
        <v>0</v>
      </c>
      <c r="BI26" s="29">
        <v>0</v>
      </c>
      <c r="BJ26" s="29">
        <v>58</v>
      </c>
      <c r="BK26" s="29">
        <v>158</v>
      </c>
      <c r="BL26" s="29">
        <v>126</v>
      </c>
      <c r="BM26" s="29">
        <v>106</v>
      </c>
      <c r="BN26" s="29"/>
      <c r="BO26" s="29"/>
      <c r="BP26" s="29"/>
      <c r="BQ26" s="29">
        <v>36</v>
      </c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53"/>
      <c r="DG26" s="49"/>
      <c r="DH26" s="53"/>
      <c r="DI26" s="34"/>
      <c r="DJ26" s="65"/>
      <c r="DK26" s="65"/>
      <c r="DL26" s="34">
        <v>0</v>
      </c>
      <c r="DM26" s="34">
        <v>0</v>
      </c>
      <c r="DN26" s="34">
        <v>0</v>
      </c>
      <c r="DO26" s="29">
        <v>0</v>
      </c>
      <c r="DP26" s="29">
        <v>58</v>
      </c>
      <c r="DQ26" s="29">
        <f t="shared" si="75"/>
        <v>390</v>
      </c>
      <c r="DR26" s="34">
        <f>SUM(BO26:BR26)</f>
        <v>36</v>
      </c>
      <c r="DS26" s="29"/>
      <c r="DT26" s="29"/>
      <c r="DU26" s="34"/>
      <c r="DV26" s="34"/>
      <c r="DW26" s="29"/>
      <c r="DX26" s="29"/>
      <c r="DY26" s="29"/>
      <c r="DZ26" s="29"/>
      <c r="EA26" s="29"/>
    </row>
    <row r="27" spans="2:136" x14ac:dyDescent="0.2">
      <c r="B27" s="22" t="s">
        <v>674</v>
      </c>
      <c r="V27" s="34"/>
      <c r="W27" s="32"/>
      <c r="X27" s="32"/>
      <c r="Y27" s="48"/>
      <c r="Z27" s="48"/>
      <c r="AA27" s="48"/>
      <c r="AB27" s="48"/>
      <c r="AC27" s="48"/>
      <c r="AD27" s="48"/>
      <c r="AE27" s="48"/>
      <c r="AF27" s="34"/>
      <c r="AG27" s="53"/>
      <c r="AH27" s="53"/>
      <c r="AI27" s="34"/>
      <c r="AJ27" s="34"/>
      <c r="AK27" s="34"/>
      <c r="AL27" s="34"/>
      <c r="AM27" s="34"/>
      <c r="AN27" s="34"/>
      <c r="AO27" s="34">
        <v>49</v>
      </c>
      <c r="AP27" s="34">
        <v>207</v>
      </c>
      <c r="AQ27" s="34">
        <v>264</v>
      </c>
      <c r="AR27" s="34">
        <v>479</v>
      </c>
      <c r="AS27" s="34">
        <v>402</v>
      </c>
      <c r="AT27" s="27">
        <v>458</v>
      </c>
      <c r="AU27" s="27">
        <v>427</v>
      </c>
      <c r="AV27" s="27">
        <v>546</v>
      </c>
      <c r="AW27" s="27">
        <v>379</v>
      </c>
      <c r="AX27" s="27">
        <v>226</v>
      </c>
      <c r="AY27" s="27">
        <v>162</v>
      </c>
      <c r="AZ27" s="27">
        <v>112</v>
      </c>
      <c r="BA27" s="27">
        <v>73</v>
      </c>
      <c r="BB27" s="27">
        <v>59</v>
      </c>
      <c r="BC27" s="27">
        <v>3</v>
      </c>
      <c r="BD27" s="27">
        <v>12</v>
      </c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53" t="s">
        <v>357</v>
      </c>
      <c r="DG27" s="53" t="s">
        <v>357</v>
      </c>
      <c r="DH27" s="53" t="s">
        <v>357</v>
      </c>
      <c r="DI27" s="34" t="s">
        <v>474</v>
      </c>
      <c r="DJ27" s="65" t="s">
        <v>474</v>
      </c>
      <c r="DK27" s="65"/>
      <c r="DL27" s="34">
        <v>1603</v>
      </c>
      <c r="DM27" s="34">
        <v>1578</v>
      </c>
      <c r="DN27" s="29">
        <v>406</v>
      </c>
      <c r="DO27" s="84"/>
      <c r="DP27" s="84"/>
      <c r="DQ27" s="84"/>
      <c r="DR27" s="29"/>
      <c r="DS27" s="29"/>
      <c r="DT27" s="29"/>
      <c r="DU27" s="34"/>
      <c r="DV27" s="34"/>
      <c r="DX27" s="24"/>
    </row>
    <row r="28" spans="2:136" x14ac:dyDescent="0.2">
      <c r="B28" s="22" t="s">
        <v>417</v>
      </c>
      <c r="V28" s="34" t="s">
        <v>357</v>
      </c>
      <c r="W28" s="32" t="s">
        <v>357</v>
      </c>
      <c r="X28" s="32" t="s">
        <v>357</v>
      </c>
      <c r="Y28" s="48" t="s">
        <v>357</v>
      </c>
      <c r="Z28" s="48" t="s">
        <v>357</v>
      </c>
      <c r="AA28" s="48" t="s">
        <v>357</v>
      </c>
      <c r="AB28" s="48">
        <v>2</v>
      </c>
      <c r="AC28" s="48" t="s">
        <v>357</v>
      </c>
      <c r="AD28" s="47">
        <v>1</v>
      </c>
      <c r="AE28" s="27">
        <v>1</v>
      </c>
      <c r="AF28" s="29">
        <v>3</v>
      </c>
      <c r="AG28" s="49">
        <v>3</v>
      </c>
      <c r="AH28" s="49">
        <f>11-SUM(AE28:AG28)</f>
        <v>4</v>
      </c>
      <c r="AI28" s="29">
        <v>5</v>
      </c>
      <c r="AJ28" s="29">
        <v>6</v>
      </c>
      <c r="AK28" s="29">
        <v>7</v>
      </c>
      <c r="AL28" s="29">
        <v>8</v>
      </c>
      <c r="AM28" s="29"/>
      <c r="AN28" s="29"/>
      <c r="AO28" s="29"/>
      <c r="AP28" s="29"/>
      <c r="AQ28" s="29"/>
      <c r="AR28" s="29"/>
      <c r="AS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49"/>
      <c r="DG28" s="49"/>
      <c r="DH28" s="49">
        <f>SUM(AA28:AD28)</f>
        <v>3</v>
      </c>
      <c r="DI28" s="29">
        <f>SUM(AE28:AH28)</f>
        <v>11</v>
      </c>
      <c r="DJ28" s="64">
        <v>15</v>
      </c>
      <c r="DK28" s="64">
        <v>20</v>
      </c>
      <c r="DL28" s="29"/>
      <c r="DM28" s="29"/>
      <c r="DN28" s="29"/>
      <c r="DO28" s="84"/>
      <c r="DP28" s="84"/>
      <c r="DQ28" s="84"/>
      <c r="DR28" s="29"/>
      <c r="DS28" s="29"/>
      <c r="DT28" s="29"/>
      <c r="DU28" s="34"/>
      <c r="DV28" s="34"/>
    </row>
    <row r="29" spans="2:136" x14ac:dyDescent="0.2">
      <c r="B29" s="1" t="s">
        <v>88</v>
      </c>
      <c r="V29" s="34" t="s">
        <v>357</v>
      </c>
      <c r="W29" s="32" t="s">
        <v>357</v>
      </c>
      <c r="X29" s="32" t="s">
        <v>357</v>
      </c>
      <c r="Y29" s="48" t="s">
        <v>357</v>
      </c>
      <c r="Z29" s="48" t="s">
        <v>357</v>
      </c>
      <c r="AA29" s="48" t="s">
        <v>357</v>
      </c>
      <c r="AB29" s="48" t="s">
        <v>357</v>
      </c>
      <c r="AC29" s="48" t="s">
        <v>357</v>
      </c>
      <c r="AD29" s="48" t="s">
        <v>357</v>
      </c>
      <c r="AE29" s="32" t="s">
        <v>357</v>
      </c>
      <c r="AF29" s="34" t="s">
        <v>357</v>
      </c>
      <c r="AG29" s="53" t="s">
        <v>357</v>
      </c>
      <c r="AH29" s="53" t="s">
        <v>357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>
        <v>363</v>
      </c>
      <c r="CZ29" s="29">
        <v>336</v>
      </c>
      <c r="DA29" s="29">
        <v>318</v>
      </c>
      <c r="DB29" s="29"/>
      <c r="DC29" s="29"/>
      <c r="DD29" s="29"/>
      <c r="DE29" s="29"/>
      <c r="DF29" s="53" t="s">
        <v>357</v>
      </c>
      <c r="DG29" s="53" t="s">
        <v>357</v>
      </c>
      <c r="DH29" s="53" t="s">
        <v>357</v>
      </c>
      <c r="DI29" s="34" t="s">
        <v>357</v>
      </c>
      <c r="DJ29" s="65" t="s">
        <v>357</v>
      </c>
      <c r="DK29" s="65" t="s">
        <v>357</v>
      </c>
      <c r="DL29" s="34" t="s">
        <v>357</v>
      </c>
      <c r="DM29" s="34" t="s">
        <v>357</v>
      </c>
      <c r="DN29" s="34" t="s">
        <v>357</v>
      </c>
      <c r="DO29" s="34"/>
      <c r="DP29" s="34"/>
      <c r="DQ29" s="34"/>
      <c r="DR29" s="34"/>
      <c r="DS29" s="34"/>
      <c r="DT29" s="34"/>
      <c r="DU29" s="34"/>
      <c r="DV29" s="34"/>
    </row>
    <row r="30" spans="2:136" x14ac:dyDescent="0.2">
      <c r="B30" s="1" t="s">
        <v>95</v>
      </c>
      <c r="V30" s="34" t="s">
        <v>357</v>
      </c>
      <c r="W30" s="32" t="s">
        <v>357</v>
      </c>
      <c r="X30" s="32" t="s">
        <v>357</v>
      </c>
      <c r="Y30" s="48" t="s">
        <v>357</v>
      </c>
      <c r="Z30" s="48" t="s">
        <v>357</v>
      </c>
      <c r="AA30" s="48" t="s">
        <v>357</v>
      </c>
      <c r="AB30" s="48" t="s">
        <v>357</v>
      </c>
      <c r="AC30" s="48" t="s">
        <v>357</v>
      </c>
      <c r="AD30" s="48" t="s">
        <v>357</v>
      </c>
      <c r="AE30" s="32" t="s">
        <v>357</v>
      </c>
      <c r="AF30" s="34" t="s">
        <v>357</v>
      </c>
      <c r="AG30" s="53" t="s">
        <v>357</v>
      </c>
      <c r="AH30" s="53" t="s">
        <v>357</v>
      </c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>
        <v>1026</v>
      </c>
      <c r="CZ30" s="29">
        <v>1166</v>
      </c>
      <c r="DA30" s="29">
        <v>903</v>
      </c>
      <c r="DB30" s="29"/>
      <c r="DC30" s="29"/>
      <c r="DD30" s="29"/>
      <c r="DE30" s="29"/>
      <c r="DF30" s="53" t="s">
        <v>357</v>
      </c>
      <c r="DG30" s="53" t="s">
        <v>357</v>
      </c>
      <c r="DH30" s="53" t="s">
        <v>357</v>
      </c>
      <c r="DI30" s="34" t="s">
        <v>357</v>
      </c>
      <c r="DJ30" s="65" t="s">
        <v>357</v>
      </c>
      <c r="DK30" s="65" t="s">
        <v>357</v>
      </c>
      <c r="DL30" s="34" t="s">
        <v>357</v>
      </c>
      <c r="DM30" s="34" t="s">
        <v>357</v>
      </c>
      <c r="DN30" s="34" t="s">
        <v>357</v>
      </c>
      <c r="DO30" s="34"/>
      <c r="DP30" s="34"/>
      <c r="DQ30" s="34"/>
      <c r="DR30" s="34"/>
      <c r="DS30" s="34"/>
      <c r="DT30" s="34"/>
      <c r="DU30" s="34"/>
      <c r="DV30" s="34"/>
    </row>
    <row r="31" spans="2:136" x14ac:dyDescent="0.2">
      <c r="B31" s="1" t="s">
        <v>93</v>
      </c>
      <c r="V31" s="29"/>
      <c r="AF31" s="29"/>
      <c r="AG31" s="49"/>
      <c r="AH31" s="4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>
        <v>1211</v>
      </c>
      <c r="CZ31" s="29">
        <v>1267</v>
      </c>
      <c r="DA31" s="29">
        <v>1343</v>
      </c>
      <c r="DB31" s="29"/>
      <c r="DC31" s="29"/>
      <c r="DD31" s="29">
        <v>897</v>
      </c>
      <c r="DE31" s="29"/>
      <c r="DF31" s="53" t="s">
        <v>357</v>
      </c>
      <c r="DG31" s="53" t="s">
        <v>357</v>
      </c>
      <c r="DH31" s="53" t="s">
        <v>357</v>
      </c>
      <c r="DI31" s="34" t="s">
        <v>357</v>
      </c>
      <c r="DJ31" s="65" t="s">
        <v>357</v>
      </c>
      <c r="DK31" s="65" t="s">
        <v>357</v>
      </c>
      <c r="DL31" s="34" t="s">
        <v>357</v>
      </c>
      <c r="DM31" s="34" t="s">
        <v>357</v>
      </c>
      <c r="DN31" s="34" t="s">
        <v>357</v>
      </c>
      <c r="DO31" s="34"/>
      <c r="DP31" s="34"/>
      <c r="DQ31" s="34"/>
      <c r="DR31" s="34"/>
      <c r="DS31" s="34"/>
      <c r="DT31" s="34"/>
      <c r="DU31" s="34"/>
      <c r="DV31" s="34"/>
    </row>
    <row r="32" spans="2:136" x14ac:dyDescent="0.2">
      <c r="B32" s="1" t="s">
        <v>87</v>
      </c>
      <c r="C32" s="27">
        <v>49</v>
      </c>
      <c r="D32" s="27">
        <v>50</v>
      </c>
      <c r="E32" s="27">
        <v>53</v>
      </c>
      <c r="F32" s="27">
        <v>56</v>
      </c>
      <c r="G32" s="27">
        <v>55</v>
      </c>
      <c r="H32" s="27">
        <v>55</v>
      </c>
      <c r="I32" s="27">
        <v>53</v>
      </c>
      <c r="J32" s="27">
        <v>57</v>
      </c>
      <c r="K32" s="27">
        <v>46</v>
      </c>
      <c r="L32" s="27">
        <v>52</v>
      </c>
      <c r="M32" s="27">
        <v>50</v>
      </c>
      <c r="N32" s="27">
        <v>53</v>
      </c>
      <c r="V32" s="29"/>
      <c r="AF32" s="29"/>
      <c r="AG32" s="49"/>
      <c r="AH32" s="4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>
        <v>300</v>
      </c>
      <c r="CZ32" s="29">
        <v>303</v>
      </c>
      <c r="DA32" s="29">
        <v>255</v>
      </c>
      <c r="DB32" s="29">
        <v>212</v>
      </c>
      <c r="DC32" s="29">
        <f t="shared" ref="DC32:DC50" si="104">SUM(G32:J32)</f>
        <v>220</v>
      </c>
      <c r="DD32" s="29">
        <v>213</v>
      </c>
      <c r="DE32" s="29"/>
      <c r="DF32" s="53" t="s">
        <v>357</v>
      </c>
      <c r="DG32" s="53" t="s">
        <v>357</v>
      </c>
      <c r="DH32" s="53" t="s">
        <v>357</v>
      </c>
      <c r="DI32" s="34" t="s">
        <v>357</v>
      </c>
      <c r="DJ32" s="65" t="s">
        <v>357</v>
      </c>
      <c r="DK32" s="65" t="s">
        <v>357</v>
      </c>
      <c r="DL32" s="34" t="s">
        <v>357</v>
      </c>
      <c r="DM32" s="34" t="s">
        <v>357</v>
      </c>
      <c r="DN32" s="34" t="s">
        <v>357</v>
      </c>
      <c r="DO32" s="34"/>
      <c r="DP32" s="34"/>
      <c r="DQ32" s="34"/>
      <c r="DR32" s="34"/>
      <c r="DS32" s="34"/>
      <c r="DT32" s="34"/>
      <c r="DU32" s="34"/>
      <c r="DV32" s="34"/>
    </row>
    <row r="33" spans="2:127" x14ac:dyDescent="0.2">
      <c r="B33" s="22" t="s">
        <v>578</v>
      </c>
      <c r="V33" s="29"/>
      <c r="AF33" s="29"/>
      <c r="AG33" s="49"/>
      <c r="AH33" s="49"/>
      <c r="AI33" s="29">
        <v>358</v>
      </c>
      <c r="AJ33" s="29"/>
      <c r="AK33" s="29">
        <v>432</v>
      </c>
      <c r="AL33" s="29"/>
      <c r="AM33" s="29">
        <v>179</v>
      </c>
      <c r="AN33" s="29">
        <v>27</v>
      </c>
      <c r="AO33" s="29">
        <v>42</v>
      </c>
      <c r="AP33" s="29"/>
      <c r="AQ33" s="29"/>
      <c r="AR33" s="29"/>
      <c r="AS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49"/>
      <c r="DG33" s="49"/>
      <c r="DH33" s="49"/>
      <c r="DI33" s="29"/>
      <c r="DJ33" s="64"/>
      <c r="DK33" s="64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</row>
    <row r="34" spans="2:127" x14ac:dyDescent="0.2">
      <c r="B34" s="22" t="s">
        <v>457</v>
      </c>
      <c r="C34" s="27">
        <v>196</v>
      </c>
      <c r="D34" s="27">
        <v>258</v>
      </c>
      <c r="E34" s="27">
        <v>251</v>
      </c>
      <c r="F34" s="27">
        <v>277</v>
      </c>
      <c r="G34" s="27">
        <v>233</v>
      </c>
      <c r="H34" s="27">
        <v>280</v>
      </c>
      <c r="I34" s="27">
        <v>277</v>
      </c>
      <c r="J34" s="27">
        <v>307</v>
      </c>
      <c r="K34" s="27">
        <v>270</v>
      </c>
      <c r="L34" s="27">
        <v>297</v>
      </c>
      <c r="M34" s="27">
        <v>309</v>
      </c>
      <c r="N34" s="27">
        <v>328</v>
      </c>
      <c r="O34" s="27">
        <v>305</v>
      </c>
      <c r="P34" s="27">
        <v>335</v>
      </c>
      <c r="Q34" s="27">
        <v>334</v>
      </c>
      <c r="R34" s="27">
        <v>316</v>
      </c>
      <c r="S34" s="27">
        <v>302</v>
      </c>
      <c r="T34" s="27">
        <v>313</v>
      </c>
      <c r="U34" s="27">
        <v>329</v>
      </c>
      <c r="V34" s="29">
        <v>339</v>
      </c>
      <c r="W34" s="27">
        <v>314</v>
      </c>
      <c r="X34" s="29">
        <v>307</v>
      </c>
      <c r="Y34" s="49">
        <v>303</v>
      </c>
      <c r="Z34" s="49">
        <v>252</v>
      </c>
      <c r="AA34" s="49">
        <v>290</v>
      </c>
      <c r="AB34" s="49">
        <v>251</v>
      </c>
      <c r="AC34" s="49">
        <v>216</v>
      </c>
      <c r="AD34" s="49">
        <v>195</v>
      </c>
      <c r="AE34" s="29">
        <v>207</v>
      </c>
      <c r="AF34" s="29">
        <v>117</v>
      </c>
      <c r="AG34" s="49">
        <v>95</v>
      </c>
      <c r="AH34" s="49">
        <f>503-SUM(AE34:AG34)</f>
        <v>84</v>
      </c>
      <c r="AI34" s="29">
        <v>46</v>
      </c>
      <c r="AJ34" s="29">
        <v>56</v>
      </c>
      <c r="AK34" s="29">
        <v>71</v>
      </c>
      <c r="AL34" s="29">
        <v>58</v>
      </c>
      <c r="AM34" s="29"/>
      <c r="AN34" s="29"/>
      <c r="AO34" s="29"/>
      <c r="AP34" s="29"/>
      <c r="AQ34" s="29"/>
      <c r="AR34" s="29"/>
      <c r="AS34" s="29"/>
      <c r="CL34" s="29"/>
      <c r="CM34" s="29"/>
      <c r="CN34" s="29"/>
      <c r="CP34" s="29" t="s">
        <v>323</v>
      </c>
      <c r="CQ34" s="29"/>
      <c r="CR34" s="29"/>
      <c r="CS34" s="29"/>
      <c r="CT34" s="29"/>
      <c r="CU34" s="29"/>
      <c r="CV34" s="29"/>
      <c r="CW34" s="29"/>
      <c r="CX34" s="29"/>
      <c r="CY34" s="29">
        <v>586</v>
      </c>
      <c r="CZ34" s="29">
        <v>757</v>
      </c>
      <c r="DA34" s="29">
        <v>930</v>
      </c>
      <c r="DB34" s="29">
        <f>SUM(C34:F34)</f>
        <v>982</v>
      </c>
      <c r="DC34" s="29">
        <f>SUM(G34:J34)</f>
        <v>1097</v>
      </c>
      <c r="DD34" s="29">
        <f>SUM(K34:N34)</f>
        <v>1204</v>
      </c>
      <c r="DE34" s="29">
        <f>SUM(O34:R34)</f>
        <v>1290</v>
      </c>
      <c r="DF34" s="49">
        <f>SUM(S34:V34)</f>
        <v>1283</v>
      </c>
      <c r="DG34" s="49">
        <f>SUM(W34:Z34)</f>
        <v>1176</v>
      </c>
      <c r="DH34" s="49">
        <f>SUM(AA34:AD34)</f>
        <v>952</v>
      </c>
      <c r="DI34" s="29">
        <f>SUM(AE34:AH34)</f>
        <v>503</v>
      </c>
      <c r="DJ34" s="64">
        <f>DI34*0.5</f>
        <v>251.5</v>
      </c>
      <c r="DK34" s="64">
        <f>DJ34*0.9</f>
        <v>226.35</v>
      </c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</row>
    <row r="35" spans="2:127" x14ac:dyDescent="0.2">
      <c r="B35" s="22" t="s">
        <v>207</v>
      </c>
      <c r="N35" s="27">
        <v>15</v>
      </c>
      <c r="O35" s="27">
        <v>25</v>
      </c>
      <c r="P35" s="27">
        <v>26</v>
      </c>
      <c r="Q35" s="27">
        <v>25</v>
      </c>
      <c r="R35" s="27">
        <v>25</v>
      </c>
      <c r="S35" s="27">
        <v>24</v>
      </c>
      <c r="T35" s="27">
        <v>29</v>
      </c>
      <c r="U35" s="27">
        <v>28</v>
      </c>
      <c r="V35" s="29">
        <v>28</v>
      </c>
      <c r="W35" s="27">
        <v>29</v>
      </c>
      <c r="X35" s="32">
        <v>29</v>
      </c>
      <c r="Y35" s="48">
        <v>29</v>
      </c>
      <c r="Z35" s="48" t="s">
        <v>357</v>
      </c>
      <c r="AA35" s="48" t="s">
        <v>357</v>
      </c>
      <c r="AB35" s="48" t="s">
        <v>357</v>
      </c>
      <c r="AC35" s="48" t="s">
        <v>357</v>
      </c>
      <c r="AD35" s="48" t="s">
        <v>357</v>
      </c>
      <c r="AE35" s="32" t="s">
        <v>357</v>
      </c>
      <c r="AF35" s="34" t="s">
        <v>357</v>
      </c>
      <c r="AG35" s="53" t="s">
        <v>357</v>
      </c>
      <c r="AH35" s="53" t="s">
        <v>357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>
        <f>SUM(K35:N35)</f>
        <v>15</v>
      </c>
      <c r="DE35" s="29">
        <f>SUM(O35:R35)</f>
        <v>101</v>
      </c>
      <c r="DF35" s="49">
        <f>SUM(S35:V35)</f>
        <v>109</v>
      </c>
      <c r="DG35" s="49">
        <f>SUM(W35:Z35)</f>
        <v>87</v>
      </c>
      <c r="DH35" s="53" t="s">
        <v>357</v>
      </c>
      <c r="DI35" s="34" t="s">
        <v>357</v>
      </c>
      <c r="DJ35" s="65" t="s">
        <v>357</v>
      </c>
      <c r="DK35" s="65" t="s">
        <v>357</v>
      </c>
      <c r="DL35" s="34" t="s">
        <v>357</v>
      </c>
      <c r="DM35" s="34" t="s">
        <v>357</v>
      </c>
      <c r="DN35" s="34" t="s">
        <v>357</v>
      </c>
      <c r="DO35" s="34"/>
      <c r="DP35" s="34"/>
      <c r="DQ35" s="34"/>
      <c r="DR35" s="34"/>
      <c r="DS35" s="34"/>
      <c r="DT35" s="34"/>
      <c r="DU35" s="34"/>
      <c r="DV35" s="34"/>
    </row>
    <row r="36" spans="2:127" x14ac:dyDescent="0.2">
      <c r="B36" s="1" t="s">
        <v>235</v>
      </c>
      <c r="C36" s="27">
        <v>235</v>
      </c>
      <c r="D36" s="27">
        <v>250</v>
      </c>
      <c r="E36" s="27">
        <v>230</v>
      </c>
      <c r="F36" s="27">
        <v>277</v>
      </c>
      <c r="G36" s="27">
        <v>237</v>
      </c>
      <c r="H36" s="27">
        <v>253</v>
      </c>
      <c r="I36" s="27">
        <v>246</v>
      </c>
      <c r="J36" s="27">
        <v>271</v>
      </c>
      <c r="K36" s="27">
        <v>254</v>
      </c>
      <c r="L36" s="27">
        <v>267</v>
      </c>
      <c r="M36" s="27">
        <v>281</v>
      </c>
      <c r="N36" s="27">
        <v>280</v>
      </c>
      <c r="O36" s="27">
        <v>290</v>
      </c>
      <c r="P36" s="27">
        <v>287</v>
      </c>
      <c r="Q36" s="27">
        <v>295</v>
      </c>
      <c r="R36" s="27">
        <v>285</v>
      </c>
      <c r="S36" s="32" t="s">
        <v>357</v>
      </c>
      <c r="T36" s="32" t="s">
        <v>357</v>
      </c>
      <c r="U36" s="32" t="s">
        <v>357</v>
      </c>
      <c r="V36" s="29" t="str">
        <f>U36</f>
        <v>-</v>
      </c>
      <c r="W36" s="32" t="s">
        <v>357</v>
      </c>
      <c r="X36" s="32" t="s">
        <v>357</v>
      </c>
      <c r="Y36" s="48" t="s">
        <v>357</v>
      </c>
      <c r="Z36" s="48" t="s">
        <v>357</v>
      </c>
      <c r="AA36" s="48" t="s">
        <v>357</v>
      </c>
      <c r="AB36" s="48" t="s">
        <v>357</v>
      </c>
      <c r="AC36" s="48" t="s">
        <v>357</v>
      </c>
      <c r="AD36" s="48" t="s">
        <v>357</v>
      </c>
      <c r="AE36" s="48" t="s">
        <v>357</v>
      </c>
      <c r="AF36" s="34" t="s">
        <v>357</v>
      </c>
      <c r="AG36" s="53" t="s">
        <v>357</v>
      </c>
      <c r="AH36" s="53" t="s">
        <v>357</v>
      </c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>
        <f>SUM(C36:F36)</f>
        <v>992</v>
      </c>
      <c r="DC36" s="29">
        <f>SUM(G36:J36)</f>
        <v>1007</v>
      </c>
      <c r="DD36" s="29">
        <f>SUM(K36:N36)</f>
        <v>1082</v>
      </c>
      <c r="DE36" s="29">
        <f>SUM(O36:R36)</f>
        <v>1157</v>
      </c>
      <c r="DF36" s="53" t="s">
        <v>357</v>
      </c>
      <c r="DG36" s="53" t="s">
        <v>357</v>
      </c>
      <c r="DH36" s="53" t="s">
        <v>357</v>
      </c>
      <c r="DI36" s="34" t="s">
        <v>357</v>
      </c>
      <c r="DJ36" s="65" t="s">
        <v>357</v>
      </c>
      <c r="DK36" s="65" t="s">
        <v>357</v>
      </c>
      <c r="DL36" s="34" t="s">
        <v>357</v>
      </c>
      <c r="DM36" s="34" t="s">
        <v>357</v>
      </c>
      <c r="DN36" s="34" t="s">
        <v>357</v>
      </c>
      <c r="DO36" s="34"/>
      <c r="DP36" s="34"/>
      <c r="DQ36" s="34"/>
      <c r="DR36" s="34"/>
      <c r="DS36" s="34"/>
      <c r="DT36" s="34"/>
      <c r="DU36" s="34"/>
      <c r="DV36" s="34"/>
    </row>
    <row r="37" spans="2:127" x14ac:dyDescent="0.2">
      <c r="B37" s="22" t="s">
        <v>456</v>
      </c>
      <c r="V37" s="29">
        <v>4</v>
      </c>
      <c r="W37" s="27">
        <v>10</v>
      </c>
      <c r="X37" s="27">
        <v>28</v>
      </c>
      <c r="Y37" s="47">
        <v>47</v>
      </c>
      <c r="Z37" s="47">
        <v>73</v>
      </c>
      <c r="AA37" s="47">
        <v>81</v>
      </c>
      <c r="AB37" s="47">
        <v>112</v>
      </c>
      <c r="AC37" s="47">
        <v>127</v>
      </c>
      <c r="AD37" s="47">
        <v>153</v>
      </c>
      <c r="AE37" s="27">
        <v>161</v>
      </c>
      <c r="AF37" s="29">
        <v>172</v>
      </c>
      <c r="AG37" s="49">
        <v>178</v>
      </c>
      <c r="AH37" s="49">
        <f>709-AG37-AF37-AE37</f>
        <v>198</v>
      </c>
      <c r="AI37" s="29">
        <v>202</v>
      </c>
      <c r="AJ37" s="29">
        <v>240</v>
      </c>
      <c r="AK37" s="29">
        <v>211</v>
      </c>
      <c r="AL37" s="29">
        <v>224</v>
      </c>
      <c r="AM37" s="29"/>
      <c r="AN37" s="29"/>
      <c r="AO37" s="29"/>
      <c r="AP37" s="29"/>
      <c r="AQ37" s="29"/>
      <c r="AR37" s="29"/>
      <c r="AS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49">
        <f>SUM(S37:V37)</f>
        <v>4</v>
      </c>
      <c r="DG37" s="49">
        <f>SUM(W37:Z37)</f>
        <v>158</v>
      </c>
      <c r="DH37" s="49">
        <f>SUM(AA37:AD37)</f>
        <v>473</v>
      </c>
      <c r="DI37" s="29">
        <f>SUM(AE37:AH37)</f>
        <v>709</v>
      </c>
      <c r="DJ37" s="64">
        <f>+DI37*1.3</f>
        <v>921.7</v>
      </c>
      <c r="DK37" s="64">
        <f>+DJ37*1.15</f>
        <v>1059.9549999999999</v>
      </c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</row>
    <row r="38" spans="2:127" x14ac:dyDescent="0.2">
      <c r="B38" s="22" t="s">
        <v>450</v>
      </c>
      <c r="C38" s="29">
        <v>814</v>
      </c>
      <c r="D38" s="29">
        <v>968</v>
      </c>
      <c r="E38" s="29">
        <v>980</v>
      </c>
      <c r="F38" s="29">
        <v>1061</v>
      </c>
      <c r="G38" s="29">
        <v>986</v>
      </c>
      <c r="H38" s="29">
        <v>1145</v>
      </c>
      <c r="I38" s="29">
        <v>630</v>
      </c>
      <c r="J38" s="29">
        <v>496</v>
      </c>
      <c r="K38" s="29">
        <v>938</v>
      </c>
      <c r="L38" s="29">
        <v>1189</v>
      </c>
      <c r="M38" s="29">
        <v>1254</v>
      </c>
      <c r="N38" s="29">
        <v>1374</v>
      </c>
      <c r="O38" s="29">
        <v>1308</v>
      </c>
      <c r="P38" s="29">
        <v>1387</v>
      </c>
      <c r="Q38" s="29">
        <v>1439</v>
      </c>
      <c r="R38" s="29">
        <v>1469</v>
      </c>
      <c r="S38" s="29">
        <v>1435</v>
      </c>
      <c r="T38" s="29">
        <v>1539</v>
      </c>
      <c r="U38" s="29">
        <v>1554</v>
      </c>
      <c r="V38" s="29">
        <v>1618</v>
      </c>
      <c r="W38" s="29">
        <v>1666</v>
      </c>
      <c r="X38" s="29">
        <v>1627</v>
      </c>
      <c r="Y38" s="49">
        <v>1658</v>
      </c>
      <c r="Z38" s="49">
        <v>1715</v>
      </c>
      <c r="AA38" s="49">
        <v>1762</v>
      </c>
      <c r="AB38" s="49">
        <v>1865</v>
      </c>
      <c r="AC38" s="49">
        <v>1788</v>
      </c>
      <c r="AD38" s="49">
        <v>1672</v>
      </c>
      <c r="AE38" s="29">
        <v>1693</v>
      </c>
      <c r="AF38" s="29">
        <v>741</v>
      </c>
      <c r="AG38" s="49">
        <v>64</v>
      </c>
      <c r="AH38" s="49">
        <f>2547-AG38-AF38-AE38</f>
        <v>49</v>
      </c>
      <c r="AI38" s="29">
        <v>91</v>
      </c>
      <c r="AJ38" s="29">
        <v>44</v>
      </c>
      <c r="AK38" s="29">
        <v>42</v>
      </c>
      <c r="AL38" s="29">
        <v>81</v>
      </c>
      <c r="AM38" s="29"/>
      <c r="AN38" s="29"/>
      <c r="AO38" s="29"/>
      <c r="AP38" s="29"/>
      <c r="AQ38" s="29"/>
      <c r="AR38" s="29"/>
      <c r="AS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>
        <v>1890</v>
      </c>
      <c r="CZ38" s="29">
        <v>2467</v>
      </c>
      <c r="DA38" s="29">
        <v>3327</v>
      </c>
      <c r="DB38" s="29">
        <f>SUM(C38:F38)</f>
        <v>3823</v>
      </c>
      <c r="DC38" s="29">
        <f>SUM(G38:J38)</f>
        <v>3257</v>
      </c>
      <c r="DD38" s="29">
        <f>SUM(K38:N38)</f>
        <v>4755</v>
      </c>
      <c r="DE38" s="29">
        <f>SUM(O38:R38)</f>
        <v>5603</v>
      </c>
      <c r="DF38" s="49">
        <f>SUM(S38:V38)</f>
        <v>6146</v>
      </c>
      <c r="DG38" s="49">
        <f>SUM(W38:Z38)</f>
        <v>6666</v>
      </c>
      <c r="DH38" s="49">
        <f>SUM(AA38:AD38)</f>
        <v>7087</v>
      </c>
      <c r="DI38" s="29">
        <f>SUM(AE38:AH38)</f>
        <v>2547</v>
      </c>
      <c r="DJ38" s="64">
        <f>DI38*0.2</f>
        <v>509.40000000000003</v>
      </c>
      <c r="DK38" s="64">
        <f>+DJ38*0.5</f>
        <v>254.70000000000002</v>
      </c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</row>
    <row r="39" spans="2:127" x14ac:dyDescent="0.2">
      <c r="B39" s="22" t="s">
        <v>571</v>
      </c>
      <c r="V39" s="34"/>
      <c r="W39" s="32"/>
      <c r="X39" s="32"/>
      <c r="Y39" s="48"/>
      <c r="Z39" s="48"/>
      <c r="AA39" s="48"/>
      <c r="AB39" s="48"/>
      <c r="AC39" s="48"/>
      <c r="AD39" s="48"/>
      <c r="AE39" s="48"/>
      <c r="AF39" s="34"/>
      <c r="AG39" s="53">
        <f>55+20</f>
        <v>75</v>
      </c>
      <c r="AH39" s="53">
        <f>149-AG39</f>
        <v>74</v>
      </c>
      <c r="AI39" s="34">
        <f>52+85</f>
        <v>137</v>
      </c>
      <c r="AJ39" s="34">
        <f>66+104</f>
        <v>170</v>
      </c>
      <c r="AK39" s="34">
        <f>87+106</f>
        <v>193</v>
      </c>
      <c r="AL39" s="34">
        <f>93+105</f>
        <v>198</v>
      </c>
      <c r="AM39" s="34"/>
      <c r="AN39" s="34"/>
      <c r="AO39" s="34"/>
      <c r="AP39" s="34"/>
      <c r="AQ39" s="34"/>
      <c r="AR39" s="34"/>
      <c r="AS39" s="34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53"/>
      <c r="DG39" s="53"/>
      <c r="DH39" s="53"/>
      <c r="DI39" s="34">
        <v>50</v>
      </c>
      <c r="DJ39" s="65">
        <v>800</v>
      </c>
      <c r="DK39" s="65">
        <v>1000</v>
      </c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</row>
    <row r="40" spans="2:127" x14ac:dyDescent="0.2">
      <c r="B40" s="22" t="s">
        <v>570</v>
      </c>
      <c r="V40" s="34"/>
      <c r="W40" s="32"/>
      <c r="X40" s="32"/>
      <c r="Y40" s="48"/>
      <c r="Z40" s="48"/>
      <c r="AA40" s="48"/>
      <c r="AB40" s="48"/>
      <c r="AC40" s="48"/>
      <c r="AD40" s="48"/>
      <c r="AE40" s="48"/>
      <c r="AF40" s="34"/>
      <c r="AG40" s="53"/>
      <c r="AH40" s="53"/>
      <c r="AI40" s="34">
        <v>3</v>
      </c>
      <c r="AJ40" s="34">
        <v>5</v>
      </c>
      <c r="AK40" s="34">
        <v>7</v>
      </c>
      <c r="AL40" s="34">
        <v>8</v>
      </c>
      <c r="AM40" s="34"/>
      <c r="AN40" s="34"/>
      <c r="AO40" s="34"/>
      <c r="AP40" s="34"/>
      <c r="AQ40" s="34"/>
      <c r="AR40" s="34"/>
      <c r="AS40" s="34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53"/>
      <c r="DG40" s="49"/>
      <c r="DH40" s="53"/>
      <c r="DI40" s="34">
        <v>50</v>
      </c>
      <c r="DJ40" s="64">
        <v>100</v>
      </c>
      <c r="DK40" s="64">
        <v>150</v>
      </c>
      <c r="DL40" s="29"/>
      <c r="DM40" s="29"/>
      <c r="DN40" s="29"/>
      <c r="DO40" s="84" t="s">
        <v>642</v>
      </c>
      <c r="DP40" s="84" t="s">
        <v>642</v>
      </c>
      <c r="DQ40" s="84" t="s">
        <v>642</v>
      </c>
      <c r="DR40" s="34"/>
      <c r="DS40" s="34"/>
      <c r="DT40" s="34"/>
      <c r="DU40" s="34"/>
      <c r="DV40" s="34"/>
    </row>
    <row r="41" spans="2:127" x14ac:dyDescent="0.2">
      <c r="B41" s="22" t="s">
        <v>444</v>
      </c>
      <c r="C41" s="27">
        <v>87</v>
      </c>
      <c r="D41" s="27">
        <v>98</v>
      </c>
      <c r="E41" s="27">
        <v>107</v>
      </c>
      <c r="F41" s="27">
        <v>121</v>
      </c>
      <c r="G41" s="27">
        <v>138</v>
      </c>
      <c r="H41" s="27">
        <v>172</v>
      </c>
      <c r="I41" s="27">
        <v>175</v>
      </c>
      <c r="J41" s="27">
        <v>167</v>
      </c>
      <c r="K41" s="27">
        <v>160</v>
      </c>
      <c r="L41" s="27">
        <v>162</v>
      </c>
      <c r="M41" s="27">
        <v>185</v>
      </c>
      <c r="N41" s="27">
        <v>185</v>
      </c>
      <c r="O41" s="27">
        <v>187</v>
      </c>
      <c r="P41" s="27">
        <v>196</v>
      </c>
      <c r="Q41" s="27">
        <v>184</v>
      </c>
      <c r="R41" s="27">
        <v>182</v>
      </c>
      <c r="S41" s="27">
        <v>164</v>
      </c>
      <c r="T41" s="27">
        <v>173</v>
      </c>
      <c r="U41" s="27">
        <v>179</v>
      </c>
      <c r="V41" s="29">
        <v>167</v>
      </c>
      <c r="W41" s="27">
        <v>166</v>
      </c>
      <c r="X41" s="27">
        <v>172</v>
      </c>
      <c r="Y41" s="47">
        <v>159</v>
      </c>
      <c r="Z41" s="47">
        <v>165</v>
      </c>
      <c r="AA41" s="47">
        <v>165</v>
      </c>
      <c r="AB41" s="47">
        <v>173</v>
      </c>
      <c r="AC41" s="47">
        <v>172</v>
      </c>
      <c r="AD41" s="47">
        <v>181</v>
      </c>
      <c r="AE41" s="27">
        <v>179</v>
      </c>
      <c r="AF41" s="29">
        <v>179</v>
      </c>
      <c r="AG41" s="49">
        <v>173</v>
      </c>
      <c r="AH41" s="49">
        <f>702-AG41-AF41-AE41</f>
        <v>171</v>
      </c>
      <c r="AI41" s="29">
        <v>162</v>
      </c>
      <c r="AJ41" s="29">
        <v>171</v>
      </c>
      <c r="AK41" s="29">
        <v>183</v>
      </c>
      <c r="AL41" s="29">
        <v>180</v>
      </c>
      <c r="AM41" s="29">
        <v>169</v>
      </c>
      <c r="AN41" s="29">
        <v>186</v>
      </c>
      <c r="AO41" s="29">
        <v>187</v>
      </c>
      <c r="AP41" s="29">
        <v>181</v>
      </c>
      <c r="AQ41" s="29">
        <v>165</v>
      </c>
      <c r="AR41" s="29">
        <v>169</v>
      </c>
      <c r="AS41" s="29">
        <v>167</v>
      </c>
      <c r="AT41" s="27">
        <v>0</v>
      </c>
      <c r="AU41" s="27">
        <v>0</v>
      </c>
      <c r="AV41" s="27">
        <v>0</v>
      </c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>
        <v>260</v>
      </c>
      <c r="DB41" s="29">
        <f t="shared" ref="DB41:DB50" si="105">SUM(C41:F41)</f>
        <v>413</v>
      </c>
      <c r="DC41" s="29">
        <f>SUM(G41:J41)</f>
        <v>652</v>
      </c>
      <c r="DD41" s="29">
        <f>SUM(K41:N41)</f>
        <v>692</v>
      </c>
      <c r="DE41" s="29">
        <f>SUM(O41:R41)</f>
        <v>749</v>
      </c>
      <c r="DF41" s="49">
        <f>SUM(S41:V41)</f>
        <v>683</v>
      </c>
      <c r="DG41" s="49">
        <f>SUM(W41:Z41)</f>
        <v>662</v>
      </c>
      <c r="DH41" s="49">
        <f>SUM(AA41:AD41)</f>
        <v>691</v>
      </c>
      <c r="DI41" s="29">
        <f>SUM(AE41:AH41)</f>
        <v>702</v>
      </c>
      <c r="DJ41" s="64">
        <f>DI41*1.05</f>
        <v>737.1</v>
      </c>
      <c r="DK41" s="64">
        <f>DJ41*1.05</f>
        <v>773.95500000000004</v>
      </c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</row>
    <row r="42" spans="2:127" x14ac:dyDescent="0.2">
      <c r="B42" s="22" t="s">
        <v>451</v>
      </c>
      <c r="C42" s="27">
        <v>188</v>
      </c>
      <c r="D42" s="27">
        <v>240</v>
      </c>
      <c r="E42" s="27">
        <v>260</v>
      </c>
      <c r="F42" s="27">
        <v>224</v>
      </c>
      <c r="G42" s="27">
        <v>283</v>
      </c>
      <c r="H42" s="27">
        <v>324</v>
      </c>
      <c r="I42" s="27">
        <v>313</v>
      </c>
      <c r="J42" s="27">
        <v>362</v>
      </c>
      <c r="K42" s="27">
        <v>366</v>
      </c>
      <c r="L42" s="27">
        <v>412</v>
      </c>
      <c r="M42" s="27">
        <v>420</v>
      </c>
      <c r="N42" s="27">
        <v>462</v>
      </c>
      <c r="O42" s="27">
        <v>454</v>
      </c>
      <c r="P42" s="27">
        <v>529</v>
      </c>
      <c r="Q42" s="27">
        <v>564</v>
      </c>
      <c r="R42" s="27">
        <v>606</v>
      </c>
      <c r="S42" s="27">
        <v>589</v>
      </c>
      <c r="T42" s="27">
        <v>643</v>
      </c>
      <c r="U42" s="27">
        <v>653</v>
      </c>
      <c r="V42" s="29">
        <v>707</v>
      </c>
      <c r="W42" s="27">
        <v>617</v>
      </c>
      <c r="X42" s="27">
        <v>633</v>
      </c>
      <c r="Y42" s="47">
        <v>608</v>
      </c>
      <c r="Z42" s="47">
        <v>707</v>
      </c>
      <c r="AA42" s="47">
        <v>624</v>
      </c>
      <c r="AB42" s="47">
        <v>706</v>
      </c>
      <c r="AC42" s="47">
        <v>691</v>
      </c>
      <c r="AD42" s="47">
        <v>737</v>
      </c>
      <c r="AE42" s="27">
        <v>621</v>
      </c>
      <c r="AF42" s="29">
        <v>711</v>
      </c>
      <c r="AG42" s="49">
        <v>676</v>
      </c>
      <c r="AH42" s="49">
        <f>2827-AG42-AF42-AE42</f>
        <v>819</v>
      </c>
      <c r="AI42" s="29">
        <v>522</v>
      </c>
      <c r="AJ42" s="29">
        <v>563</v>
      </c>
      <c r="AK42" s="29">
        <v>569</v>
      </c>
      <c r="AL42" s="29">
        <v>635</v>
      </c>
      <c r="AM42" s="29">
        <v>540</v>
      </c>
      <c r="AN42" s="29">
        <v>555</v>
      </c>
      <c r="AO42" s="29">
        <v>449</v>
      </c>
      <c r="AP42" s="29">
        <v>476</v>
      </c>
      <c r="AQ42" s="29">
        <v>554</v>
      </c>
      <c r="AR42" s="29">
        <v>107</v>
      </c>
      <c r="AS42" s="29">
        <v>46</v>
      </c>
      <c r="AT42" s="27">
        <v>39</v>
      </c>
      <c r="AU42" s="27">
        <v>33</v>
      </c>
      <c r="AV42" s="27">
        <v>35</v>
      </c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>
        <v>284</v>
      </c>
      <c r="DA42" s="29">
        <v>593</v>
      </c>
      <c r="DB42" s="29">
        <f t="shared" si="105"/>
        <v>912</v>
      </c>
      <c r="DC42" s="29">
        <f>SUM(G42:J42)</f>
        <v>1282</v>
      </c>
      <c r="DD42" s="29">
        <f>SUM(K42:N42)</f>
        <v>1660</v>
      </c>
      <c r="DE42" s="29">
        <f>SUM(O42:R42)</f>
        <v>2153</v>
      </c>
      <c r="DF42" s="49">
        <f>SUM(S42:V42)</f>
        <v>2592</v>
      </c>
      <c r="DG42" s="49">
        <f>SUM(W42:Z42)</f>
        <v>2565</v>
      </c>
      <c r="DH42" s="49">
        <f>SUM(AA42:AD42)</f>
        <v>2758</v>
      </c>
      <c r="DI42" s="29">
        <f>SUM(AE42:AH42)</f>
        <v>2827</v>
      </c>
      <c r="DJ42" s="64">
        <f>DI42*1.05</f>
        <v>2968.35</v>
      </c>
      <c r="DK42" s="64">
        <f>DJ42*1</f>
        <v>2968.35</v>
      </c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</row>
    <row r="43" spans="2:127" x14ac:dyDescent="0.2">
      <c r="B43" s="22" t="s">
        <v>452</v>
      </c>
      <c r="C43" s="27">
        <v>173</v>
      </c>
      <c r="D43" s="27">
        <v>167</v>
      </c>
      <c r="E43" s="27">
        <v>170</v>
      </c>
      <c r="F43" s="27">
        <v>170</v>
      </c>
      <c r="G43" s="27">
        <v>175</v>
      </c>
      <c r="H43" s="27">
        <v>193</v>
      </c>
      <c r="I43" s="27">
        <v>201</v>
      </c>
      <c r="J43" s="27">
        <v>222</v>
      </c>
      <c r="K43" s="27">
        <v>226</v>
      </c>
      <c r="L43" s="27">
        <v>233</v>
      </c>
      <c r="M43" s="27">
        <v>237</v>
      </c>
      <c r="N43" s="27">
        <v>260</v>
      </c>
      <c r="O43" s="27">
        <v>273</v>
      </c>
      <c r="P43" s="27">
        <v>282</v>
      </c>
      <c r="Q43" s="27">
        <v>294</v>
      </c>
      <c r="R43" s="27">
        <v>300</v>
      </c>
      <c r="S43" s="27">
        <v>292</v>
      </c>
      <c r="T43" s="27">
        <v>312</v>
      </c>
      <c r="U43" s="27">
        <v>315</v>
      </c>
      <c r="V43" s="29">
        <v>358</v>
      </c>
      <c r="W43" s="27">
        <v>335</v>
      </c>
      <c r="X43" s="27">
        <v>331</v>
      </c>
      <c r="Y43" s="47">
        <v>342</v>
      </c>
      <c r="Z43" s="47">
        <v>360</v>
      </c>
      <c r="AA43" s="47">
        <v>343</v>
      </c>
      <c r="AB43" s="47">
        <v>371</v>
      </c>
      <c r="AC43" s="47">
        <v>359</v>
      </c>
      <c r="AD43" s="49">
        <v>412</v>
      </c>
      <c r="AE43" s="29">
        <v>386</v>
      </c>
      <c r="AF43" s="29">
        <v>388</v>
      </c>
      <c r="AG43" s="49">
        <v>370</v>
      </c>
      <c r="AH43" s="49">
        <f>1527-AG43-AF43-AE43</f>
        <v>383</v>
      </c>
      <c r="AI43" s="29">
        <v>387</v>
      </c>
      <c r="AJ43" s="29">
        <v>411</v>
      </c>
      <c r="AK43" s="29">
        <v>389</v>
      </c>
      <c r="AL43" s="29">
        <v>427</v>
      </c>
      <c r="AM43" s="29">
        <v>319</v>
      </c>
      <c r="AN43" s="29">
        <v>361</v>
      </c>
      <c r="AO43" s="29">
        <v>357</v>
      </c>
      <c r="AP43" s="29">
        <v>407</v>
      </c>
      <c r="AQ43" s="29">
        <v>290</v>
      </c>
      <c r="AR43" s="29">
        <v>317</v>
      </c>
      <c r="AS43" s="29">
        <v>333</v>
      </c>
      <c r="AT43" s="27">
        <v>312</v>
      </c>
      <c r="AU43" s="27">
        <v>273</v>
      </c>
      <c r="AV43" s="27">
        <v>271</v>
      </c>
      <c r="AW43" s="27">
        <v>275</v>
      </c>
      <c r="AX43" s="27">
        <v>246</v>
      </c>
      <c r="AY43" s="27">
        <v>184</v>
      </c>
      <c r="AZ43" s="27">
        <v>188</v>
      </c>
      <c r="BA43" s="27">
        <v>183</v>
      </c>
      <c r="BB43" s="27">
        <v>174</v>
      </c>
      <c r="BC43" s="27">
        <v>84</v>
      </c>
      <c r="BD43" s="27">
        <v>73</v>
      </c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>
        <v>455</v>
      </c>
      <c r="CZ43" s="29">
        <v>544</v>
      </c>
      <c r="DA43" s="29">
        <v>621</v>
      </c>
      <c r="DB43" s="29">
        <f t="shared" si="105"/>
        <v>680</v>
      </c>
      <c r="DC43" s="29">
        <f>SUM(G43:J43)</f>
        <v>791</v>
      </c>
      <c r="DD43" s="29">
        <f>SUM(K43:N43)</f>
        <v>956</v>
      </c>
      <c r="DE43" s="29">
        <f>SUM(O43:R43)</f>
        <v>1149</v>
      </c>
      <c r="DF43" s="49">
        <f>SUM(S43:V43)</f>
        <v>1277</v>
      </c>
      <c r="DG43" s="49">
        <f>SUM(W43:Z43)</f>
        <v>1368</v>
      </c>
      <c r="DH43" s="49">
        <f>SUM(AA43:AD43)</f>
        <v>1485</v>
      </c>
      <c r="DI43" s="29">
        <f>SUM(AE43:AH43)</f>
        <v>1527</v>
      </c>
      <c r="DJ43" s="64">
        <f>DI43*0.8</f>
        <v>1221.6000000000001</v>
      </c>
      <c r="DK43" s="64">
        <f t="shared" ref="DK43" si="106">DJ43*0.3</f>
        <v>366.48</v>
      </c>
      <c r="DL43" s="29">
        <v>1252</v>
      </c>
      <c r="DM43" s="29">
        <v>1065</v>
      </c>
      <c r="DN43" s="29">
        <v>729</v>
      </c>
      <c r="DO43" s="29"/>
      <c r="DP43" s="29"/>
      <c r="DQ43" s="29"/>
      <c r="DR43" s="29"/>
      <c r="DS43" s="29"/>
      <c r="DT43" s="29"/>
      <c r="DU43" s="29"/>
      <c r="DV43" s="29"/>
    </row>
    <row r="44" spans="2:127" x14ac:dyDescent="0.2">
      <c r="B44" s="22" t="s">
        <v>453</v>
      </c>
      <c r="C44" s="27">
        <v>149</v>
      </c>
      <c r="D44" s="27">
        <v>183</v>
      </c>
      <c r="E44" s="27">
        <v>176</v>
      </c>
      <c r="F44" s="27">
        <v>188</v>
      </c>
      <c r="G44" s="27">
        <v>207</v>
      </c>
      <c r="H44" s="27">
        <v>236</v>
      </c>
      <c r="I44" s="27">
        <v>233</v>
      </c>
      <c r="J44" s="27">
        <v>255</v>
      </c>
      <c r="K44" s="27">
        <v>263</v>
      </c>
      <c r="L44" s="27">
        <v>254</v>
      </c>
      <c r="M44" s="27">
        <v>273</v>
      </c>
      <c r="N44" s="27">
        <v>334</v>
      </c>
      <c r="O44" s="27">
        <v>297</v>
      </c>
      <c r="P44" s="27">
        <v>324</v>
      </c>
      <c r="Q44" s="27">
        <v>342</v>
      </c>
      <c r="R44" s="27">
        <v>329</v>
      </c>
      <c r="S44" s="27">
        <v>322</v>
      </c>
      <c r="T44" s="27">
        <v>331</v>
      </c>
      <c r="U44" s="32">
        <v>360</v>
      </c>
      <c r="V44" s="29">
        <v>388</v>
      </c>
      <c r="W44" s="27">
        <v>373</v>
      </c>
      <c r="X44" s="27">
        <v>357</v>
      </c>
      <c r="Y44" s="47">
        <v>375</v>
      </c>
      <c r="Z44" s="47">
        <v>374</v>
      </c>
      <c r="AA44" s="47">
        <v>366</v>
      </c>
      <c r="AB44" s="47">
        <v>396</v>
      </c>
      <c r="AC44" s="47">
        <v>391</v>
      </c>
      <c r="AD44" s="47">
        <v>416</v>
      </c>
      <c r="AE44" s="27">
        <v>358</v>
      </c>
      <c r="AF44" s="29">
        <v>406</v>
      </c>
      <c r="AG44" s="49">
        <v>363</v>
      </c>
      <c r="AH44" s="49">
        <f>1521-AG44-AF44-AE44</f>
        <v>394</v>
      </c>
      <c r="AI44" s="29">
        <v>361</v>
      </c>
      <c r="AJ44" s="29">
        <v>431</v>
      </c>
      <c r="AK44" s="29">
        <v>375</v>
      </c>
      <c r="AL44" s="29">
        <v>384</v>
      </c>
      <c r="AM44" s="29">
        <v>344</v>
      </c>
      <c r="AN44" s="29">
        <v>362</v>
      </c>
      <c r="AO44" s="29">
        <v>338</v>
      </c>
      <c r="AP44" s="29">
        <v>318</v>
      </c>
      <c r="AQ44" s="29">
        <v>294</v>
      </c>
      <c r="AR44" s="29">
        <v>303</v>
      </c>
      <c r="AS44" s="29">
        <v>270</v>
      </c>
      <c r="AT44" s="27">
        <v>272</v>
      </c>
      <c r="AU44" s="27">
        <v>221</v>
      </c>
      <c r="AV44" s="27">
        <v>247</v>
      </c>
      <c r="AW44" s="27">
        <v>238</v>
      </c>
      <c r="AX44" s="27">
        <v>206</v>
      </c>
      <c r="AY44" s="27">
        <v>193</v>
      </c>
      <c r="AZ44" s="27">
        <v>188</v>
      </c>
      <c r="BA44" s="27">
        <v>174</v>
      </c>
      <c r="BB44" s="27">
        <v>143</v>
      </c>
      <c r="BC44" s="27">
        <v>124</v>
      </c>
      <c r="BD44" s="27">
        <v>117</v>
      </c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>
        <v>88</v>
      </c>
      <c r="DA44" s="29">
        <v>414</v>
      </c>
      <c r="DB44" s="29">
        <f t="shared" si="105"/>
        <v>696</v>
      </c>
      <c r="DC44" s="29">
        <f>SUM(G44:J44)</f>
        <v>931</v>
      </c>
      <c r="DD44" s="29">
        <f>SUM(K44:N44)</f>
        <v>1124</v>
      </c>
      <c r="DE44" s="29">
        <f>SUM(O44:R44)</f>
        <v>1292</v>
      </c>
      <c r="DF44" s="49">
        <f>SUM(S44:V44)</f>
        <v>1401</v>
      </c>
      <c r="DG44" s="49">
        <f>SUM(W44:Z44)</f>
        <v>1479</v>
      </c>
      <c r="DH44" s="49">
        <f>SUM(AA44:AD44)</f>
        <v>1569</v>
      </c>
      <c r="DI44" s="29">
        <f>SUM(AE44:AH44)</f>
        <v>1521</v>
      </c>
      <c r="DJ44" s="64">
        <f>+DI44*1.05</f>
        <v>1597.05</v>
      </c>
      <c r="DK44" s="64">
        <f>+DJ44*1.05</f>
        <v>1676.9024999999999</v>
      </c>
      <c r="DL44" s="29">
        <v>1139</v>
      </c>
      <c r="DM44" s="29">
        <v>912</v>
      </c>
      <c r="DN44" s="29">
        <v>698</v>
      </c>
      <c r="DO44" s="24"/>
      <c r="DP44" s="24"/>
      <c r="DQ44" s="24"/>
      <c r="DR44" s="24"/>
      <c r="DS44" s="24"/>
      <c r="DT44" s="24"/>
      <c r="DU44" s="24"/>
      <c r="DV44" s="24"/>
    </row>
    <row r="45" spans="2:127" x14ac:dyDescent="0.2">
      <c r="B45" s="22" t="s">
        <v>454</v>
      </c>
      <c r="D45" s="27">
        <v>5</v>
      </c>
      <c r="E45" s="27">
        <v>2</v>
      </c>
      <c r="F45" s="27">
        <v>5</v>
      </c>
      <c r="G45" s="27">
        <v>11</v>
      </c>
      <c r="H45" s="27">
        <v>14</v>
      </c>
      <c r="I45" s="27">
        <v>22</v>
      </c>
      <c r="J45" s="27">
        <v>36</v>
      </c>
      <c r="K45" s="27">
        <v>45</v>
      </c>
      <c r="L45" s="27">
        <v>59</v>
      </c>
      <c r="M45" s="27">
        <v>72</v>
      </c>
      <c r="N45" s="27">
        <v>99</v>
      </c>
      <c r="O45" s="27">
        <v>108</v>
      </c>
      <c r="P45" s="27">
        <v>136</v>
      </c>
      <c r="Q45" s="27">
        <v>144</v>
      </c>
      <c r="R45" s="27">
        <v>153</v>
      </c>
      <c r="S45" s="27">
        <v>152</v>
      </c>
      <c r="T45" s="27">
        <v>179</v>
      </c>
      <c r="U45" s="27">
        <v>191</v>
      </c>
      <c r="V45" s="29">
        <v>212</v>
      </c>
      <c r="W45" s="27">
        <v>216</v>
      </c>
      <c r="X45" s="27">
        <v>223</v>
      </c>
      <c r="Y45" s="47">
        <v>228</v>
      </c>
      <c r="Z45" s="47">
        <v>264</v>
      </c>
      <c r="AA45" s="47">
        <v>275</v>
      </c>
      <c r="AB45" s="47">
        <v>292</v>
      </c>
      <c r="AC45" s="47">
        <v>311</v>
      </c>
      <c r="AD45" s="47">
        <v>318</v>
      </c>
      <c r="AE45" s="27">
        <v>325</v>
      </c>
      <c r="AF45" s="29">
        <v>357</v>
      </c>
      <c r="AG45" s="49">
        <v>346</v>
      </c>
      <c r="AH45" s="49">
        <f>1527-AG45-AF45-AE45</f>
        <v>499</v>
      </c>
      <c r="AI45" s="29">
        <v>366</v>
      </c>
      <c r="AJ45" s="29">
        <v>371</v>
      </c>
      <c r="AK45" s="29">
        <v>378</v>
      </c>
      <c r="AL45" s="29">
        <v>412</v>
      </c>
      <c r="AM45" s="29">
        <v>406</v>
      </c>
      <c r="AN45" s="29">
        <v>369</v>
      </c>
      <c r="AO45" s="29">
        <v>325</v>
      </c>
      <c r="AP45" s="29">
        <v>341</v>
      </c>
      <c r="AQ45" s="29">
        <v>340</v>
      </c>
      <c r="AR45" s="29">
        <v>343</v>
      </c>
      <c r="AS45" s="29">
        <v>320</v>
      </c>
      <c r="AT45" s="27">
        <v>309</v>
      </c>
      <c r="AU45" s="27">
        <v>291</v>
      </c>
      <c r="AV45" s="27">
        <v>299</v>
      </c>
      <c r="AW45" s="27">
        <v>306</v>
      </c>
      <c r="AX45" s="27">
        <v>296</v>
      </c>
      <c r="AY45" s="27">
        <v>282</v>
      </c>
      <c r="AZ45" s="27">
        <v>273</v>
      </c>
      <c r="BA45" s="27">
        <v>264</v>
      </c>
      <c r="BB45" s="27">
        <v>233</v>
      </c>
      <c r="BC45" s="27">
        <v>225</v>
      </c>
      <c r="BD45" s="27">
        <v>179</v>
      </c>
      <c r="BE45" s="27">
        <v>175</v>
      </c>
      <c r="BF45" s="27">
        <v>165</v>
      </c>
      <c r="BG45" s="27">
        <v>141</v>
      </c>
      <c r="BH45" s="27">
        <v>147</v>
      </c>
      <c r="BI45" s="27">
        <v>145</v>
      </c>
      <c r="BJ45" s="27">
        <v>122</v>
      </c>
      <c r="BK45" s="27">
        <v>122</v>
      </c>
      <c r="BL45" s="27">
        <v>121</v>
      </c>
      <c r="BM45" s="27">
        <v>100</v>
      </c>
      <c r="BQ45" s="27">
        <v>105</v>
      </c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>
        <f t="shared" si="105"/>
        <v>12</v>
      </c>
      <c r="DC45" s="29">
        <f>SUM(G45:J45)</f>
        <v>83</v>
      </c>
      <c r="DD45" s="29">
        <f>SUM(K45:N45)</f>
        <v>275</v>
      </c>
      <c r="DE45" s="29">
        <f>SUM(O45:R45)</f>
        <v>541</v>
      </c>
      <c r="DF45" s="49">
        <f>SUM(S45:V45)</f>
        <v>734</v>
      </c>
      <c r="DG45" s="49">
        <f>SUM(W45:Z45)</f>
        <v>931</v>
      </c>
      <c r="DH45" s="49">
        <f>SUM(AA45:AD45)</f>
        <v>1196</v>
      </c>
      <c r="DI45" s="29">
        <f>SUM(AE45:AH45)</f>
        <v>1527</v>
      </c>
      <c r="DJ45" s="64">
        <f>DI45*1.1</f>
        <v>1679.7</v>
      </c>
      <c r="DK45" s="64">
        <f>DJ45*1.1</f>
        <v>1847.6700000000003</v>
      </c>
      <c r="DL45" s="29">
        <v>1312</v>
      </c>
      <c r="DM45" s="29">
        <v>1192</v>
      </c>
      <c r="DN45" s="29">
        <v>1052</v>
      </c>
      <c r="DO45" s="29">
        <v>744</v>
      </c>
      <c r="DP45" s="29">
        <v>555</v>
      </c>
      <c r="DQ45" s="29">
        <f t="shared" ref="DQ45" si="107">SUM(BK45:BN45)</f>
        <v>343</v>
      </c>
      <c r="DR45" s="34">
        <f>SUM(BO45:BR45)</f>
        <v>105</v>
      </c>
      <c r="DS45" s="29"/>
      <c r="DT45" s="29"/>
      <c r="DU45" s="29"/>
      <c r="DV45" s="29"/>
    </row>
    <row r="46" spans="2:127" ht="6.75" customHeight="1" x14ac:dyDescent="0.2">
      <c r="B46" s="1" t="s">
        <v>86</v>
      </c>
      <c r="C46" s="27">
        <v>59</v>
      </c>
      <c r="D46" s="27">
        <v>54</v>
      </c>
      <c r="E46" s="27">
        <v>49</v>
      </c>
      <c r="F46" s="27">
        <v>46</v>
      </c>
      <c r="G46" s="27">
        <v>48</v>
      </c>
      <c r="H46" s="27">
        <v>49</v>
      </c>
      <c r="I46" s="27">
        <v>34</v>
      </c>
      <c r="J46" s="27">
        <v>28</v>
      </c>
      <c r="V46" s="29"/>
      <c r="AF46" s="29"/>
      <c r="AG46" s="49"/>
      <c r="AH46" s="4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>
        <v>426</v>
      </c>
      <c r="CZ46" s="29">
        <v>470</v>
      </c>
      <c r="DA46" s="29">
        <v>275</v>
      </c>
      <c r="DB46" s="29">
        <f t="shared" si="105"/>
        <v>208</v>
      </c>
      <c r="DC46" s="29">
        <f t="shared" si="104"/>
        <v>159</v>
      </c>
      <c r="DD46" s="29">
        <v>156</v>
      </c>
      <c r="DE46" s="29"/>
      <c r="DF46" s="53" t="s">
        <v>357</v>
      </c>
      <c r="DG46" s="53" t="s">
        <v>357</v>
      </c>
      <c r="DH46" s="53" t="s">
        <v>357</v>
      </c>
      <c r="DI46" s="34" t="s">
        <v>357</v>
      </c>
      <c r="DJ46" s="65" t="s">
        <v>357</v>
      </c>
      <c r="DK46" s="65" t="s">
        <v>357</v>
      </c>
      <c r="DL46" s="34" t="s">
        <v>357</v>
      </c>
      <c r="DM46" s="34" t="s">
        <v>357</v>
      </c>
      <c r="DN46" s="34" t="s">
        <v>357</v>
      </c>
      <c r="DO46" s="34"/>
      <c r="DP46" s="34" t="s">
        <v>357</v>
      </c>
      <c r="DQ46" s="34"/>
      <c r="DR46" s="34"/>
      <c r="DS46" s="34"/>
      <c r="DT46" s="34"/>
      <c r="DU46" s="34"/>
      <c r="DV46" s="34"/>
    </row>
    <row r="47" spans="2:127" ht="6.75" customHeight="1" x14ac:dyDescent="0.2">
      <c r="B47" s="1" t="s">
        <v>7</v>
      </c>
      <c r="C47" s="27">
        <v>520</v>
      </c>
      <c r="D47" s="27">
        <v>625</v>
      </c>
      <c r="E47" s="27">
        <v>527</v>
      </c>
      <c r="F47" s="27">
        <v>584</v>
      </c>
      <c r="G47" s="27">
        <v>536</v>
      </c>
      <c r="H47" s="27">
        <v>323</v>
      </c>
      <c r="I47" s="27">
        <v>192</v>
      </c>
      <c r="J47" s="27">
        <v>146</v>
      </c>
      <c r="K47" s="27">
        <v>135</v>
      </c>
      <c r="L47" s="27">
        <v>135</v>
      </c>
      <c r="M47" s="27">
        <v>86</v>
      </c>
      <c r="N47" s="27">
        <v>90</v>
      </c>
      <c r="O47" s="27">
        <v>73</v>
      </c>
      <c r="P47" s="27">
        <v>69</v>
      </c>
      <c r="Q47" s="27">
        <v>34</v>
      </c>
      <c r="R47" s="27">
        <v>27</v>
      </c>
      <c r="S47" s="32" t="s">
        <v>357</v>
      </c>
      <c r="T47" s="32" t="s">
        <v>357</v>
      </c>
      <c r="U47" s="27" t="s">
        <v>357</v>
      </c>
      <c r="V47" s="29" t="str">
        <f>U47</f>
        <v>-</v>
      </c>
      <c r="W47" s="32" t="s">
        <v>357</v>
      </c>
      <c r="X47" s="27" t="s">
        <v>357</v>
      </c>
      <c r="Y47" s="27" t="s">
        <v>357</v>
      </c>
      <c r="Z47" s="27" t="s">
        <v>357</v>
      </c>
      <c r="AA47" s="47" t="s">
        <v>357</v>
      </c>
      <c r="AB47" s="27" t="s">
        <v>357</v>
      </c>
      <c r="AC47" s="27" t="s">
        <v>357</v>
      </c>
      <c r="AD47" s="27" t="s">
        <v>357</v>
      </c>
      <c r="AE47" s="27" t="s">
        <v>357</v>
      </c>
      <c r="AF47" s="34" t="s">
        <v>357</v>
      </c>
      <c r="AG47" s="53" t="s">
        <v>357</v>
      </c>
      <c r="AH47" s="53" t="s">
        <v>357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CL47" s="29"/>
      <c r="CM47" s="29"/>
      <c r="CN47" s="29"/>
      <c r="CO47" s="29"/>
      <c r="CP47" s="29">
        <v>500</v>
      </c>
      <c r="CQ47" s="29"/>
      <c r="CR47" s="29"/>
      <c r="CS47" s="29"/>
      <c r="CT47" s="29"/>
      <c r="CU47" s="29"/>
      <c r="CV47" s="29"/>
      <c r="CW47" s="29"/>
      <c r="CX47" s="29"/>
      <c r="CY47" s="29">
        <v>2266</v>
      </c>
      <c r="CZ47" s="29">
        <v>2827</v>
      </c>
      <c r="DA47" s="29">
        <v>2635</v>
      </c>
      <c r="DB47" s="29">
        <f t="shared" si="105"/>
        <v>2256</v>
      </c>
      <c r="DC47" s="29">
        <f t="shared" si="104"/>
        <v>1197</v>
      </c>
      <c r="DD47" s="29">
        <f>SUM(K47:N47)</f>
        <v>446</v>
      </c>
      <c r="DE47" s="29">
        <f>SUM(O47:R47)</f>
        <v>203</v>
      </c>
      <c r="DF47" s="53" t="s">
        <v>357</v>
      </c>
      <c r="DG47" s="53" t="s">
        <v>357</v>
      </c>
      <c r="DH47" s="53" t="s">
        <v>357</v>
      </c>
      <c r="DI47" s="34" t="s">
        <v>357</v>
      </c>
      <c r="DJ47" s="65" t="s">
        <v>357</v>
      </c>
      <c r="DK47" s="65" t="s">
        <v>357</v>
      </c>
      <c r="DL47" s="34" t="s">
        <v>357</v>
      </c>
      <c r="DM47" s="34" t="s">
        <v>357</v>
      </c>
      <c r="DN47" s="34" t="s">
        <v>357</v>
      </c>
      <c r="DO47" s="34"/>
      <c r="DP47" s="34" t="s">
        <v>357</v>
      </c>
      <c r="DQ47" s="34"/>
      <c r="DR47" s="34"/>
      <c r="DS47" s="34"/>
      <c r="DT47" s="34"/>
      <c r="DU47" s="34"/>
      <c r="DV47" s="34"/>
    </row>
    <row r="48" spans="2:127" ht="5.25" customHeight="1" x14ac:dyDescent="0.2">
      <c r="B48" s="1" t="s">
        <v>94</v>
      </c>
      <c r="C48" s="27">
        <v>205</v>
      </c>
      <c r="D48" s="27">
        <v>186</v>
      </c>
      <c r="E48" s="27">
        <v>175</v>
      </c>
      <c r="F48" s="27">
        <v>181</v>
      </c>
      <c r="G48" s="27">
        <v>147</v>
      </c>
      <c r="H48" s="27">
        <v>149</v>
      </c>
      <c r="I48" s="27">
        <v>137</v>
      </c>
      <c r="J48" s="27">
        <v>130</v>
      </c>
      <c r="K48" s="27">
        <v>111</v>
      </c>
      <c r="L48" s="27">
        <v>95</v>
      </c>
      <c r="M48" s="27">
        <v>102</v>
      </c>
      <c r="N48" s="27">
        <v>114</v>
      </c>
      <c r="O48" s="27">
        <v>94</v>
      </c>
      <c r="P48" s="27">
        <v>101</v>
      </c>
      <c r="Q48" s="27">
        <v>91</v>
      </c>
      <c r="R48" s="27">
        <v>99</v>
      </c>
      <c r="S48" s="32" t="s">
        <v>357</v>
      </c>
      <c r="T48" s="32" t="s">
        <v>357</v>
      </c>
      <c r="U48" s="27" t="s">
        <v>357</v>
      </c>
      <c r="V48" s="29" t="str">
        <f>U48</f>
        <v>-</v>
      </c>
      <c r="W48" s="32" t="s">
        <v>357</v>
      </c>
      <c r="X48" s="27" t="s">
        <v>357</v>
      </c>
      <c r="Y48" s="27" t="s">
        <v>357</v>
      </c>
      <c r="Z48" s="27" t="s">
        <v>357</v>
      </c>
      <c r="AA48" s="47" t="s">
        <v>357</v>
      </c>
      <c r="AB48" s="27" t="s">
        <v>357</v>
      </c>
      <c r="AC48" s="27" t="s">
        <v>357</v>
      </c>
      <c r="AD48" s="27" t="s">
        <v>357</v>
      </c>
      <c r="AE48" s="27" t="s">
        <v>357</v>
      </c>
      <c r="AF48" s="34" t="s">
        <v>357</v>
      </c>
      <c r="AG48" s="53" t="s">
        <v>357</v>
      </c>
      <c r="AH48" s="53" t="s">
        <v>357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>
        <v>857</v>
      </c>
      <c r="CZ48" s="29">
        <v>934</v>
      </c>
      <c r="DA48" s="29">
        <v>991</v>
      </c>
      <c r="DB48" s="29">
        <f t="shared" si="105"/>
        <v>747</v>
      </c>
      <c r="DC48" s="29">
        <f t="shared" si="104"/>
        <v>563</v>
      </c>
      <c r="DD48" s="29">
        <f>SUM(K48:N48)</f>
        <v>422</v>
      </c>
      <c r="DE48" s="29">
        <f>SUM(O48:R48)</f>
        <v>385</v>
      </c>
      <c r="DF48" s="53" t="s">
        <v>357</v>
      </c>
      <c r="DG48" s="53" t="s">
        <v>357</v>
      </c>
      <c r="DH48" s="53" t="s">
        <v>357</v>
      </c>
      <c r="DI48" s="34" t="s">
        <v>357</v>
      </c>
      <c r="DJ48" s="65" t="s">
        <v>357</v>
      </c>
      <c r="DK48" s="65" t="s">
        <v>357</v>
      </c>
      <c r="DL48" s="34" t="s">
        <v>357</v>
      </c>
      <c r="DM48" s="34" t="s">
        <v>357</v>
      </c>
      <c r="DN48" s="34" t="s">
        <v>357</v>
      </c>
      <c r="DO48" s="34"/>
      <c r="DP48" s="34" t="s">
        <v>357</v>
      </c>
      <c r="DQ48" s="34"/>
      <c r="DR48" s="34"/>
      <c r="DS48" s="34"/>
      <c r="DT48" s="34"/>
      <c r="DU48" s="34"/>
      <c r="DV48" s="34"/>
    </row>
    <row r="49" spans="2:136" ht="5.25" customHeight="1" x14ac:dyDescent="0.2">
      <c r="B49" s="1" t="s">
        <v>90</v>
      </c>
      <c r="C49" s="27">
        <v>59</v>
      </c>
      <c r="D49" s="27">
        <v>59</v>
      </c>
      <c r="E49" s="27">
        <v>51</v>
      </c>
      <c r="F49" s="27">
        <v>47</v>
      </c>
      <c r="G49" s="27">
        <v>40</v>
      </c>
      <c r="H49" s="27">
        <v>41</v>
      </c>
      <c r="I49" s="27">
        <v>38</v>
      </c>
      <c r="J49" s="27">
        <v>36</v>
      </c>
      <c r="V49" s="29"/>
      <c r="Y49" s="27"/>
      <c r="Z49" s="27"/>
      <c r="AB49" s="27"/>
      <c r="AC49" s="27"/>
      <c r="AD49" s="27"/>
      <c r="AF49" s="29"/>
      <c r="AG49" s="49"/>
      <c r="AH49" s="4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>
        <v>443</v>
      </c>
      <c r="CZ49" s="29">
        <v>354</v>
      </c>
      <c r="DA49" s="29">
        <v>272</v>
      </c>
      <c r="DB49" s="29">
        <f t="shared" si="105"/>
        <v>216</v>
      </c>
      <c r="DC49" s="29">
        <f t="shared" si="104"/>
        <v>155</v>
      </c>
      <c r="DD49" s="29">
        <v>129</v>
      </c>
      <c r="DE49" s="29"/>
      <c r="DF49" s="53" t="s">
        <v>357</v>
      </c>
      <c r="DG49" s="53" t="s">
        <v>357</v>
      </c>
      <c r="DH49" s="53" t="s">
        <v>357</v>
      </c>
      <c r="DI49" s="34" t="s">
        <v>357</v>
      </c>
      <c r="DJ49" s="65" t="s">
        <v>357</v>
      </c>
      <c r="DK49" s="65" t="s">
        <v>357</v>
      </c>
      <c r="DL49" s="34" t="s">
        <v>357</v>
      </c>
      <c r="DM49" s="34" t="s">
        <v>357</v>
      </c>
      <c r="DN49" s="34" t="s">
        <v>357</v>
      </c>
      <c r="DO49" s="34"/>
      <c r="DP49" s="34" t="s">
        <v>357</v>
      </c>
      <c r="DQ49" s="34"/>
      <c r="DR49" s="34"/>
      <c r="DS49" s="34"/>
      <c r="DT49" s="34"/>
      <c r="DU49" s="34"/>
      <c r="DV49" s="34"/>
    </row>
    <row r="50" spans="2:136" ht="5.25" customHeight="1" x14ac:dyDescent="0.2">
      <c r="B50" s="1" t="s">
        <v>92</v>
      </c>
      <c r="C50" s="27">
        <v>82</v>
      </c>
      <c r="D50" s="27">
        <v>54</v>
      </c>
      <c r="E50" s="27">
        <v>48</v>
      </c>
      <c r="F50" s="27">
        <v>75</v>
      </c>
      <c r="G50" s="27">
        <v>23</v>
      </c>
      <c r="H50" s="27">
        <v>23</v>
      </c>
      <c r="I50" s="27">
        <v>18</v>
      </c>
      <c r="J50" s="27">
        <v>23</v>
      </c>
      <c r="V50" s="29"/>
      <c r="Y50" s="27"/>
      <c r="Z50" s="27"/>
      <c r="AB50" s="27"/>
      <c r="AC50" s="27"/>
      <c r="AD50" s="27"/>
      <c r="AF50" s="29"/>
      <c r="AG50" s="49"/>
      <c r="AH50" s="4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>
        <v>287</v>
      </c>
      <c r="CZ50" s="29">
        <v>327</v>
      </c>
      <c r="DA50" s="29">
        <v>270</v>
      </c>
      <c r="DB50" s="29">
        <f t="shared" si="105"/>
        <v>259</v>
      </c>
      <c r="DC50" s="29">
        <f t="shared" si="104"/>
        <v>87</v>
      </c>
      <c r="DD50" s="29">
        <v>110</v>
      </c>
      <c r="DE50" s="29"/>
      <c r="DF50" s="53" t="s">
        <v>357</v>
      </c>
      <c r="DG50" s="53" t="s">
        <v>357</v>
      </c>
      <c r="DH50" s="53" t="s">
        <v>357</v>
      </c>
      <c r="DI50" s="34" t="s">
        <v>357</v>
      </c>
      <c r="DJ50" s="65" t="s">
        <v>357</v>
      </c>
      <c r="DK50" s="65" t="s">
        <v>357</v>
      </c>
      <c r="DL50" s="34" t="s">
        <v>357</v>
      </c>
      <c r="DM50" s="34" t="s">
        <v>357</v>
      </c>
      <c r="DN50" s="34" t="s">
        <v>357</v>
      </c>
      <c r="DO50" s="34"/>
      <c r="DP50" s="34" t="s">
        <v>357</v>
      </c>
      <c r="DQ50" s="34"/>
      <c r="DR50" s="34"/>
      <c r="DS50" s="34"/>
      <c r="DT50" s="34"/>
      <c r="DU50" s="34"/>
      <c r="DV50" s="34"/>
    </row>
    <row r="51" spans="2:136" ht="5.25" customHeight="1" x14ac:dyDescent="0.2">
      <c r="B51" s="1" t="s">
        <v>91</v>
      </c>
      <c r="V51" s="29"/>
      <c r="Y51" s="27"/>
      <c r="Z51" s="27"/>
      <c r="AB51" s="27"/>
      <c r="AC51" s="27"/>
      <c r="AD51" s="27"/>
      <c r="AF51" s="29"/>
      <c r="AG51" s="49"/>
      <c r="AH51" s="4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DF51" s="48" t="s">
        <v>357</v>
      </c>
      <c r="DG51" s="53" t="s">
        <v>357</v>
      </c>
      <c r="DH51" s="53" t="s">
        <v>357</v>
      </c>
      <c r="DI51" s="34" t="s">
        <v>357</v>
      </c>
      <c r="DJ51" s="65" t="s">
        <v>357</v>
      </c>
      <c r="DK51" s="65" t="s">
        <v>357</v>
      </c>
      <c r="DL51" s="34" t="s">
        <v>357</v>
      </c>
      <c r="DM51" s="34" t="s">
        <v>357</v>
      </c>
      <c r="DN51" s="34" t="s">
        <v>357</v>
      </c>
      <c r="DO51" s="34"/>
      <c r="DP51" s="34" t="s">
        <v>357</v>
      </c>
      <c r="DQ51" s="34"/>
      <c r="DR51" s="34"/>
      <c r="DS51" s="34"/>
      <c r="DT51" s="34"/>
      <c r="DU51" s="34"/>
      <c r="DV51" s="34"/>
    </row>
    <row r="52" spans="2:136" ht="5.25" customHeight="1" x14ac:dyDescent="0.2">
      <c r="B52" s="1" t="s">
        <v>96</v>
      </c>
      <c r="V52" s="29"/>
      <c r="Y52" s="27"/>
      <c r="Z52" s="27"/>
      <c r="AB52" s="27"/>
      <c r="AC52" s="27"/>
      <c r="AD52" s="27"/>
      <c r="AF52" s="29"/>
      <c r="AG52" s="49"/>
      <c r="AH52" s="4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DF52" s="48" t="s">
        <v>357</v>
      </c>
      <c r="DG52" s="53" t="s">
        <v>357</v>
      </c>
      <c r="DH52" s="53" t="s">
        <v>357</v>
      </c>
      <c r="DI52" s="34" t="s">
        <v>357</v>
      </c>
      <c r="DJ52" s="65" t="s">
        <v>357</v>
      </c>
      <c r="DK52" s="65" t="s">
        <v>357</v>
      </c>
      <c r="DL52" s="34" t="s">
        <v>357</v>
      </c>
      <c r="DM52" s="34" t="s">
        <v>357</v>
      </c>
      <c r="DN52" s="34" t="s">
        <v>357</v>
      </c>
      <c r="DO52" s="34"/>
      <c r="DP52" s="34" t="s">
        <v>357</v>
      </c>
      <c r="DQ52" s="34"/>
      <c r="DR52" s="34"/>
      <c r="DS52" s="34"/>
      <c r="DT52" s="34"/>
      <c r="DU52" s="34"/>
      <c r="DV52" s="34"/>
    </row>
    <row r="53" spans="2:136" ht="5.25" customHeight="1" x14ac:dyDescent="0.2">
      <c r="B53" s="1" t="s">
        <v>98</v>
      </c>
      <c r="C53" s="29">
        <f>526-C36</f>
        <v>291</v>
      </c>
      <c r="D53" s="29">
        <f>548-D36</f>
        <v>298</v>
      </c>
      <c r="E53" s="29">
        <f>547-E36</f>
        <v>317</v>
      </c>
      <c r="F53" s="29">
        <f>584-F36</f>
        <v>307</v>
      </c>
      <c r="G53" s="29">
        <f>565-G36</f>
        <v>328</v>
      </c>
      <c r="H53" s="29">
        <f>582-H36</f>
        <v>329</v>
      </c>
      <c r="I53" s="29">
        <f>582-I36</f>
        <v>336</v>
      </c>
      <c r="J53" s="29">
        <f>618-J36</f>
        <v>347</v>
      </c>
      <c r="K53" s="29">
        <f>606-K36</f>
        <v>352</v>
      </c>
      <c r="L53" s="29">
        <f>620-L36</f>
        <v>353</v>
      </c>
      <c r="M53" s="29">
        <f>675-M36</f>
        <v>394</v>
      </c>
      <c r="N53" s="29">
        <f>670-N36</f>
        <v>390</v>
      </c>
      <c r="O53" s="29">
        <f>703-O36</f>
        <v>413</v>
      </c>
      <c r="P53" s="29">
        <f>728-P36</f>
        <v>441</v>
      </c>
      <c r="Q53" s="29">
        <f>744-Q36</f>
        <v>449</v>
      </c>
      <c r="R53" s="29">
        <f>707-R36</f>
        <v>422</v>
      </c>
      <c r="S53" s="29">
        <v>693</v>
      </c>
      <c r="T53" s="29">
        <v>719</v>
      </c>
      <c r="U53" s="29">
        <v>699</v>
      </c>
      <c r="V53" s="34" t="s">
        <v>357</v>
      </c>
      <c r="W53" s="34" t="s">
        <v>357</v>
      </c>
      <c r="X53" s="29" t="s">
        <v>357</v>
      </c>
      <c r="Y53" s="29" t="s">
        <v>357</v>
      </c>
      <c r="Z53" s="29" t="s">
        <v>357</v>
      </c>
      <c r="AA53" s="49" t="s">
        <v>357</v>
      </c>
      <c r="AB53" s="29" t="s">
        <v>357</v>
      </c>
      <c r="AC53" s="29" t="s">
        <v>357</v>
      </c>
      <c r="AD53" s="29" t="s">
        <v>357</v>
      </c>
      <c r="AE53" s="29" t="s">
        <v>357</v>
      </c>
      <c r="AF53" s="34" t="s">
        <v>357</v>
      </c>
      <c r="AG53" s="53" t="s">
        <v>357</v>
      </c>
      <c r="AH53" s="53" t="s">
        <v>357</v>
      </c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DB53" s="29">
        <f>SUM(C53:F53)</f>
        <v>1213</v>
      </c>
      <c r="DC53" s="29">
        <f>SUM(G53:J53)</f>
        <v>1340</v>
      </c>
      <c r="DD53" s="29">
        <f>SUM(K53:N53)</f>
        <v>1489</v>
      </c>
      <c r="DE53" s="29">
        <f>SUM(O53:R53)</f>
        <v>1725</v>
      </c>
      <c r="DF53" s="49">
        <f>SUM(S53:V53)</f>
        <v>2111</v>
      </c>
      <c r="DG53" s="53" t="s">
        <v>357</v>
      </c>
      <c r="DH53" s="53" t="s">
        <v>357</v>
      </c>
      <c r="DI53" s="34" t="s">
        <v>357</v>
      </c>
      <c r="DJ53" s="65" t="s">
        <v>357</v>
      </c>
      <c r="DK53" s="65" t="s">
        <v>357</v>
      </c>
      <c r="DL53" s="34" t="s">
        <v>357</v>
      </c>
      <c r="DM53" s="34" t="s">
        <v>357</v>
      </c>
      <c r="DN53" s="34" t="s">
        <v>357</v>
      </c>
      <c r="DO53" s="34"/>
      <c r="DP53" s="34" t="s">
        <v>357</v>
      </c>
      <c r="DQ53" s="34"/>
      <c r="DR53" s="34"/>
      <c r="DS53" s="34"/>
      <c r="DT53" s="34"/>
      <c r="DU53" s="34"/>
      <c r="DV53" s="34"/>
    </row>
    <row r="54" spans="2:136" ht="5.25" customHeight="1" x14ac:dyDescent="0.2">
      <c r="B54" s="1" t="s">
        <v>99</v>
      </c>
      <c r="C54" s="29">
        <v>428</v>
      </c>
      <c r="D54" s="29">
        <v>455</v>
      </c>
      <c r="E54" s="29">
        <v>442</v>
      </c>
      <c r="F54" s="29">
        <v>423</v>
      </c>
      <c r="G54" s="29">
        <v>411</v>
      </c>
      <c r="H54" s="29">
        <v>430</v>
      </c>
      <c r="I54" s="29">
        <v>418</v>
      </c>
      <c r="J54" s="29">
        <v>291</v>
      </c>
      <c r="K54" s="29">
        <v>254</v>
      </c>
      <c r="L54" s="29">
        <v>457</v>
      </c>
      <c r="M54" s="29">
        <v>449</v>
      </c>
      <c r="N54" s="29">
        <v>323</v>
      </c>
      <c r="O54" s="29">
        <v>290</v>
      </c>
      <c r="P54" s="29"/>
      <c r="Q54" s="29"/>
      <c r="R54" s="29">
        <f>Q54</f>
        <v>0</v>
      </c>
      <c r="S54" s="29">
        <v>0</v>
      </c>
      <c r="T54" s="29">
        <v>0</v>
      </c>
      <c r="U54" s="29">
        <v>0</v>
      </c>
      <c r="V54" s="34" t="s">
        <v>357</v>
      </c>
      <c r="W54" s="34" t="s">
        <v>357</v>
      </c>
      <c r="X54" s="29" t="s">
        <v>357</v>
      </c>
      <c r="Y54" s="29" t="s">
        <v>357</v>
      </c>
      <c r="Z54" s="29" t="s">
        <v>357</v>
      </c>
      <c r="AA54" s="49" t="s">
        <v>357</v>
      </c>
      <c r="AB54" s="29" t="s">
        <v>357</v>
      </c>
      <c r="AC54" s="29" t="s">
        <v>357</v>
      </c>
      <c r="AD54" s="29" t="s">
        <v>357</v>
      </c>
      <c r="AE54" s="29" t="s">
        <v>357</v>
      </c>
      <c r="AF54" s="34" t="s">
        <v>357</v>
      </c>
      <c r="AG54" s="53" t="s">
        <v>357</v>
      </c>
      <c r="AH54" s="53" t="s">
        <v>357</v>
      </c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DB54" s="29">
        <f>SUM(C54:F54)</f>
        <v>1748</v>
      </c>
      <c r="DC54" s="29">
        <f>SUM(G54:J54)</f>
        <v>1550</v>
      </c>
      <c r="DD54" s="29">
        <f>SUM(K54:N54)</f>
        <v>1483</v>
      </c>
      <c r="DE54" s="29">
        <f>SUM(O54:R54)</f>
        <v>290</v>
      </c>
      <c r="DF54" s="53" t="s">
        <v>357</v>
      </c>
      <c r="DG54" s="49" t="s">
        <v>357</v>
      </c>
      <c r="DH54" s="49" t="s">
        <v>357</v>
      </c>
      <c r="DI54" s="29" t="s">
        <v>357</v>
      </c>
      <c r="DJ54" s="64" t="s">
        <v>357</v>
      </c>
      <c r="DK54" s="64" t="s">
        <v>357</v>
      </c>
      <c r="DL54" s="29" t="s">
        <v>357</v>
      </c>
      <c r="DM54" s="29" t="s">
        <v>357</v>
      </c>
      <c r="DN54" s="29" t="s">
        <v>357</v>
      </c>
      <c r="DO54" s="29"/>
      <c r="DP54" s="29" t="s">
        <v>357</v>
      </c>
      <c r="DQ54" s="29"/>
      <c r="DR54" s="29"/>
      <c r="DS54" s="29"/>
      <c r="DT54" s="29"/>
      <c r="DU54" s="29"/>
      <c r="DV54" s="29"/>
    </row>
    <row r="55" spans="2:136" s="18" customFormat="1" x14ac:dyDescent="0.2">
      <c r="B55" s="18" t="s">
        <v>237</v>
      </c>
      <c r="C55" s="35">
        <f t="shared" ref="C55:AP55" si="108">SUM(C3:C54)</f>
        <v>6388</v>
      </c>
      <c r="D55" s="35">
        <f t="shared" si="108"/>
        <v>7111</v>
      </c>
      <c r="E55" s="35">
        <f t="shared" si="108"/>
        <v>6891</v>
      </c>
      <c r="F55" s="35">
        <f t="shared" si="108"/>
        <v>7329</v>
      </c>
      <c r="G55" s="35">
        <f t="shared" si="108"/>
        <v>6833</v>
      </c>
      <c r="H55" s="35">
        <f t="shared" si="108"/>
        <v>7150</v>
      </c>
      <c r="I55" s="35">
        <f t="shared" si="108"/>
        <v>5752</v>
      </c>
      <c r="J55" s="35">
        <f t="shared" si="108"/>
        <v>5594</v>
      </c>
      <c r="K55" s="35">
        <f t="shared" si="108"/>
        <v>6152</v>
      </c>
      <c r="L55" s="35">
        <f t="shared" si="108"/>
        <v>7091</v>
      </c>
      <c r="M55" s="35">
        <f t="shared" si="108"/>
        <v>7850</v>
      </c>
      <c r="N55" s="35">
        <f t="shared" si="108"/>
        <v>8491</v>
      </c>
      <c r="O55" s="35">
        <f t="shared" si="108"/>
        <v>8138</v>
      </c>
      <c r="P55" s="35">
        <f t="shared" si="108"/>
        <v>8418</v>
      </c>
      <c r="Q55" s="35">
        <f t="shared" si="108"/>
        <v>8580</v>
      </c>
      <c r="R55" s="35">
        <f t="shared" si="108"/>
        <v>8629</v>
      </c>
      <c r="S55" s="35">
        <f t="shared" si="108"/>
        <v>8295</v>
      </c>
      <c r="T55" s="35">
        <f t="shared" si="108"/>
        <v>8903</v>
      </c>
      <c r="U55" s="35">
        <f t="shared" si="108"/>
        <v>9096</v>
      </c>
      <c r="V55" s="35">
        <f t="shared" si="108"/>
        <v>8854</v>
      </c>
      <c r="W55" s="35">
        <f t="shared" si="108"/>
        <v>4807</v>
      </c>
      <c r="X55" s="35">
        <f t="shared" si="108"/>
        <v>8475</v>
      </c>
      <c r="Y55" s="50">
        <f t="shared" si="108"/>
        <v>4798</v>
      </c>
      <c r="Z55" s="50">
        <f t="shared" si="108"/>
        <v>5111</v>
      </c>
      <c r="AA55" s="50">
        <f t="shared" si="108"/>
        <v>5011</v>
      </c>
      <c r="AB55" s="50">
        <f t="shared" si="108"/>
        <v>5434</v>
      </c>
      <c r="AC55" s="50">
        <f t="shared" si="108"/>
        <v>5345</v>
      </c>
      <c r="AD55" s="50">
        <f t="shared" si="108"/>
        <v>5454</v>
      </c>
      <c r="AE55" s="35">
        <f t="shared" si="108"/>
        <v>5251</v>
      </c>
      <c r="AF55" s="35">
        <f t="shared" si="108"/>
        <v>4443</v>
      </c>
      <c r="AG55" s="50">
        <f t="shared" si="108"/>
        <v>3736</v>
      </c>
      <c r="AH55" s="50">
        <f t="shared" si="108"/>
        <v>4191</v>
      </c>
      <c r="AI55" s="50">
        <f t="shared" si="108"/>
        <v>4189</v>
      </c>
      <c r="AJ55" s="50">
        <f t="shared" si="108"/>
        <v>4048</v>
      </c>
      <c r="AK55" s="50">
        <f t="shared" si="108"/>
        <v>4497</v>
      </c>
      <c r="AL55" s="50">
        <f t="shared" si="108"/>
        <v>4441</v>
      </c>
      <c r="AM55" s="50">
        <f t="shared" si="108"/>
        <v>3811</v>
      </c>
      <c r="AN55" s="50">
        <f t="shared" si="108"/>
        <v>3889</v>
      </c>
      <c r="AO55" s="50">
        <f>SUM(AO3:AO54)</f>
        <v>4741</v>
      </c>
      <c r="AP55" s="50">
        <f t="shared" si="108"/>
        <v>4258</v>
      </c>
      <c r="AQ55" s="35">
        <f t="shared" ref="AQ55:AT55" si="109">SUM(AQ3:AQ45)</f>
        <v>4041</v>
      </c>
      <c r="AR55" s="35">
        <f t="shared" si="109"/>
        <v>4163</v>
      </c>
      <c r="AS55" s="35">
        <f t="shared" si="109"/>
        <v>4069</v>
      </c>
      <c r="AT55" s="35">
        <f t="shared" si="109"/>
        <v>4287</v>
      </c>
      <c r="AU55" s="35">
        <f t="shared" ref="AU55:CH55" si="110">SUM(AU3:AU45)</f>
        <v>4391</v>
      </c>
      <c r="AV55" s="35">
        <f t="shared" si="110"/>
        <v>4871</v>
      </c>
      <c r="AW55" s="35">
        <f t="shared" si="110"/>
        <v>4922</v>
      </c>
      <c r="AX55" s="35">
        <f t="shared" si="110"/>
        <v>5243</v>
      </c>
      <c r="AY55" s="35">
        <f t="shared" si="110"/>
        <v>4929</v>
      </c>
      <c r="AZ55" s="35">
        <f t="shared" si="110"/>
        <v>5144</v>
      </c>
      <c r="BA55" s="35">
        <f t="shared" si="110"/>
        <v>5254</v>
      </c>
      <c r="BB55" s="35">
        <f t="shared" si="110"/>
        <v>5449</v>
      </c>
      <c r="BC55" s="35">
        <f t="shared" si="110"/>
        <v>5193</v>
      </c>
      <c r="BD55" s="35">
        <f t="shared" si="110"/>
        <v>5704</v>
      </c>
      <c r="BE55" s="35">
        <f t="shared" si="110"/>
        <v>5691</v>
      </c>
      <c r="BF55" s="35">
        <f t="shared" si="110"/>
        <v>5973</v>
      </c>
      <c r="BG55" s="35">
        <f t="shared" si="110"/>
        <v>5920</v>
      </c>
      <c r="BH55" s="35">
        <f t="shared" si="110"/>
        <v>6273</v>
      </c>
      <c r="BI55" s="35">
        <f t="shared" si="110"/>
        <v>6007</v>
      </c>
      <c r="BJ55" s="35">
        <f t="shared" si="110"/>
        <v>7945</v>
      </c>
      <c r="BK55" s="35">
        <f t="shared" si="110"/>
        <v>10781</v>
      </c>
      <c r="BL55" s="35">
        <f t="shared" si="110"/>
        <v>10129</v>
      </c>
      <c r="BM55" s="35">
        <f t="shared" si="110"/>
        <v>10540</v>
      </c>
      <c r="BN55" s="35">
        <f t="shared" si="110"/>
        <v>11068</v>
      </c>
      <c r="BO55" s="35">
        <f t="shared" si="110"/>
        <v>11073</v>
      </c>
      <c r="BP55" s="35">
        <f t="shared" si="110"/>
        <v>11703</v>
      </c>
      <c r="BQ55" s="35">
        <f t="shared" si="110"/>
        <v>11624</v>
      </c>
      <c r="BR55" s="35">
        <f t="shared" si="110"/>
        <v>11985</v>
      </c>
      <c r="BS55" s="35">
        <f t="shared" si="110"/>
        <v>11648</v>
      </c>
      <c r="BT55" s="35">
        <f t="shared" si="110"/>
        <v>11887</v>
      </c>
      <c r="BU55" s="35">
        <f t="shared" si="110"/>
        <v>11218</v>
      </c>
      <c r="BV55" s="35">
        <f t="shared" si="110"/>
        <v>11406</v>
      </c>
      <c r="BW55" s="35">
        <f t="shared" si="110"/>
        <v>11337</v>
      </c>
      <c r="BX55" s="35">
        <f t="shared" si="110"/>
        <v>11226</v>
      </c>
      <c r="BY55" s="35">
        <f t="shared" si="110"/>
        <v>10966</v>
      </c>
      <c r="BZ55" s="35">
        <f t="shared" si="110"/>
        <v>11477</v>
      </c>
      <c r="CA55" s="35">
        <f t="shared" si="110"/>
        <v>11865</v>
      </c>
      <c r="CB55" s="35">
        <f t="shared" si="110"/>
        <v>12201</v>
      </c>
      <c r="CC55" s="35">
        <f t="shared" si="110"/>
        <v>11892</v>
      </c>
      <c r="CD55" s="35">
        <f t="shared" si="110"/>
        <v>12342</v>
      </c>
      <c r="CE55" s="35">
        <f t="shared" si="110"/>
        <v>11769.460000000001</v>
      </c>
      <c r="CF55" s="35">
        <f t="shared" si="110"/>
        <v>12030.040000000003</v>
      </c>
      <c r="CG55" s="35">
        <f t="shared" si="110"/>
        <v>11746.874</v>
      </c>
      <c r="CH55" s="35">
        <f t="shared" si="110"/>
        <v>12162.8698</v>
      </c>
      <c r="CI55" s="35"/>
      <c r="CJ55" s="35"/>
      <c r="CK55" s="35"/>
      <c r="CL55" s="35">
        <v>8578</v>
      </c>
      <c r="CM55" s="35">
        <v>9741</v>
      </c>
      <c r="CN55" s="35">
        <v>10571</v>
      </c>
      <c r="CO55" s="35">
        <v>11156</v>
      </c>
      <c r="CP55" s="35">
        <v>11413</v>
      </c>
      <c r="CQ55" s="35"/>
      <c r="CR55" s="35"/>
      <c r="CS55" s="35"/>
      <c r="CT55" s="35"/>
      <c r="CU55" s="35"/>
      <c r="CV55" s="35"/>
      <c r="CW55" s="35"/>
      <c r="CX55" s="35"/>
      <c r="CY55" s="35">
        <f t="shared" ref="CY55:EF55" si="111">SUM(CY3:CY54)</f>
        <v>11988</v>
      </c>
      <c r="CZ55" s="35">
        <f t="shared" si="111"/>
        <v>15211</v>
      </c>
      <c r="DA55" s="35">
        <f t="shared" si="111"/>
        <v>16074</v>
      </c>
      <c r="DB55" s="35">
        <f t="shared" si="111"/>
        <v>27723</v>
      </c>
      <c r="DC55" s="35">
        <f t="shared" si="111"/>
        <v>25329</v>
      </c>
      <c r="DD55" s="35">
        <f t="shared" si="111"/>
        <v>30888</v>
      </c>
      <c r="DE55" s="35">
        <f t="shared" si="111"/>
        <v>33765</v>
      </c>
      <c r="DF55" s="50">
        <f t="shared" si="111"/>
        <v>35148</v>
      </c>
      <c r="DG55" s="50">
        <f t="shared" si="111"/>
        <v>23191</v>
      </c>
      <c r="DH55" s="50">
        <f t="shared" si="111"/>
        <v>21244</v>
      </c>
      <c r="DI55" s="35">
        <f t="shared" si="111"/>
        <v>17570</v>
      </c>
      <c r="DJ55" s="66">
        <f t="shared" si="111"/>
        <v>14951.65</v>
      </c>
      <c r="DK55" s="66">
        <f t="shared" si="111"/>
        <v>15202.6</v>
      </c>
      <c r="DL55" s="35">
        <f t="shared" si="111"/>
        <v>15052.625625000001</v>
      </c>
      <c r="DM55" s="35">
        <f t="shared" si="111"/>
        <v>19351.094343749999</v>
      </c>
      <c r="DN55" s="35">
        <f t="shared" si="111"/>
        <v>20749.339626562498</v>
      </c>
      <c r="DO55" s="35">
        <f t="shared" si="111"/>
        <v>22561</v>
      </c>
      <c r="DP55" s="35">
        <f t="shared" si="111"/>
        <v>26145</v>
      </c>
      <c r="DQ55" s="35">
        <f t="shared" si="111"/>
        <v>42518</v>
      </c>
      <c r="DR55" s="35">
        <f t="shared" si="111"/>
        <v>46385</v>
      </c>
      <c r="DS55" s="35">
        <f t="shared" si="111"/>
        <v>46159</v>
      </c>
      <c r="DT55" s="35">
        <f t="shared" si="111"/>
        <v>45006</v>
      </c>
      <c r="DU55" s="35">
        <f t="shared" si="111"/>
        <v>48300</v>
      </c>
      <c r="DV55" s="35">
        <f t="shared" si="111"/>
        <v>50009.243799999997</v>
      </c>
      <c r="DW55" s="35">
        <f t="shared" si="111"/>
        <v>49419.658999999985</v>
      </c>
      <c r="DX55" s="35">
        <f t="shared" si="111"/>
        <v>51498.747157000005</v>
      </c>
      <c r="DY55" s="35">
        <f t="shared" si="111"/>
        <v>46531.145604140002</v>
      </c>
      <c r="DZ55" s="35">
        <f t="shared" si="111"/>
        <v>40909.652475991999</v>
      </c>
      <c r="EA55" s="35">
        <f t="shared" si="111"/>
        <v>41328.786060993603</v>
      </c>
      <c r="EB55" s="35">
        <f t="shared" si="111"/>
        <v>42027.014050464888</v>
      </c>
      <c r="EC55" s="35">
        <f t="shared" si="111"/>
        <v>42418.298757464312</v>
      </c>
      <c r="ED55" s="35">
        <f t="shared" si="111"/>
        <v>25870.382406098088</v>
      </c>
      <c r="EE55" s="35">
        <f t="shared" si="111"/>
        <v>21072.932018553453</v>
      </c>
      <c r="EF55" s="35">
        <f t="shared" si="111"/>
        <v>15059.701955215427</v>
      </c>
    </row>
    <row r="56" spans="2:136" s="24" customFormat="1" x14ac:dyDescent="0.2">
      <c r="B56" s="24" t="s">
        <v>100</v>
      </c>
      <c r="C56" s="29">
        <v>1367</v>
      </c>
      <c r="D56" s="29">
        <v>1483</v>
      </c>
      <c r="E56" s="29">
        <v>1483</v>
      </c>
      <c r="F56" s="29">
        <v>1595</v>
      </c>
      <c r="G56" s="29">
        <v>1476</v>
      </c>
      <c r="H56" s="29">
        <v>1568</v>
      </c>
      <c r="I56" s="29">
        <v>1465</v>
      </c>
      <c r="J56" s="29">
        <v>1395</v>
      </c>
      <c r="K56" s="29">
        <v>1340</v>
      </c>
      <c r="L56" s="29">
        <v>1549</v>
      </c>
      <c r="M56" s="29">
        <v>1622</v>
      </c>
      <c r="N56" s="29">
        <v>1817</v>
      </c>
      <c r="O56" s="29">
        <v>1657</v>
      </c>
      <c r="P56" s="29">
        <v>1612</v>
      </c>
      <c r="Q56" s="29">
        <v>1581</v>
      </c>
      <c r="R56" s="29">
        <f>R55-R57</f>
        <v>8629</v>
      </c>
      <c r="S56" s="29">
        <v>1413</v>
      </c>
      <c r="T56" s="29">
        <v>1461</v>
      </c>
      <c r="U56" s="29">
        <v>1562</v>
      </c>
      <c r="V56" s="29">
        <v>1433</v>
      </c>
      <c r="W56" s="29">
        <v>1306</v>
      </c>
      <c r="X56" s="29">
        <v>1277</v>
      </c>
      <c r="Y56" s="49">
        <v>1280</v>
      </c>
      <c r="Z56" s="49">
        <v>1414</v>
      </c>
      <c r="AA56" s="49">
        <v>1343</v>
      </c>
      <c r="AB56" s="49">
        <v>1481</v>
      </c>
      <c r="AC56" s="49">
        <v>1407</v>
      </c>
      <c r="AD56" s="49">
        <v>1367</v>
      </c>
      <c r="AE56" s="29">
        <v>1303</v>
      </c>
      <c r="AF56" s="29">
        <v>1245</v>
      </c>
      <c r="AG56" s="49">
        <v>987</v>
      </c>
      <c r="AH56" s="49">
        <f>4610-SUM(AE56:AG56)</f>
        <v>1075</v>
      </c>
      <c r="AI56" s="29">
        <v>1063</v>
      </c>
      <c r="AJ56" s="29">
        <v>1108</v>
      </c>
      <c r="AK56" s="29">
        <v>1175</v>
      </c>
      <c r="AL56" s="29">
        <v>1273</v>
      </c>
      <c r="AM56" s="29">
        <v>968</v>
      </c>
      <c r="AN56" s="29">
        <v>991</v>
      </c>
      <c r="AO56" s="29">
        <v>1007</v>
      </c>
      <c r="AP56" s="29">
        <v>966</v>
      </c>
      <c r="AQ56" s="29">
        <v>847</v>
      </c>
      <c r="AR56" s="29">
        <v>1013</v>
      </c>
      <c r="AS56" s="29">
        <v>1097</v>
      </c>
      <c r="AT56" s="29">
        <v>952</v>
      </c>
      <c r="AU56" s="29">
        <v>1052</v>
      </c>
      <c r="AV56" s="29">
        <v>1206</v>
      </c>
      <c r="AW56" s="29">
        <f>1305-7</f>
        <v>1298</v>
      </c>
      <c r="AX56" s="29">
        <f>1383-6</f>
        <v>1377</v>
      </c>
      <c r="AY56" s="29">
        <v>1265</v>
      </c>
      <c r="AZ56" s="29">
        <f>1569-130</f>
        <v>1439</v>
      </c>
      <c r="BA56" s="29">
        <f>1572-1</f>
        <v>1571</v>
      </c>
      <c r="BB56" s="29">
        <f>1673-18</f>
        <v>1655</v>
      </c>
      <c r="BC56" s="29">
        <f>1584-13</f>
        <v>1571</v>
      </c>
      <c r="BD56" s="29">
        <f>1625-14</f>
        <v>1611</v>
      </c>
      <c r="BE56" s="29"/>
      <c r="BF56" s="29"/>
      <c r="BG56" s="29">
        <v>1824</v>
      </c>
      <c r="BH56" s="29">
        <v>1972</v>
      </c>
      <c r="BI56" s="29"/>
      <c r="BJ56" s="29"/>
      <c r="BK56" s="29">
        <f>3662-1438</f>
        <v>2224</v>
      </c>
      <c r="BL56" s="29">
        <v>2699</v>
      </c>
      <c r="BM56" s="29">
        <v>2502</v>
      </c>
      <c r="BN56" s="29">
        <f>2910-675</f>
        <v>2235</v>
      </c>
      <c r="BO56" s="29">
        <f>2841-417</f>
        <v>2424</v>
      </c>
      <c r="BP56" s="29">
        <f>2452-89</f>
        <v>2363</v>
      </c>
      <c r="BQ56" s="29">
        <v>2291</v>
      </c>
      <c r="BR56" s="29">
        <v>2356</v>
      </c>
      <c r="BS56" s="29">
        <f>2471-52</f>
        <v>2419</v>
      </c>
      <c r="BT56" s="29">
        <f>2720-145</f>
        <v>2575</v>
      </c>
      <c r="BU56" s="29">
        <f>+BU55-BU57</f>
        <v>2355.7799999999988</v>
      </c>
      <c r="BV56" s="29">
        <v>2593</v>
      </c>
      <c r="BW56" s="29">
        <f t="shared" ref="BW56:BZ56" si="112">+BW55-BW57</f>
        <v>2380.7700000000004</v>
      </c>
      <c r="BX56" s="29">
        <f t="shared" si="112"/>
        <v>2357.4599999999991</v>
      </c>
      <c r="BY56" s="29">
        <f t="shared" si="112"/>
        <v>2302.8599999999988</v>
      </c>
      <c r="BZ56" s="29">
        <f t="shared" si="112"/>
        <v>2410.17</v>
      </c>
      <c r="CA56" s="29">
        <f>2932-22</f>
        <v>2910</v>
      </c>
      <c r="CB56" s="29">
        <f>+CB55-CB57</f>
        <v>2562.2099999999991</v>
      </c>
      <c r="CC56" s="29">
        <f t="shared" ref="CC56:CH56" si="113">+CC55-CC57</f>
        <v>2497.3199999999997</v>
      </c>
      <c r="CD56" s="29">
        <f>4812-1600</f>
        <v>3212</v>
      </c>
      <c r="CE56" s="29">
        <f t="shared" si="113"/>
        <v>2471.5866000000005</v>
      </c>
      <c r="CF56" s="29">
        <f t="shared" si="113"/>
        <v>2526.3083999999999</v>
      </c>
      <c r="CG56" s="29">
        <f t="shared" si="113"/>
        <v>2466.8435399999998</v>
      </c>
      <c r="CH56" s="29">
        <f t="shared" si="113"/>
        <v>2554.2026580000002</v>
      </c>
      <c r="CI56" s="29"/>
      <c r="CJ56" s="29"/>
      <c r="CK56" s="29"/>
      <c r="CL56" s="29">
        <v>2418</v>
      </c>
      <c r="CM56" s="29">
        <v>2665</v>
      </c>
      <c r="CN56" s="29">
        <v>2717</v>
      </c>
      <c r="CO56" s="29">
        <v>2857</v>
      </c>
      <c r="CP56" s="29">
        <v>3029</v>
      </c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>
        <f>DD55-DD57</f>
        <v>9884.16</v>
      </c>
      <c r="DE56" s="29">
        <f>DE55-DE57</f>
        <v>13479</v>
      </c>
      <c r="DF56" s="49">
        <f>DF55-DF57</f>
        <v>5869</v>
      </c>
      <c r="DG56" s="49">
        <f>SUM(W56:Z56)</f>
        <v>5277</v>
      </c>
      <c r="DH56" s="49">
        <f>SUM(AA56:AD56)</f>
        <v>5598</v>
      </c>
      <c r="DI56" s="29">
        <f t="shared" ref="DI56:DP56" si="114">DI55-DI57</f>
        <v>4743.8999999999996</v>
      </c>
      <c r="DJ56" s="64">
        <f t="shared" si="114"/>
        <v>4036.9454999999998</v>
      </c>
      <c r="DK56" s="64">
        <f t="shared" si="114"/>
        <v>4104.7020000000011</v>
      </c>
      <c r="DL56" s="29">
        <f t="shared" si="114"/>
        <v>4064.2089187500005</v>
      </c>
      <c r="DM56" s="29">
        <f t="shared" si="114"/>
        <v>5031.2845293749997</v>
      </c>
      <c r="DN56" s="29">
        <f t="shared" si="114"/>
        <v>5187.3349066406245</v>
      </c>
      <c r="DO56" s="29">
        <f t="shared" si="114"/>
        <v>5640.25</v>
      </c>
      <c r="DP56" s="29">
        <f t="shared" si="114"/>
        <v>26145</v>
      </c>
      <c r="DQ56" s="29"/>
      <c r="DR56" s="29"/>
      <c r="DS56" s="29">
        <f t="shared" ref="DS56" si="115">SUM(BS56:BV56)</f>
        <v>9942.7799999999988</v>
      </c>
      <c r="DT56" s="29">
        <f t="shared" ref="DT56" si="116">SUM(BW56:BZ56)</f>
        <v>9451.2599999999984</v>
      </c>
      <c r="DU56" s="34">
        <f t="shared" ref="DU56" si="117">SUM(CA56:CD56)</f>
        <v>11181.529999999999</v>
      </c>
      <c r="DV56" s="34">
        <f t="shared" ref="DV56" si="118">SUM(CE56:CH56)</f>
        <v>10018.941198</v>
      </c>
      <c r="DW56" s="24">
        <f>+DW55-DW57</f>
        <v>9883.9317999999912</v>
      </c>
      <c r="DX56" s="24">
        <f t="shared" ref="DX56:EF56" si="119">+DX55-DX57</f>
        <v>10299.7494314</v>
      </c>
      <c r="DY56" s="24">
        <f t="shared" si="119"/>
        <v>9306.2291208280003</v>
      </c>
      <c r="DZ56" s="24">
        <f t="shared" si="119"/>
        <v>8181.9304951983977</v>
      </c>
      <c r="EA56" s="24">
        <f t="shared" si="119"/>
        <v>8265.7572121987178</v>
      </c>
      <c r="EB56" s="24">
        <f t="shared" si="119"/>
        <v>8405.4028100929791</v>
      </c>
      <c r="EC56" s="24">
        <f t="shared" si="119"/>
        <v>8483.659751492858</v>
      </c>
      <c r="ED56" s="24">
        <f t="shared" si="119"/>
        <v>5174.0764812196176</v>
      </c>
      <c r="EE56" s="24">
        <f t="shared" si="119"/>
        <v>4214.5864037106912</v>
      </c>
      <c r="EF56" s="24">
        <f t="shared" si="119"/>
        <v>3011.9403910430847</v>
      </c>
    </row>
    <row r="57" spans="2:136" s="24" customFormat="1" x14ac:dyDescent="0.2">
      <c r="B57" s="24" t="s">
        <v>236</v>
      </c>
      <c r="C57" s="29">
        <f t="shared" ref="C57:Q57" si="120">C55-C56</f>
        <v>5021</v>
      </c>
      <c r="D57" s="29">
        <f t="shared" si="120"/>
        <v>5628</v>
      </c>
      <c r="E57" s="29">
        <f t="shared" si="120"/>
        <v>5408</v>
      </c>
      <c r="F57" s="29">
        <f t="shared" si="120"/>
        <v>5734</v>
      </c>
      <c r="G57" s="29">
        <f t="shared" si="120"/>
        <v>5357</v>
      </c>
      <c r="H57" s="29">
        <f t="shared" si="120"/>
        <v>5582</v>
      </c>
      <c r="I57" s="29">
        <f t="shared" si="120"/>
        <v>4287</v>
      </c>
      <c r="J57" s="29">
        <f t="shared" si="120"/>
        <v>4199</v>
      </c>
      <c r="K57" s="29">
        <f t="shared" si="120"/>
        <v>4812</v>
      </c>
      <c r="L57" s="29">
        <f t="shared" si="120"/>
        <v>5542</v>
      </c>
      <c r="M57" s="29">
        <f t="shared" si="120"/>
        <v>6228</v>
      </c>
      <c r="N57" s="29">
        <f t="shared" si="120"/>
        <v>6674</v>
      </c>
      <c r="O57" s="29">
        <f t="shared" si="120"/>
        <v>6481</v>
      </c>
      <c r="P57" s="29">
        <f t="shared" si="120"/>
        <v>6806</v>
      </c>
      <c r="Q57" s="29">
        <f t="shared" si="120"/>
        <v>6999</v>
      </c>
      <c r="R57" s="29"/>
      <c r="S57" s="29">
        <f t="shared" ref="S57:X57" si="121">S55-S56</f>
        <v>6882</v>
      </c>
      <c r="T57" s="29">
        <f t="shared" si="121"/>
        <v>7442</v>
      </c>
      <c r="U57" s="29">
        <f t="shared" si="121"/>
        <v>7534</v>
      </c>
      <c r="V57" s="29">
        <f t="shared" si="121"/>
        <v>7421</v>
      </c>
      <c r="W57" s="29">
        <f t="shared" si="121"/>
        <v>3501</v>
      </c>
      <c r="X57" s="29">
        <f t="shared" si="121"/>
        <v>7198</v>
      </c>
      <c r="Y57" s="29">
        <f>+Y55-Y56</f>
        <v>3518</v>
      </c>
      <c r="Z57" s="29">
        <f>Z55-Z56</f>
        <v>3697</v>
      </c>
      <c r="AA57" s="49">
        <f t="shared" ref="AA57:AF57" si="122">+AA55-AA56</f>
        <v>3668</v>
      </c>
      <c r="AB57" s="29">
        <f t="shared" si="122"/>
        <v>3953</v>
      </c>
      <c r="AC57" s="29">
        <f t="shared" si="122"/>
        <v>3938</v>
      </c>
      <c r="AD57" s="29">
        <f t="shared" si="122"/>
        <v>4087</v>
      </c>
      <c r="AE57" s="29">
        <f t="shared" si="122"/>
        <v>3948</v>
      </c>
      <c r="AF57" s="29">
        <f t="shared" si="122"/>
        <v>3198</v>
      </c>
      <c r="AG57" s="49">
        <f>AG55-AG56</f>
        <v>2749</v>
      </c>
      <c r="AH57" s="49">
        <f>AH55-AH56</f>
        <v>3116</v>
      </c>
      <c r="AI57" s="49">
        <f>AI55-AI56</f>
        <v>3126</v>
      </c>
      <c r="AJ57" s="49">
        <f>AJ55-AJ56</f>
        <v>2940</v>
      </c>
      <c r="AK57" s="49">
        <f>AK55-AK56</f>
        <v>3322</v>
      </c>
      <c r="AL57" s="29">
        <f t="shared" ref="AL57:AV57" si="123">+AL55-AL56</f>
        <v>3168</v>
      </c>
      <c r="AM57" s="29">
        <f t="shared" si="123"/>
        <v>2843</v>
      </c>
      <c r="AN57" s="29">
        <f t="shared" si="123"/>
        <v>2898</v>
      </c>
      <c r="AO57" s="29">
        <f t="shared" si="123"/>
        <v>3734</v>
      </c>
      <c r="AP57" s="29">
        <f t="shared" si="123"/>
        <v>3292</v>
      </c>
      <c r="AQ57" s="29">
        <f t="shared" si="123"/>
        <v>3194</v>
      </c>
      <c r="AR57" s="29">
        <f t="shared" si="123"/>
        <v>3150</v>
      </c>
      <c r="AS57" s="29">
        <f t="shared" si="123"/>
        <v>2972</v>
      </c>
      <c r="AT57" s="29">
        <f t="shared" si="123"/>
        <v>3335</v>
      </c>
      <c r="AU57" s="29">
        <f t="shared" si="123"/>
        <v>3339</v>
      </c>
      <c r="AV57" s="29">
        <f t="shared" si="123"/>
        <v>3665</v>
      </c>
      <c r="AW57" s="29">
        <f t="shared" ref="AW57" si="124">+AW55-AW56</f>
        <v>3624</v>
      </c>
      <c r="AX57" s="29">
        <f>+AX55-AX56</f>
        <v>3866</v>
      </c>
      <c r="AY57" s="29">
        <f>+AY55-AY56</f>
        <v>3664</v>
      </c>
      <c r="AZ57" s="29">
        <f>+AZ55-AZ56</f>
        <v>3705</v>
      </c>
      <c r="BA57" s="29">
        <f t="shared" ref="BA57" si="125">+BA55-BA56</f>
        <v>3683</v>
      </c>
      <c r="BB57" s="29">
        <f>+BB55-BB56</f>
        <v>3794</v>
      </c>
      <c r="BC57" s="29">
        <f>+BC55-BC56</f>
        <v>3622</v>
      </c>
      <c r="BD57" s="29">
        <f>+BD55-BD56</f>
        <v>4093</v>
      </c>
      <c r="BE57" s="29"/>
      <c r="BF57" s="29"/>
      <c r="BG57" s="29">
        <f t="shared" ref="BG57:BH57" si="126">BG55-BG56</f>
        <v>4096</v>
      </c>
      <c r="BH57" s="29">
        <f t="shared" si="126"/>
        <v>4301</v>
      </c>
      <c r="BI57" s="29"/>
      <c r="BJ57" s="29"/>
      <c r="BK57" s="29">
        <f t="shared" ref="BK57" si="127">BK55-BK56</f>
        <v>8557</v>
      </c>
      <c r="BL57" s="29">
        <f t="shared" ref="BL57:BN57" si="128">BL55-BL56</f>
        <v>7430</v>
      </c>
      <c r="BM57" s="29">
        <f t="shared" si="128"/>
        <v>8038</v>
      </c>
      <c r="BN57" s="29">
        <f t="shared" si="128"/>
        <v>8833</v>
      </c>
      <c r="BO57" s="29">
        <f t="shared" ref="BO57:BQ57" si="129">BO55-BO56</f>
        <v>8649</v>
      </c>
      <c r="BP57" s="29">
        <f t="shared" si="129"/>
        <v>9340</v>
      </c>
      <c r="BQ57" s="29">
        <f t="shared" si="129"/>
        <v>9333</v>
      </c>
      <c r="BR57" s="29">
        <f>BR55-BR56</f>
        <v>9629</v>
      </c>
      <c r="BS57" s="29">
        <f>BS55-BS56</f>
        <v>9229</v>
      </c>
      <c r="BT57" s="29">
        <f t="shared" ref="BT57" si="130">BT55-BT56</f>
        <v>9312</v>
      </c>
      <c r="BU57" s="29">
        <f>+BU55*0.79</f>
        <v>8862.2200000000012</v>
      </c>
      <c r="BV57" s="29">
        <f>+BV55-BV56</f>
        <v>8813</v>
      </c>
      <c r="BW57" s="29">
        <f t="shared" ref="BW57:BZ57" si="131">+BW55*0.79</f>
        <v>8956.23</v>
      </c>
      <c r="BX57" s="29">
        <f t="shared" si="131"/>
        <v>8868.5400000000009</v>
      </c>
      <c r="BY57" s="29">
        <f t="shared" si="131"/>
        <v>8663.1400000000012</v>
      </c>
      <c r="BZ57" s="29">
        <f t="shared" si="131"/>
        <v>9066.83</v>
      </c>
      <c r="CA57" s="29">
        <f>+CA55-CA56</f>
        <v>8955</v>
      </c>
      <c r="CB57" s="29">
        <f>+CB55*0.79</f>
        <v>9638.7900000000009</v>
      </c>
      <c r="CC57" s="29">
        <f>+CC55*0.79</f>
        <v>9394.68</v>
      </c>
      <c r="CD57" s="29">
        <f>+CD55-CD56</f>
        <v>9130</v>
      </c>
      <c r="CE57" s="29">
        <f t="shared" ref="CD57:CH57" si="132">+CE55*0.79</f>
        <v>9297.8734000000004</v>
      </c>
      <c r="CF57" s="29">
        <f t="shared" si="132"/>
        <v>9503.7316000000028</v>
      </c>
      <c r="CG57" s="29">
        <f t="shared" si="132"/>
        <v>9280.0304599999999</v>
      </c>
      <c r="CH57" s="29">
        <f t="shared" si="132"/>
        <v>9608.6671420000002</v>
      </c>
      <c r="CI57" s="29"/>
      <c r="CJ57" s="29"/>
      <c r="CK57" s="29"/>
      <c r="CL57" s="29">
        <f>CL55-CL56</f>
        <v>6160</v>
      </c>
      <c r="CM57" s="29">
        <f>CM55-CM56</f>
        <v>7076</v>
      </c>
      <c r="CN57" s="29">
        <f>CN55-CN56</f>
        <v>7854</v>
      </c>
      <c r="CO57" s="29">
        <f>CO55-CO56</f>
        <v>8299</v>
      </c>
      <c r="CP57" s="29">
        <f>CP55-CP56</f>
        <v>8384</v>
      </c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>
        <f>DD55*0.68</f>
        <v>21003.84</v>
      </c>
      <c r="DE57" s="29">
        <f>SUM(O57:R57)</f>
        <v>20286</v>
      </c>
      <c r="DF57" s="49">
        <f>SUM(S57:V57)</f>
        <v>29279</v>
      </c>
      <c r="DG57" s="49">
        <f>DG55-DG56</f>
        <v>17914</v>
      </c>
      <c r="DH57" s="49">
        <f>DH55-DH56</f>
        <v>15646</v>
      </c>
      <c r="DI57" s="29">
        <f t="shared" ref="DI57:DP57" si="133">DI55*DI87</f>
        <v>12826.1</v>
      </c>
      <c r="DJ57" s="64">
        <f t="shared" si="133"/>
        <v>10914.7045</v>
      </c>
      <c r="DK57" s="64">
        <f t="shared" si="133"/>
        <v>11097.897999999999</v>
      </c>
      <c r="DL57" s="29">
        <f t="shared" si="133"/>
        <v>10988.41670625</v>
      </c>
      <c r="DM57" s="29">
        <f t="shared" si="133"/>
        <v>14319.809814374999</v>
      </c>
      <c r="DN57" s="29">
        <f t="shared" si="133"/>
        <v>15562.004719921873</v>
      </c>
      <c r="DO57" s="29">
        <f t="shared" si="133"/>
        <v>16920.75</v>
      </c>
      <c r="DP57" s="29">
        <f t="shared" si="133"/>
        <v>0</v>
      </c>
      <c r="DQ57" s="29"/>
      <c r="DR57" s="29"/>
      <c r="DS57" s="29">
        <f>+DS55-DS56</f>
        <v>36216.22</v>
      </c>
      <c r="DT57" s="29">
        <f>+DT55-DT56</f>
        <v>35554.740000000005</v>
      </c>
      <c r="DU57" s="29">
        <f>+DU55-DU56</f>
        <v>37118.47</v>
      </c>
      <c r="DV57" s="29">
        <f>+DV55-DV56</f>
        <v>39990.302601999996</v>
      </c>
      <c r="DW57" s="24">
        <f>+DW55*0.8</f>
        <v>39535.727199999994</v>
      </c>
      <c r="DX57" s="24">
        <f t="shared" ref="DX57:EF57" si="134">+DX55*0.8</f>
        <v>41198.997725600006</v>
      </c>
      <c r="DY57" s="24">
        <f t="shared" si="134"/>
        <v>37224.916483312001</v>
      </c>
      <c r="DZ57" s="24">
        <f t="shared" si="134"/>
        <v>32727.721980793602</v>
      </c>
      <c r="EA57" s="24">
        <f t="shared" si="134"/>
        <v>33063.028848794886</v>
      </c>
      <c r="EB57" s="24">
        <f t="shared" si="134"/>
        <v>33621.611240371909</v>
      </c>
      <c r="EC57" s="24">
        <f t="shared" si="134"/>
        <v>33934.639005971454</v>
      </c>
      <c r="ED57" s="24">
        <f t="shared" si="134"/>
        <v>20696.30592487847</v>
      </c>
      <c r="EE57" s="24">
        <f t="shared" si="134"/>
        <v>16858.345614842761</v>
      </c>
      <c r="EF57" s="24">
        <f t="shared" si="134"/>
        <v>12047.761564172342</v>
      </c>
    </row>
    <row r="58" spans="2:136" s="24" customFormat="1" x14ac:dyDescent="0.2">
      <c r="B58" s="24" t="s">
        <v>238</v>
      </c>
      <c r="C58" s="29">
        <v>1183</v>
      </c>
      <c r="D58" s="29">
        <v>1268</v>
      </c>
      <c r="E58" s="29">
        <v>1286</v>
      </c>
      <c r="F58" s="29">
        <v>1369</v>
      </c>
      <c r="G58" s="29">
        <v>1238</v>
      </c>
      <c r="H58" s="29">
        <v>1181</v>
      </c>
      <c r="I58" s="29">
        <v>1189</v>
      </c>
      <c r="J58" s="29">
        <v>1284</v>
      </c>
      <c r="K58" s="29">
        <v>1133</v>
      </c>
      <c r="L58" s="29">
        <v>1209</v>
      </c>
      <c r="M58" s="29">
        <v>1214</v>
      </c>
      <c r="N58" s="29">
        <v>1343</v>
      </c>
      <c r="O58" s="29">
        <v>1223</v>
      </c>
      <c r="P58" s="29">
        <v>1143</v>
      </c>
      <c r="Q58" s="29">
        <v>1171</v>
      </c>
      <c r="R58" s="29">
        <f>Q58</f>
        <v>1171</v>
      </c>
      <c r="S58" s="29">
        <v>1064</v>
      </c>
      <c r="T58" s="29">
        <v>1077</v>
      </c>
      <c r="U58" s="29">
        <v>1117</v>
      </c>
      <c r="V58" s="29">
        <v>1170</v>
      </c>
      <c r="W58" s="29">
        <v>900</v>
      </c>
      <c r="X58" s="29">
        <v>894</v>
      </c>
      <c r="Y58" s="49">
        <v>892</v>
      </c>
      <c r="Z58" s="49">
        <v>1000</v>
      </c>
      <c r="AA58" s="49">
        <v>928</v>
      </c>
      <c r="AB58" s="49">
        <v>1040</v>
      </c>
      <c r="AC58" s="49">
        <v>1019</v>
      </c>
      <c r="AD58" s="49">
        <v>1216</v>
      </c>
      <c r="AE58" s="29">
        <v>1002</v>
      </c>
      <c r="AF58" s="29">
        <v>1004</v>
      </c>
      <c r="AG58" s="49">
        <f>1071+1830</f>
        <v>2901</v>
      </c>
      <c r="AH58" s="49">
        <f>4220-SUM(AE58:AG58)+1830</f>
        <v>1143</v>
      </c>
      <c r="AI58" s="29">
        <v>994</v>
      </c>
      <c r="AJ58" s="29">
        <v>1042</v>
      </c>
      <c r="AK58" s="29">
        <v>980</v>
      </c>
      <c r="AL58" s="29">
        <v>1068</v>
      </c>
      <c r="AM58" s="29">
        <v>957</v>
      </c>
      <c r="AN58" s="29">
        <v>948</v>
      </c>
      <c r="AO58" s="29">
        <v>1029</v>
      </c>
      <c r="AP58" s="29">
        <v>1364</v>
      </c>
      <c r="AQ58" s="29">
        <v>1029</v>
      </c>
      <c r="AR58" s="29">
        <v>1135</v>
      </c>
      <c r="AS58" s="29">
        <v>983</v>
      </c>
      <c r="AT58" s="29">
        <v>1501</v>
      </c>
      <c r="AU58" s="29">
        <v>1068</v>
      </c>
      <c r="AV58" s="29">
        <v>1238</v>
      </c>
      <c r="AW58" s="29">
        <v>1144</v>
      </c>
      <c r="AX58" s="29">
        <v>1461</v>
      </c>
      <c r="AY58" s="29">
        <v>1085</v>
      </c>
      <c r="AZ58" s="29">
        <v>1187</v>
      </c>
      <c r="BA58" s="29">
        <v>1147</v>
      </c>
      <c r="BB58" s="29">
        <v>1299</v>
      </c>
      <c r="BC58" s="29">
        <v>979</v>
      </c>
      <c r="BD58" s="29">
        <v>1131</v>
      </c>
      <c r="BE58" s="29"/>
      <c r="BF58" s="29"/>
      <c r="BG58" s="29">
        <v>1006</v>
      </c>
      <c r="BH58" s="29">
        <v>1076</v>
      </c>
      <c r="BI58" s="29"/>
      <c r="BJ58" s="29"/>
      <c r="BK58" s="29">
        <v>1606</v>
      </c>
      <c r="BL58" s="29">
        <v>1628</v>
      </c>
      <c r="BM58" s="29">
        <v>1706</v>
      </c>
      <c r="BN58" s="29">
        <f>2721-241</f>
        <v>2480</v>
      </c>
      <c r="BO58" s="29">
        <f>1666+1</f>
        <v>1667</v>
      </c>
      <c r="BP58" s="29">
        <f>1882-1</f>
        <v>1881</v>
      </c>
      <c r="BQ58" s="29">
        <v>1788</v>
      </c>
      <c r="BR58" s="29">
        <f>2354-2</f>
        <v>2352</v>
      </c>
      <c r="BS58" s="29">
        <v>1829</v>
      </c>
      <c r="BT58" s="29">
        <f>1787-4</f>
        <v>1783</v>
      </c>
      <c r="BU58" s="29">
        <f>+BU55*0.17</f>
        <v>1907.0600000000002</v>
      </c>
      <c r="BV58" s="29">
        <v>2266</v>
      </c>
      <c r="BW58" s="29">
        <v>1762</v>
      </c>
      <c r="BX58" s="29">
        <f t="shared" ref="BX58:BZ58" si="135">+BX55*0.17</f>
        <v>1908.42</v>
      </c>
      <c r="BY58" s="29">
        <f t="shared" si="135"/>
        <v>1864.22</v>
      </c>
      <c r="BZ58" s="29">
        <f t="shared" si="135"/>
        <v>1951.0900000000001</v>
      </c>
      <c r="CA58" s="29">
        <v>1989</v>
      </c>
      <c r="CB58" s="29">
        <f>+BX58*1.01</f>
        <v>1927.5042000000001</v>
      </c>
      <c r="CC58" s="29">
        <f t="shared" ref="CC58:CH58" si="136">+BY58*1.01</f>
        <v>1882.8622</v>
      </c>
      <c r="CD58" s="29">
        <v>2105</v>
      </c>
      <c r="CE58" s="29">
        <f t="shared" si="136"/>
        <v>2008.89</v>
      </c>
      <c r="CF58" s="29">
        <f t="shared" si="136"/>
        <v>1946.7792420000001</v>
      </c>
      <c r="CG58" s="29">
        <f t="shared" si="136"/>
        <v>1901.690822</v>
      </c>
      <c r="CH58" s="29">
        <f t="shared" si="136"/>
        <v>2126.0500000000002</v>
      </c>
      <c r="CI58" s="29"/>
      <c r="CJ58" s="29"/>
      <c r="CK58" s="29"/>
      <c r="CL58" s="29">
        <v>2461</v>
      </c>
      <c r="CM58" s="29">
        <v>2717</v>
      </c>
      <c r="CN58" s="29">
        <v>2946</v>
      </c>
      <c r="CO58" s="29">
        <v>3075</v>
      </c>
      <c r="CP58" s="29">
        <v>3098</v>
      </c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>
        <v>4900</v>
      </c>
      <c r="DE58" s="29">
        <f>SUM(O58:R58)</f>
        <v>4708</v>
      </c>
      <c r="DF58" s="49">
        <f>SUM(S58:V58)</f>
        <v>4428</v>
      </c>
      <c r="DG58" s="49">
        <f>SUM(W58:Z58)</f>
        <v>3686</v>
      </c>
      <c r="DH58" s="49">
        <f>SUM(AA58:AD58)</f>
        <v>4203</v>
      </c>
      <c r="DI58" s="29">
        <f>+DH58*0.95</f>
        <v>3992.85</v>
      </c>
      <c r="DJ58" s="64">
        <f>+DI58*0.95</f>
        <v>3793.2074999999995</v>
      </c>
      <c r="DK58" s="64">
        <f>+DJ58*0.95</f>
        <v>3603.5471249999996</v>
      </c>
      <c r="DL58" s="29">
        <f>+DK58*0.75</f>
        <v>2702.6603437499998</v>
      </c>
      <c r="DM58" s="29">
        <f>+DL58*0.95</f>
        <v>2567.5273265624996</v>
      </c>
      <c r="DN58" s="29">
        <f>+DM58*0.5</f>
        <v>1283.7636632812498</v>
      </c>
      <c r="DO58" s="29">
        <f t="shared" ref="DO58:DP58" si="137">+DN58*0.5</f>
        <v>641.88183164062491</v>
      </c>
      <c r="DP58" s="29">
        <f t="shared" si="137"/>
        <v>320.94091582031245</v>
      </c>
      <c r="DQ58" s="29"/>
      <c r="DR58" s="29"/>
      <c r="DS58" s="29">
        <f t="shared" ref="DS58" si="138">SUM(BS58:BV58)</f>
        <v>7785.06</v>
      </c>
      <c r="DT58" s="29">
        <f t="shared" ref="DT58" si="139">SUM(BW58:BZ58)</f>
        <v>7485.7300000000005</v>
      </c>
      <c r="DU58" s="34">
        <f t="shared" ref="DU58:DU60" si="140">SUM(CA58:CD58)</f>
        <v>7904.3664000000008</v>
      </c>
      <c r="DV58" s="34">
        <f t="shared" ref="DV58:DV60" si="141">SUM(CE58:CH58)</f>
        <v>7983.4100640000006</v>
      </c>
      <c r="DW58" s="24">
        <f>+DW55*0.15</f>
        <v>7412.948849999997</v>
      </c>
      <c r="DX58" s="24">
        <f t="shared" ref="DX58:EF58" si="142">+DX55*0.15</f>
        <v>7724.8120735500006</v>
      </c>
      <c r="DY58" s="24">
        <f t="shared" si="142"/>
        <v>6979.6718406210002</v>
      </c>
      <c r="DZ58" s="24">
        <f t="shared" si="142"/>
        <v>6136.4478713988001</v>
      </c>
      <c r="EA58" s="24">
        <f t="shared" si="142"/>
        <v>6199.3179091490401</v>
      </c>
      <c r="EB58" s="24">
        <f t="shared" si="142"/>
        <v>6304.0521075697334</v>
      </c>
      <c r="EC58" s="24">
        <f t="shared" si="142"/>
        <v>6362.7448136196463</v>
      </c>
      <c r="ED58" s="24">
        <f t="shared" si="142"/>
        <v>3880.5573609147132</v>
      </c>
      <c r="EE58" s="24">
        <f t="shared" si="142"/>
        <v>3160.939802783018</v>
      </c>
      <c r="EF58" s="24">
        <f t="shared" si="142"/>
        <v>2258.955293282314</v>
      </c>
    </row>
    <row r="59" spans="2:136" s="24" customFormat="1" x14ac:dyDescent="0.2">
      <c r="B59" s="24" t="s">
        <v>101</v>
      </c>
      <c r="C59" s="29">
        <v>318</v>
      </c>
      <c r="D59" s="29">
        <v>365</v>
      </c>
      <c r="E59" s="29">
        <v>349</v>
      </c>
      <c r="F59" s="29">
        <v>444</v>
      </c>
      <c r="G59" s="29">
        <v>295</v>
      </c>
      <c r="H59" s="29">
        <v>352</v>
      </c>
      <c r="I59" s="29">
        <v>286</v>
      </c>
      <c r="J59" s="29">
        <v>415</v>
      </c>
      <c r="K59" s="29">
        <v>268</v>
      </c>
      <c r="L59" s="29">
        <v>368</v>
      </c>
      <c r="M59" s="29">
        <v>351</v>
      </c>
      <c r="N59" s="29">
        <v>483</v>
      </c>
      <c r="O59" s="29">
        <v>330</v>
      </c>
      <c r="P59" s="29">
        <v>420</v>
      </c>
      <c r="Q59" s="29">
        <v>362</v>
      </c>
      <c r="R59" s="29">
        <f>Q59</f>
        <v>362</v>
      </c>
      <c r="S59" s="29">
        <v>324</v>
      </c>
      <c r="T59" s="29">
        <v>400</v>
      </c>
      <c r="U59" s="29">
        <v>361</v>
      </c>
      <c r="V59" s="29">
        <v>334</v>
      </c>
      <c r="W59" s="29">
        <v>212</v>
      </c>
      <c r="X59" s="29">
        <v>263</v>
      </c>
      <c r="Y59" s="49">
        <v>231</v>
      </c>
      <c r="Z59" s="49">
        <v>271</v>
      </c>
      <c r="AA59" s="49">
        <v>214</v>
      </c>
      <c r="AB59" s="49">
        <v>253</v>
      </c>
      <c r="AC59" s="49">
        <v>205</v>
      </c>
      <c r="AD59" s="49">
        <v>285</v>
      </c>
      <c r="AE59" s="29">
        <v>194</v>
      </c>
      <c r="AF59" s="29">
        <v>224</v>
      </c>
      <c r="AG59" s="49">
        <v>167</v>
      </c>
      <c r="AH59" s="49">
        <f>797-SUM(AE59:AG59)</f>
        <v>212</v>
      </c>
      <c r="AI59" s="29">
        <v>189</v>
      </c>
      <c r="AJ59" s="29">
        <v>218</v>
      </c>
      <c r="AK59" s="29">
        <v>194</v>
      </c>
      <c r="AL59" s="29">
        <v>254</v>
      </c>
      <c r="AM59" s="29">
        <v>163</v>
      </c>
      <c r="AN59" s="29">
        <v>187</v>
      </c>
      <c r="AO59" s="29">
        <v>171</v>
      </c>
      <c r="AP59" s="29"/>
      <c r="AQ59" s="29"/>
      <c r="AR59" s="29"/>
      <c r="AS59" s="29">
        <v>193</v>
      </c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>
        <v>1073</v>
      </c>
      <c r="CM59" s="29">
        <v>1189</v>
      </c>
      <c r="CN59" s="29">
        <v>1263</v>
      </c>
      <c r="CO59" s="29">
        <v>1291</v>
      </c>
      <c r="CP59" s="29">
        <v>1255</v>
      </c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>
        <v>1400</v>
      </c>
      <c r="DE59" s="29">
        <f>SUM(O59:R59)</f>
        <v>1474</v>
      </c>
      <c r="DF59" s="49">
        <f>SUM(S59:V59)</f>
        <v>1419</v>
      </c>
      <c r="DG59" s="49">
        <f>SUM(W59:Z59)</f>
        <v>977</v>
      </c>
      <c r="DH59" s="49">
        <f>SUM(AA59:AD59)</f>
        <v>957</v>
      </c>
      <c r="DI59" s="29">
        <f t="shared" ref="DI59:DP59" si="143">DI55*0.06</f>
        <v>1054.2</v>
      </c>
      <c r="DJ59" s="64">
        <f t="shared" si="143"/>
        <v>897.09899999999993</v>
      </c>
      <c r="DK59" s="64">
        <f t="shared" si="143"/>
        <v>912.15599999999995</v>
      </c>
      <c r="DL59" s="29">
        <f t="shared" si="143"/>
        <v>903.15753749999999</v>
      </c>
      <c r="DM59" s="29">
        <f t="shared" si="143"/>
        <v>1161.065660625</v>
      </c>
      <c r="DN59" s="29">
        <f t="shared" si="143"/>
        <v>1244.9603775937499</v>
      </c>
      <c r="DO59" s="29">
        <f t="shared" si="143"/>
        <v>1353.6599999999999</v>
      </c>
      <c r="DP59" s="29">
        <f t="shared" si="143"/>
        <v>1568.7</v>
      </c>
      <c r="DQ59" s="29"/>
      <c r="DR59" s="29"/>
      <c r="DS59" s="29"/>
      <c r="DT59" s="29"/>
      <c r="DU59" s="34"/>
      <c r="DV59" s="34"/>
    </row>
    <row r="60" spans="2:136" s="24" customFormat="1" x14ac:dyDescent="0.2">
      <c r="B60" s="24" t="s">
        <v>102</v>
      </c>
      <c r="C60" s="29">
        <v>653</v>
      </c>
      <c r="D60" s="29">
        <v>649</v>
      </c>
      <c r="E60" s="29">
        <v>669</v>
      </c>
      <c r="F60" s="29">
        <v>775</v>
      </c>
      <c r="G60" s="29">
        <v>750</v>
      </c>
      <c r="H60" s="29">
        <v>740</v>
      </c>
      <c r="I60" s="29">
        <v>756</v>
      </c>
      <c r="J60" s="29">
        <v>799</v>
      </c>
      <c r="K60" s="29">
        <v>791</v>
      </c>
      <c r="L60" s="29">
        <v>778</v>
      </c>
      <c r="M60" s="29">
        <v>827</v>
      </c>
      <c r="N60" s="29">
        <v>908</v>
      </c>
      <c r="O60" s="29">
        <v>795</v>
      </c>
      <c r="P60" s="29">
        <v>795</v>
      </c>
      <c r="Q60" s="29">
        <v>797</v>
      </c>
      <c r="R60" s="29">
        <f>Q60</f>
        <v>797</v>
      </c>
      <c r="S60" s="29">
        <v>923</v>
      </c>
      <c r="T60" s="29">
        <v>829</v>
      </c>
      <c r="U60" s="29">
        <v>838</v>
      </c>
      <c r="V60" s="29">
        <v>1108</v>
      </c>
      <c r="W60" s="29">
        <v>910</v>
      </c>
      <c r="X60" s="29">
        <v>822</v>
      </c>
      <c r="Y60" s="49">
        <v>824</v>
      </c>
      <c r="Z60" s="49">
        <v>1010</v>
      </c>
      <c r="AA60" s="49">
        <v>935</v>
      </c>
      <c r="AB60" s="49">
        <v>923</v>
      </c>
      <c r="AC60" s="49">
        <v>973</v>
      </c>
      <c r="AD60" s="49">
        <v>1008</v>
      </c>
      <c r="AE60" s="29">
        <v>909</v>
      </c>
      <c r="AF60" s="29">
        <v>962</v>
      </c>
      <c r="AG60" s="49">
        <v>951</v>
      </c>
      <c r="AH60" s="49">
        <f>3904-SUM(AE60:AG60)</f>
        <v>1082</v>
      </c>
      <c r="AI60" s="29">
        <v>930</v>
      </c>
      <c r="AJ60" s="29">
        <v>951</v>
      </c>
      <c r="AK60" s="29">
        <v>893</v>
      </c>
      <c r="AL60" s="29">
        <v>957</v>
      </c>
      <c r="AM60" s="29">
        <v>946</v>
      </c>
      <c r="AN60" s="29">
        <v>958</v>
      </c>
      <c r="AO60" s="29">
        <v>983</v>
      </c>
      <c r="AP60" s="29">
        <v>1189</v>
      </c>
      <c r="AQ60" s="29">
        <v>1016</v>
      </c>
      <c r="AR60" s="29">
        <v>1856</v>
      </c>
      <c r="AS60" s="29">
        <v>1132</v>
      </c>
      <c r="AT60" s="29">
        <v>1916</v>
      </c>
      <c r="AU60" s="29">
        <v>1136</v>
      </c>
      <c r="AV60" s="29">
        <v>1266</v>
      </c>
      <c r="AW60" s="29">
        <v>1079</v>
      </c>
      <c r="AX60" s="29">
        <v>1214</v>
      </c>
      <c r="AY60" s="29">
        <v>1106</v>
      </c>
      <c r="AZ60" s="29">
        <v>1190</v>
      </c>
      <c r="BA60" s="29">
        <v>1169</v>
      </c>
      <c r="BB60" s="29">
        <v>1393</v>
      </c>
      <c r="BC60" s="29">
        <v>1170</v>
      </c>
      <c r="BD60" s="29">
        <v>1341</v>
      </c>
      <c r="BE60" s="29"/>
      <c r="BF60" s="29"/>
      <c r="BG60" s="29">
        <v>1348</v>
      </c>
      <c r="BH60" s="29">
        <v>1325</v>
      </c>
      <c r="BI60" s="29"/>
      <c r="BJ60" s="29"/>
      <c r="BK60" s="29">
        <v>2372</v>
      </c>
      <c r="BL60" s="29">
        <v>2522</v>
      </c>
      <c r="BM60" s="29">
        <v>2499</v>
      </c>
      <c r="BN60" s="29">
        <f>3750-1213</f>
        <v>2537</v>
      </c>
      <c r="BO60" s="29">
        <f>2219-1</f>
        <v>2218</v>
      </c>
      <c r="BP60" s="29">
        <f>2478-230</f>
        <v>2248</v>
      </c>
      <c r="BQ60" s="29">
        <v>3251</v>
      </c>
      <c r="BR60" s="29">
        <v>2607</v>
      </c>
      <c r="BS60" s="29">
        <v>2133</v>
      </c>
      <c r="BT60" s="29">
        <f>2321-21</f>
        <v>2300</v>
      </c>
      <c r="BU60" s="29">
        <f>+BQ60</f>
        <v>3251</v>
      </c>
      <c r="BV60" s="29">
        <v>2510</v>
      </c>
      <c r="BW60" s="29">
        <v>2206</v>
      </c>
      <c r="BX60" s="29">
        <f t="shared" ref="BX60:BZ60" si="144">+BT60</f>
        <v>2300</v>
      </c>
      <c r="BY60" s="29">
        <f t="shared" si="144"/>
        <v>3251</v>
      </c>
      <c r="BZ60" s="29">
        <f t="shared" si="144"/>
        <v>2510</v>
      </c>
      <c r="CA60" s="29">
        <v>2346</v>
      </c>
      <c r="CB60" s="29">
        <f>+BX60*1.01</f>
        <v>2323</v>
      </c>
      <c r="CC60" s="29">
        <f>+CB60</f>
        <v>2323</v>
      </c>
      <c r="CD60" s="29">
        <v>2788</v>
      </c>
      <c r="CE60" s="29">
        <f t="shared" ref="CE60" si="145">+CA60*1.01</f>
        <v>2369.46</v>
      </c>
      <c r="CF60" s="29">
        <f t="shared" ref="CF60" si="146">+CB60*1.01</f>
        <v>2346.23</v>
      </c>
      <c r="CG60" s="29">
        <f t="shared" ref="CG60" si="147">+CC60*1.01</f>
        <v>2346.23</v>
      </c>
      <c r="CH60" s="29">
        <f t="shared" ref="CH60" si="148">+CD60*1.01</f>
        <v>2815.88</v>
      </c>
      <c r="CI60" s="29"/>
      <c r="CJ60" s="29"/>
      <c r="CK60" s="29"/>
      <c r="CL60" s="29">
        <v>781</v>
      </c>
      <c r="CM60" s="29">
        <v>873</v>
      </c>
      <c r="CN60" s="29">
        <v>983</v>
      </c>
      <c r="CO60" s="29">
        <v>1083</v>
      </c>
      <c r="CP60" s="29">
        <v>1128</v>
      </c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>
        <v>3300</v>
      </c>
      <c r="DE60" s="29">
        <f>SUM(O60:R60)</f>
        <v>3184</v>
      </c>
      <c r="DF60" s="49">
        <f>SUM(S60:V60)</f>
        <v>3698</v>
      </c>
      <c r="DG60" s="49">
        <f>SUM(W60:Z60)</f>
        <v>3566</v>
      </c>
      <c r="DH60" s="49">
        <f>SUM(AA60:AD60)</f>
        <v>3839</v>
      </c>
      <c r="DI60" s="29"/>
      <c r="DJ60" s="64"/>
      <c r="DK60" s="64"/>
      <c r="DL60" s="29"/>
      <c r="DM60" s="29"/>
      <c r="DN60" s="29"/>
      <c r="DO60" s="29"/>
      <c r="DP60" s="29"/>
      <c r="DQ60" s="29"/>
      <c r="DR60" s="29"/>
      <c r="DS60" s="29">
        <f t="shared" ref="DS60" si="149">SUM(BS60:BV60)</f>
        <v>10194</v>
      </c>
      <c r="DT60" s="29">
        <f t="shared" ref="DT60" si="150">SUM(BW60:BZ60)</f>
        <v>10267</v>
      </c>
      <c r="DU60" s="34">
        <f t="shared" si="140"/>
        <v>9780</v>
      </c>
      <c r="DV60" s="34">
        <f t="shared" si="141"/>
        <v>9877.7999999999993</v>
      </c>
    </row>
    <row r="61" spans="2:136" x14ac:dyDescent="0.2">
      <c r="B61" s="1" t="s">
        <v>244</v>
      </c>
      <c r="C61" s="29">
        <f t="shared" ref="C61:R61" si="151">C60+C59+C58</f>
        <v>2154</v>
      </c>
      <c r="D61" s="29">
        <f t="shared" si="151"/>
        <v>2282</v>
      </c>
      <c r="E61" s="29">
        <f t="shared" si="151"/>
        <v>2304</v>
      </c>
      <c r="F61" s="29">
        <f t="shared" si="151"/>
        <v>2588</v>
      </c>
      <c r="G61" s="29">
        <f t="shared" si="151"/>
        <v>2283</v>
      </c>
      <c r="H61" s="29">
        <f t="shared" si="151"/>
        <v>2273</v>
      </c>
      <c r="I61" s="29">
        <f t="shared" si="151"/>
        <v>2231</v>
      </c>
      <c r="J61" s="29">
        <f t="shared" si="151"/>
        <v>2498</v>
      </c>
      <c r="K61" s="29">
        <f t="shared" si="151"/>
        <v>2192</v>
      </c>
      <c r="L61" s="29">
        <f t="shared" si="151"/>
        <v>2355</v>
      </c>
      <c r="M61" s="29">
        <f t="shared" si="151"/>
        <v>2392</v>
      </c>
      <c r="N61" s="29">
        <f t="shared" si="151"/>
        <v>2734</v>
      </c>
      <c r="O61" s="29">
        <f t="shared" si="151"/>
        <v>2348</v>
      </c>
      <c r="P61" s="29">
        <f>P60+P59+P58</f>
        <v>2358</v>
      </c>
      <c r="Q61" s="29">
        <f>Q60+Q59+Q58</f>
        <v>2330</v>
      </c>
      <c r="R61" s="29">
        <f t="shared" si="151"/>
        <v>2330</v>
      </c>
      <c r="S61" s="29">
        <f t="shared" ref="S61:Z61" si="152">S60+S59+S58</f>
        <v>2311</v>
      </c>
      <c r="T61" s="29">
        <f t="shared" si="152"/>
        <v>2306</v>
      </c>
      <c r="U61" s="29">
        <f t="shared" si="152"/>
        <v>2316</v>
      </c>
      <c r="V61" s="29">
        <f t="shared" si="152"/>
        <v>2612</v>
      </c>
      <c r="W61" s="29">
        <f t="shared" si="152"/>
        <v>2022</v>
      </c>
      <c r="X61" s="29">
        <f t="shared" si="152"/>
        <v>1979</v>
      </c>
      <c r="Y61" s="29">
        <f t="shared" si="152"/>
        <v>1947</v>
      </c>
      <c r="Z61" s="49">
        <f t="shared" si="152"/>
        <v>2281</v>
      </c>
      <c r="AA61" s="49">
        <f t="shared" ref="AA61:AK61" si="153">AA60+AA59+AA58</f>
        <v>2077</v>
      </c>
      <c r="AB61" s="29">
        <f t="shared" si="153"/>
        <v>2216</v>
      </c>
      <c r="AC61" s="29">
        <f t="shared" si="153"/>
        <v>2197</v>
      </c>
      <c r="AD61" s="29">
        <f t="shared" si="153"/>
        <v>2509</v>
      </c>
      <c r="AE61" s="29">
        <f t="shared" si="153"/>
        <v>2105</v>
      </c>
      <c r="AF61" s="29">
        <f>AF60+AF59+AF58</f>
        <v>2190</v>
      </c>
      <c r="AG61" s="49">
        <f t="shared" si="153"/>
        <v>4019</v>
      </c>
      <c r="AH61" s="49">
        <f t="shared" si="153"/>
        <v>2437</v>
      </c>
      <c r="AI61" s="49">
        <f t="shared" si="153"/>
        <v>2113</v>
      </c>
      <c r="AJ61" s="49">
        <f t="shared" si="153"/>
        <v>2211</v>
      </c>
      <c r="AK61" s="49">
        <f t="shared" si="153"/>
        <v>2067</v>
      </c>
      <c r="AL61" s="49">
        <f>AL60+AL59+AL58</f>
        <v>2279</v>
      </c>
      <c r="AM61" s="49">
        <f>AM60+AM59+AM58</f>
        <v>2066</v>
      </c>
      <c r="AN61" s="49">
        <f>AN60+AN59+AN58</f>
        <v>2093</v>
      </c>
      <c r="AO61" s="49">
        <f>AO60+AO59+AO58</f>
        <v>2183</v>
      </c>
      <c r="AP61" s="29">
        <f t="shared" ref="AP61" si="154">SUM(AP58:AP60)</f>
        <v>2553</v>
      </c>
      <c r="AQ61" s="29">
        <f t="shared" ref="AQ61:AR61" si="155">SUM(AQ58:AQ60)</f>
        <v>2045</v>
      </c>
      <c r="AR61" s="29">
        <f t="shared" si="155"/>
        <v>2991</v>
      </c>
      <c r="AS61" s="29">
        <f t="shared" ref="AS61" si="156">SUM(AS58:AS60)</f>
        <v>2308</v>
      </c>
      <c r="AT61" s="29">
        <f t="shared" ref="AT61" si="157">SUM(AT58:AT60)</f>
        <v>3417</v>
      </c>
      <c r="AU61" s="29">
        <f t="shared" ref="AU61:AV61" si="158">SUM(AU58:AU60)</f>
        <v>2204</v>
      </c>
      <c r="AV61" s="29">
        <f t="shared" si="158"/>
        <v>2504</v>
      </c>
      <c r="AW61" s="29">
        <f t="shared" ref="AW61:AX61" si="159">SUM(AW58:AW60)</f>
        <v>2223</v>
      </c>
      <c r="AX61" s="29">
        <f t="shared" si="159"/>
        <v>2675</v>
      </c>
      <c r="AY61" s="29">
        <f t="shared" ref="AY61:AZ61" si="160">SUM(AY58:AY60)</f>
        <v>2191</v>
      </c>
      <c r="AZ61" s="29">
        <f t="shared" si="160"/>
        <v>2377</v>
      </c>
      <c r="BA61" s="29">
        <f t="shared" ref="BA61:BB61" si="161">SUM(BA58:BA60)</f>
        <v>2316</v>
      </c>
      <c r="BB61" s="29">
        <f t="shared" si="161"/>
        <v>2692</v>
      </c>
      <c r="BC61" s="29">
        <f t="shared" ref="BC61:BD61" si="162">SUM(BC58:BC60)</f>
        <v>2149</v>
      </c>
      <c r="BD61" s="29">
        <f t="shared" si="162"/>
        <v>2472</v>
      </c>
      <c r="BG61" s="29">
        <f t="shared" ref="BG61:BH61" si="163">SUM(BG58:BG60)</f>
        <v>2354</v>
      </c>
      <c r="BH61" s="29">
        <f t="shared" si="163"/>
        <v>2401</v>
      </c>
      <c r="BK61" s="29">
        <f t="shared" ref="BK61" si="164">SUM(BK58:BK60)</f>
        <v>3978</v>
      </c>
      <c r="BL61" s="29">
        <f t="shared" ref="BL61:BN61" si="165">SUM(BL58:BL60)</f>
        <v>4150</v>
      </c>
      <c r="BM61" s="29">
        <f t="shared" si="165"/>
        <v>4205</v>
      </c>
      <c r="BN61" s="29">
        <f t="shared" si="165"/>
        <v>5017</v>
      </c>
      <c r="BO61" s="29">
        <f t="shared" ref="BO61:BR61" si="166">SUM(BO58:BO60)</f>
        <v>3885</v>
      </c>
      <c r="BP61" s="29">
        <f t="shared" si="166"/>
        <v>4129</v>
      </c>
      <c r="BQ61" s="29">
        <f t="shared" si="166"/>
        <v>5039</v>
      </c>
      <c r="BR61" s="29">
        <f t="shared" si="166"/>
        <v>4959</v>
      </c>
      <c r="BS61" s="29">
        <f>SUM(BS58:BS60)</f>
        <v>3962</v>
      </c>
      <c r="BT61" s="29">
        <f>SUM(BT58:BT60)</f>
        <v>4083</v>
      </c>
      <c r="BU61" s="29">
        <f>SUM(BU58:BU60)</f>
        <v>5158.0600000000004</v>
      </c>
      <c r="BV61" s="29">
        <f t="shared" ref="BV61:BZ61" si="167">SUM(BV58:BV60)</f>
        <v>4776</v>
      </c>
      <c r="BW61" s="29">
        <f t="shared" si="167"/>
        <v>3968</v>
      </c>
      <c r="BX61" s="29">
        <f t="shared" si="167"/>
        <v>4208.42</v>
      </c>
      <c r="BY61" s="29">
        <f t="shared" si="167"/>
        <v>5115.22</v>
      </c>
      <c r="BZ61" s="29">
        <f t="shared" si="167"/>
        <v>4461.09</v>
      </c>
      <c r="CA61" s="29">
        <f t="shared" ref="CA61:CH61" si="168">SUM(CA58:CA60)</f>
        <v>4335</v>
      </c>
      <c r="CB61" s="29">
        <f t="shared" si="168"/>
        <v>4250.5042000000003</v>
      </c>
      <c r="CC61" s="29">
        <f t="shared" si="168"/>
        <v>4205.8621999999996</v>
      </c>
      <c r="CD61" s="29">
        <f t="shared" si="168"/>
        <v>4893</v>
      </c>
      <c r="CE61" s="29">
        <f t="shared" si="168"/>
        <v>4378.3500000000004</v>
      </c>
      <c r="CF61" s="29">
        <f t="shared" si="168"/>
        <v>4293.0092420000001</v>
      </c>
      <c r="CG61" s="29">
        <f t="shared" si="168"/>
        <v>4247.920822</v>
      </c>
      <c r="CH61" s="29">
        <f t="shared" si="168"/>
        <v>4941.93</v>
      </c>
      <c r="CL61" s="29">
        <f>CL60+CL59+CL58</f>
        <v>4315</v>
      </c>
      <c r="CM61" s="29">
        <f>CM60+CM59+CM58</f>
        <v>4779</v>
      </c>
      <c r="CN61" s="29">
        <f>CN60+CN59+CN58</f>
        <v>5192</v>
      </c>
      <c r="CO61" s="29">
        <f>CO60+CO59+CO58</f>
        <v>5449</v>
      </c>
      <c r="CP61" s="29">
        <f>CP60+CP59+CP58</f>
        <v>5481</v>
      </c>
      <c r="DD61" s="29"/>
      <c r="DE61" s="29">
        <f t="shared" ref="DE61:DN61" si="169">SUM(DE58:DE60)</f>
        <v>9366</v>
      </c>
      <c r="DF61" s="49">
        <f t="shared" si="169"/>
        <v>9545</v>
      </c>
      <c r="DG61" s="49">
        <f t="shared" si="169"/>
        <v>8229</v>
      </c>
      <c r="DH61" s="49">
        <f t="shared" si="169"/>
        <v>8999</v>
      </c>
      <c r="DI61" s="29">
        <f t="shared" si="169"/>
        <v>5047.05</v>
      </c>
      <c r="DJ61" s="64">
        <f t="shared" si="169"/>
        <v>4690.3064999999997</v>
      </c>
      <c r="DK61" s="64">
        <f t="shared" si="169"/>
        <v>4515.703125</v>
      </c>
      <c r="DL61" s="29">
        <f t="shared" si="169"/>
        <v>3605.81788125</v>
      </c>
      <c r="DM61" s="29">
        <f t="shared" si="169"/>
        <v>3728.5929871874996</v>
      </c>
      <c r="DN61" s="29">
        <f t="shared" si="169"/>
        <v>2528.7240408749994</v>
      </c>
      <c r="DO61" s="29">
        <f t="shared" ref="DO61:DR61" si="170">SUM(DO58:DO60)</f>
        <v>1995.5418316406249</v>
      </c>
      <c r="DP61" s="29">
        <f t="shared" si="170"/>
        <v>1889.6409158203126</v>
      </c>
      <c r="DQ61" s="29">
        <f>SUM(DQ58:DQ60)</f>
        <v>0</v>
      </c>
      <c r="DR61" s="29">
        <f t="shared" si="170"/>
        <v>0</v>
      </c>
      <c r="DS61" s="29">
        <f>SUM(DS58:DS60)</f>
        <v>17979.060000000001</v>
      </c>
      <c r="DT61" s="29">
        <f>SUM(DT58:DT60)</f>
        <v>17752.73</v>
      </c>
      <c r="DU61" s="29">
        <f>SUM(DU58:DU60)</f>
        <v>17684.366399999999</v>
      </c>
      <c r="DV61" s="29">
        <f>SUM(DV58:DV60)</f>
        <v>17861.210063999999</v>
      </c>
      <c r="DW61" s="29">
        <f t="shared" ref="DW61:EF61" si="171">SUM(DW58:DW60)</f>
        <v>7412.948849999997</v>
      </c>
      <c r="DX61" s="29">
        <f t="shared" si="171"/>
        <v>7724.8120735500006</v>
      </c>
      <c r="DY61" s="29">
        <f t="shared" si="171"/>
        <v>6979.6718406210002</v>
      </c>
      <c r="DZ61" s="29">
        <f t="shared" si="171"/>
        <v>6136.4478713988001</v>
      </c>
      <c r="EA61" s="29">
        <f t="shared" si="171"/>
        <v>6199.3179091490401</v>
      </c>
      <c r="EB61" s="29">
        <f t="shared" si="171"/>
        <v>6304.0521075697334</v>
      </c>
      <c r="EC61" s="29">
        <f t="shared" si="171"/>
        <v>6362.7448136196463</v>
      </c>
      <c r="ED61" s="29">
        <f t="shared" si="171"/>
        <v>3880.5573609147132</v>
      </c>
      <c r="EE61" s="29">
        <f t="shared" si="171"/>
        <v>3160.939802783018</v>
      </c>
      <c r="EF61" s="29">
        <f t="shared" si="171"/>
        <v>2258.955293282314</v>
      </c>
    </row>
    <row r="62" spans="2:136" x14ac:dyDescent="0.2">
      <c r="B62" s="1" t="s">
        <v>243</v>
      </c>
      <c r="C62" s="29">
        <f t="shared" ref="C62:R62" si="172">C57-C61</f>
        <v>2867</v>
      </c>
      <c r="D62" s="29">
        <f t="shared" si="172"/>
        <v>3346</v>
      </c>
      <c r="E62" s="29">
        <f t="shared" si="172"/>
        <v>3104</v>
      </c>
      <c r="F62" s="29">
        <f t="shared" si="172"/>
        <v>3146</v>
      </c>
      <c r="G62" s="29">
        <f t="shared" si="172"/>
        <v>3074</v>
      </c>
      <c r="H62" s="29">
        <f t="shared" si="172"/>
        <v>3309</v>
      </c>
      <c r="I62" s="29">
        <f t="shared" si="172"/>
        <v>2056</v>
      </c>
      <c r="J62" s="29">
        <f t="shared" si="172"/>
        <v>1701</v>
      </c>
      <c r="K62" s="29">
        <f t="shared" si="172"/>
        <v>2620</v>
      </c>
      <c r="L62" s="29">
        <f t="shared" si="172"/>
        <v>3187</v>
      </c>
      <c r="M62" s="29">
        <f t="shared" si="172"/>
        <v>3836</v>
      </c>
      <c r="N62" s="29">
        <f t="shared" si="172"/>
        <v>3940</v>
      </c>
      <c r="O62" s="29">
        <f t="shared" si="172"/>
        <v>4133</v>
      </c>
      <c r="P62" s="29">
        <f>P57-P61</f>
        <v>4448</v>
      </c>
      <c r="Q62" s="29">
        <f>Q57-Q61</f>
        <v>4669</v>
      </c>
      <c r="R62" s="29">
        <f t="shared" si="172"/>
        <v>-2330</v>
      </c>
      <c r="S62" s="29">
        <f t="shared" ref="S62:Z62" si="173">S57-S61</f>
        <v>4571</v>
      </c>
      <c r="T62" s="29">
        <f t="shared" si="173"/>
        <v>5136</v>
      </c>
      <c r="U62" s="29">
        <f t="shared" si="173"/>
        <v>5218</v>
      </c>
      <c r="V62" s="29">
        <f t="shared" si="173"/>
        <v>4809</v>
      </c>
      <c r="W62" s="29">
        <f t="shared" si="173"/>
        <v>1479</v>
      </c>
      <c r="X62" s="29">
        <f t="shared" si="173"/>
        <v>5219</v>
      </c>
      <c r="Y62" s="29">
        <f t="shared" si="173"/>
        <v>1571</v>
      </c>
      <c r="Z62" s="49">
        <f t="shared" si="173"/>
        <v>1416</v>
      </c>
      <c r="AA62" s="49">
        <f t="shared" ref="AA62:AK62" si="174">AA57-AA61</f>
        <v>1591</v>
      </c>
      <c r="AB62" s="29">
        <f t="shared" si="174"/>
        <v>1737</v>
      </c>
      <c r="AC62" s="29">
        <f t="shared" si="174"/>
        <v>1741</v>
      </c>
      <c r="AD62" s="29">
        <f t="shared" si="174"/>
        <v>1578</v>
      </c>
      <c r="AE62" s="29">
        <f t="shared" si="174"/>
        <v>1843</v>
      </c>
      <c r="AF62" s="29">
        <f>AF57-AF61</f>
        <v>1008</v>
      </c>
      <c r="AG62" s="49">
        <f t="shared" si="174"/>
        <v>-1270</v>
      </c>
      <c r="AH62" s="49">
        <f t="shared" si="174"/>
        <v>679</v>
      </c>
      <c r="AI62" s="49">
        <f t="shared" si="174"/>
        <v>1013</v>
      </c>
      <c r="AJ62" s="49">
        <f t="shared" si="174"/>
        <v>729</v>
      </c>
      <c r="AK62" s="49">
        <f t="shared" si="174"/>
        <v>1255</v>
      </c>
      <c r="AL62" s="49">
        <f>AL57-AL61</f>
        <v>889</v>
      </c>
      <c r="AM62" s="49">
        <f>AM57-AM61</f>
        <v>777</v>
      </c>
      <c r="AN62" s="49">
        <f>AN57-AN61</f>
        <v>805</v>
      </c>
      <c r="AO62" s="49">
        <f>AO57-AO61</f>
        <v>1551</v>
      </c>
      <c r="AP62" s="29">
        <f t="shared" ref="AP62" si="175">AP57-AP61</f>
        <v>739</v>
      </c>
      <c r="AQ62" s="29">
        <f t="shared" ref="AQ62:AR62" si="176">AQ57-AQ61</f>
        <v>1149</v>
      </c>
      <c r="AR62" s="29">
        <f t="shared" si="176"/>
        <v>159</v>
      </c>
      <c r="AS62" s="29">
        <f t="shared" ref="AS62" si="177">AS57-AS61</f>
        <v>664</v>
      </c>
      <c r="AT62" s="29">
        <f t="shared" ref="AT62:AV62" si="178">AT57-AT61</f>
        <v>-82</v>
      </c>
      <c r="AU62" s="29">
        <f t="shared" si="178"/>
        <v>1135</v>
      </c>
      <c r="AV62" s="29">
        <f t="shared" si="178"/>
        <v>1161</v>
      </c>
      <c r="AW62" s="29">
        <f t="shared" ref="AW62:AX62" si="179">AW57-AW61</f>
        <v>1401</v>
      </c>
      <c r="AX62" s="29">
        <f t="shared" si="179"/>
        <v>1191</v>
      </c>
      <c r="AY62" s="29">
        <f t="shared" ref="AY62:AZ62" si="180">AY57-AY61</f>
        <v>1473</v>
      </c>
      <c r="AZ62" s="29">
        <f t="shared" si="180"/>
        <v>1328</v>
      </c>
      <c r="BA62" s="29">
        <f t="shared" ref="BA62:BB62" si="181">BA57-BA61</f>
        <v>1367</v>
      </c>
      <c r="BB62" s="29">
        <f t="shared" si="181"/>
        <v>1102</v>
      </c>
      <c r="BC62" s="29">
        <f t="shared" ref="BC62:BD62" si="182">BC57-BC61</f>
        <v>1473</v>
      </c>
      <c r="BD62" s="29">
        <f t="shared" si="182"/>
        <v>1621</v>
      </c>
      <c r="BG62" s="29">
        <f t="shared" ref="BG62:BH62" si="183">BG57-BG61</f>
        <v>1742</v>
      </c>
      <c r="BH62" s="29">
        <f t="shared" si="183"/>
        <v>1900</v>
      </c>
      <c r="BK62" s="29">
        <f t="shared" ref="BK62" si="184">BK57-BK61</f>
        <v>4579</v>
      </c>
      <c r="BL62" s="29">
        <f t="shared" ref="BL62:BN62" si="185">BL57-BL61</f>
        <v>3280</v>
      </c>
      <c r="BM62" s="29">
        <f t="shared" si="185"/>
        <v>3833</v>
      </c>
      <c r="BN62" s="29">
        <f t="shared" si="185"/>
        <v>3816</v>
      </c>
      <c r="BO62" s="29">
        <f t="shared" ref="BO62:BR62" si="186">BO57-BO61</f>
        <v>4764</v>
      </c>
      <c r="BP62" s="29">
        <f t="shared" si="186"/>
        <v>5211</v>
      </c>
      <c r="BQ62" s="29">
        <f t="shared" si="186"/>
        <v>4294</v>
      </c>
      <c r="BR62" s="29">
        <f t="shared" si="186"/>
        <v>4670</v>
      </c>
      <c r="BS62" s="29">
        <f>BS57-BS61</f>
        <v>5267</v>
      </c>
      <c r="BT62" s="29">
        <f>BT57-BT61</f>
        <v>5229</v>
      </c>
      <c r="BU62" s="29">
        <f>BU57-BU61</f>
        <v>3704.1600000000008</v>
      </c>
      <c r="BV62" s="29">
        <f t="shared" ref="BV62:BZ62" si="187">BV57-BV61</f>
        <v>4037</v>
      </c>
      <c r="BW62" s="29">
        <f t="shared" si="187"/>
        <v>4988.2299999999996</v>
      </c>
      <c r="BX62" s="29">
        <f t="shared" si="187"/>
        <v>4660.1200000000008</v>
      </c>
      <c r="BY62" s="29">
        <f t="shared" si="187"/>
        <v>3547.920000000001</v>
      </c>
      <c r="BZ62" s="29">
        <f t="shared" si="187"/>
        <v>4605.74</v>
      </c>
      <c r="CA62" s="29">
        <f>CA57-CA61</f>
        <v>4620</v>
      </c>
      <c r="CB62" s="29">
        <f t="shared" ref="CB62:CH62" si="188">CB57-CB61</f>
        <v>5388.2858000000006</v>
      </c>
      <c r="CC62" s="29">
        <f t="shared" si="188"/>
        <v>5188.8178000000007</v>
      </c>
      <c r="CD62" s="29">
        <f t="shared" si="188"/>
        <v>4237</v>
      </c>
      <c r="CE62" s="29">
        <f t="shared" si="188"/>
        <v>4919.5234</v>
      </c>
      <c r="CF62" s="29">
        <f t="shared" si="188"/>
        <v>5210.7223580000027</v>
      </c>
      <c r="CG62" s="29">
        <f t="shared" si="188"/>
        <v>5032.1096379999999</v>
      </c>
      <c r="CH62" s="29">
        <f t="shared" si="188"/>
        <v>4666.7371419999999</v>
      </c>
      <c r="CL62" s="29">
        <f>CL57-CL61</f>
        <v>1845</v>
      </c>
      <c r="CM62" s="29">
        <f>CM57-CM61</f>
        <v>2297</v>
      </c>
      <c r="CN62" s="29">
        <f>CN57-CN61</f>
        <v>2662</v>
      </c>
      <c r="CO62" s="29">
        <f>CO57-CO61</f>
        <v>2850</v>
      </c>
      <c r="CP62" s="29">
        <f>CP57-CP61</f>
        <v>2903</v>
      </c>
      <c r="DE62" s="29">
        <f t="shared" ref="DE62:DN62" si="189">DE57-DE61</f>
        <v>10920</v>
      </c>
      <c r="DF62" s="49">
        <f t="shared" si="189"/>
        <v>19734</v>
      </c>
      <c r="DG62" s="49">
        <f t="shared" si="189"/>
        <v>9685</v>
      </c>
      <c r="DH62" s="49">
        <f t="shared" si="189"/>
        <v>6647</v>
      </c>
      <c r="DI62" s="29">
        <f t="shared" si="189"/>
        <v>7779.05</v>
      </c>
      <c r="DJ62" s="64">
        <f t="shared" si="189"/>
        <v>6224.3980000000001</v>
      </c>
      <c r="DK62" s="64">
        <f t="shared" si="189"/>
        <v>6582.1948749999992</v>
      </c>
      <c r="DL62" s="29">
        <f t="shared" si="189"/>
        <v>7382.598825</v>
      </c>
      <c r="DM62" s="29">
        <f t="shared" si="189"/>
        <v>10591.2168271875</v>
      </c>
      <c r="DN62" s="29">
        <f t="shared" si="189"/>
        <v>13033.280679046875</v>
      </c>
      <c r="DO62" s="29">
        <f t="shared" ref="DO62:DR62" si="190">DO57-DO61</f>
        <v>14925.208168359375</v>
      </c>
      <c r="DP62" s="29">
        <f t="shared" si="190"/>
        <v>-1889.6409158203126</v>
      </c>
      <c r="DQ62" s="29">
        <f t="shared" si="190"/>
        <v>0</v>
      </c>
      <c r="DR62" s="29">
        <f t="shared" si="190"/>
        <v>0</v>
      </c>
      <c r="DS62" s="29">
        <f>DS57-DS61</f>
        <v>18237.16</v>
      </c>
      <c r="DT62" s="29">
        <f>DT57-DT61</f>
        <v>17802.010000000006</v>
      </c>
      <c r="DU62" s="29">
        <f>DU57-DU61</f>
        <v>19434.103600000002</v>
      </c>
      <c r="DV62" s="29">
        <f>DV57-DV61</f>
        <v>22129.092537999997</v>
      </c>
      <c r="DW62" s="29">
        <f>DW57-DW61</f>
        <v>32122.778349999997</v>
      </c>
      <c r="DX62" s="29">
        <f t="shared" ref="DX62:EF62" si="191">DX57-DX61</f>
        <v>33474.185652050008</v>
      </c>
      <c r="DY62" s="29">
        <f t="shared" si="191"/>
        <v>30245.244642691003</v>
      </c>
      <c r="DZ62" s="29">
        <f t="shared" si="191"/>
        <v>26591.274109394803</v>
      </c>
      <c r="EA62" s="29">
        <f t="shared" si="191"/>
        <v>26863.710939645847</v>
      </c>
      <c r="EB62" s="29">
        <f t="shared" si="191"/>
        <v>27317.559132802176</v>
      </c>
      <c r="EC62" s="29">
        <f t="shared" si="191"/>
        <v>27571.894192351807</v>
      </c>
      <c r="ED62" s="29">
        <f t="shared" si="191"/>
        <v>16815.748563963756</v>
      </c>
      <c r="EE62" s="29">
        <f t="shared" si="191"/>
        <v>13697.405812059744</v>
      </c>
      <c r="EF62" s="29">
        <f t="shared" si="191"/>
        <v>9788.8062708900288</v>
      </c>
    </row>
    <row r="63" spans="2:136" s="24" customFormat="1" x14ac:dyDescent="0.2">
      <c r="B63" s="24" t="s">
        <v>103</v>
      </c>
      <c r="C63" s="29">
        <f>69-25</f>
        <v>44</v>
      </c>
      <c r="D63" s="29">
        <f>87-105</f>
        <v>-18</v>
      </c>
      <c r="E63" s="29">
        <f>84-38</f>
        <v>46</v>
      </c>
      <c r="F63" s="29">
        <f>94+131</f>
        <v>225</v>
      </c>
      <c r="G63" s="29">
        <f>93-37</f>
        <v>56</v>
      </c>
      <c r="H63" s="29">
        <f>125-56</f>
        <v>69</v>
      </c>
      <c r="I63" s="29">
        <f>118+34</f>
        <v>152</v>
      </c>
      <c r="J63" s="29">
        <f>138-240</f>
        <v>-102</v>
      </c>
      <c r="K63" s="29">
        <f>126-22</f>
        <v>104</v>
      </c>
      <c r="L63" s="29">
        <v>128</v>
      </c>
      <c r="M63" s="29">
        <f>139-11</f>
        <v>128</v>
      </c>
      <c r="N63" s="29">
        <f>131-331</f>
        <v>-200</v>
      </c>
      <c r="O63" s="29">
        <f>164-39</f>
        <v>125</v>
      </c>
      <c r="P63" s="29">
        <v>161</v>
      </c>
      <c r="Q63" s="29">
        <f>164+57</f>
        <v>221</v>
      </c>
      <c r="R63" s="29">
        <v>120</v>
      </c>
      <c r="S63" s="29">
        <f>146+78</f>
        <v>224</v>
      </c>
      <c r="T63" s="29">
        <f>150+22</f>
        <v>172</v>
      </c>
      <c r="U63" s="29">
        <f>139+30</f>
        <v>169</v>
      </c>
      <c r="V63" s="29">
        <f>115+264</f>
        <v>379</v>
      </c>
      <c r="W63" s="29">
        <f>97-113</f>
        <v>-16</v>
      </c>
      <c r="X63" s="29">
        <f>85+19</f>
        <v>104</v>
      </c>
      <c r="Y63" s="49">
        <v>80</v>
      </c>
      <c r="Z63" s="49">
        <f>61-42</f>
        <v>19</v>
      </c>
      <c r="AA63" s="49">
        <f>82+138</f>
        <v>220</v>
      </c>
      <c r="AB63" s="49">
        <f>62+31</f>
        <v>93</v>
      </c>
      <c r="AC63" s="49">
        <f>71+26</f>
        <v>97</v>
      </c>
      <c r="AD63" s="49">
        <f>66-26</f>
        <v>40</v>
      </c>
      <c r="AE63" s="29">
        <f>57-23</f>
        <v>34</v>
      </c>
      <c r="AF63" s="29">
        <f>53+18</f>
        <v>71</v>
      </c>
      <c r="AG63" s="49">
        <f>546+13-2</f>
        <v>557</v>
      </c>
      <c r="AH63" s="49">
        <v>-80</v>
      </c>
      <c r="AI63" s="29">
        <v>19</v>
      </c>
      <c r="AJ63" s="29">
        <v>-199</v>
      </c>
      <c r="AK63" s="29">
        <v>-5</v>
      </c>
      <c r="AL63" s="29">
        <v>-20</v>
      </c>
      <c r="AM63" s="29">
        <v>208</v>
      </c>
      <c r="AN63" s="29">
        <v>104</v>
      </c>
      <c r="AO63" s="29">
        <v>277</v>
      </c>
      <c r="AP63" s="29">
        <v>-799</v>
      </c>
      <c r="AQ63" s="29">
        <v>299</v>
      </c>
      <c r="AR63" s="29">
        <v>-107</v>
      </c>
      <c r="AS63" s="29">
        <v>323</v>
      </c>
      <c r="AT63" s="29">
        <v>-238</v>
      </c>
      <c r="AU63" s="29">
        <v>520</v>
      </c>
      <c r="AV63" s="29">
        <v>454</v>
      </c>
      <c r="AW63" s="29">
        <v>246</v>
      </c>
      <c r="AX63" s="29">
        <v>170</v>
      </c>
      <c r="AY63" s="29">
        <v>295</v>
      </c>
      <c r="AZ63" s="29">
        <v>249</v>
      </c>
      <c r="BA63" s="29">
        <v>241</v>
      </c>
      <c r="BB63" s="29">
        <v>273</v>
      </c>
      <c r="BC63" s="29">
        <v>407</v>
      </c>
      <c r="BD63" s="29">
        <v>384</v>
      </c>
      <c r="BE63" s="29"/>
      <c r="BF63" s="29"/>
      <c r="BG63" s="29">
        <f t="shared" ref="BG63" si="192">-100+106+10-71-2+15+303</f>
        <v>261</v>
      </c>
      <c r="BH63" s="29">
        <f>-100+106+10-71-2+15+303</f>
        <v>261</v>
      </c>
      <c r="BI63" s="29"/>
      <c r="BJ63" s="29"/>
      <c r="BK63" s="29">
        <f>-1163+556-16+174+160+339+32-61+76</f>
        <v>97</v>
      </c>
      <c r="BL63" s="29">
        <f>736-165-818+166+115-51+21</f>
        <v>4</v>
      </c>
      <c r="BM63" s="29">
        <f>915-988-244+195+176+10-18-13</f>
        <v>33</v>
      </c>
      <c r="BN63" s="29">
        <v>125</v>
      </c>
      <c r="BO63" s="29">
        <v>17</v>
      </c>
      <c r="BP63" s="29">
        <v>39</v>
      </c>
      <c r="BQ63" s="29">
        <f>409-465+141+27+13-6</f>
        <v>119</v>
      </c>
      <c r="BR63" s="29">
        <v>121</v>
      </c>
      <c r="BS63" s="29">
        <v>119</v>
      </c>
      <c r="BT63" s="29">
        <v>179</v>
      </c>
      <c r="BU63" s="29">
        <f>AVERAGE(BQ63:BT63)</f>
        <v>134.5</v>
      </c>
      <c r="BV63" s="29">
        <v>217</v>
      </c>
      <c r="BW63" s="29">
        <f t="shared" ref="BW63:BZ63" si="193">AVERAGE(BS63:BV63)</f>
        <v>162.375</v>
      </c>
      <c r="BX63" s="29">
        <f t="shared" si="193"/>
        <v>173.21875</v>
      </c>
      <c r="BY63" s="29">
        <f t="shared" si="193"/>
        <v>171.7734375</v>
      </c>
      <c r="BZ63" s="29">
        <f t="shared" si="193"/>
        <v>181.091796875</v>
      </c>
      <c r="CA63" s="29">
        <f>-81+235</f>
        <v>154</v>
      </c>
      <c r="CB63" s="29"/>
      <c r="CC63" s="29"/>
      <c r="CD63" s="29">
        <v>53</v>
      </c>
      <c r="CE63" s="29"/>
      <c r="CF63" s="29"/>
      <c r="CG63" s="29"/>
      <c r="CH63" s="29"/>
      <c r="CI63" s="29"/>
      <c r="CJ63" s="29"/>
      <c r="CK63" s="29"/>
      <c r="CL63" s="29">
        <f>855-661</f>
        <v>194</v>
      </c>
      <c r="CM63" s="29">
        <v>136</v>
      </c>
      <c r="CN63" s="29">
        <v>122</v>
      </c>
      <c r="CO63" s="29">
        <f>890-863</f>
        <v>27</v>
      </c>
      <c r="CP63" s="29">
        <f>500-332</f>
        <v>168</v>
      </c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>
        <f>SUM(O63:R63)</f>
        <v>627</v>
      </c>
      <c r="DF63" s="49">
        <f>SUM(S63:V63)</f>
        <v>944</v>
      </c>
      <c r="DG63" s="49">
        <f>SUM(W63:Z63)</f>
        <v>187</v>
      </c>
      <c r="DH63" s="49">
        <f>SUM(AA63:AD63)</f>
        <v>450</v>
      </c>
      <c r="DI63" s="29">
        <f t="shared" ref="DI63:DP63" si="194">DH94*$DY$69</f>
        <v>0</v>
      </c>
      <c r="DJ63" s="64">
        <f t="shared" si="194"/>
        <v>0</v>
      </c>
      <c r="DK63" s="64">
        <f t="shared" si="194"/>
        <v>0</v>
      </c>
      <c r="DL63" s="29">
        <f t="shared" si="194"/>
        <v>0</v>
      </c>
      <c r="DM63" s="29">
        <f t="shared" si="194"/>
        <v>0</v>
      </c>
      <c r="DN63" s="29">
        <f t="shared" si="194"/>
        <v>0</v>
      </c>
      <c r="DO63" s="29">
        <f t="shared" si="194"/>
        <v>0</v>
      </c>
      <c r="DP63" s="29">
        <f t="shared" si="194"/>
        <v>0</v>
      </c>
      <c r="DQ63" s="29"/>
      <c r="DR63" s="29"/>
      <c r="DS63" s="29">
        <f t="shared" ref="DS63" si="195">SUM(BS63:BV63)</f>
        <v>649.5</v>
      </c>
      <c r="DT63" s="29">
        <f t="shared" ref="DT63" si="196">SUM(BW63:BZ63)</f>
        <v>688.458984375</v>
      </c>
      <c r="DU63" s="34">
        <f t="shared" ref="DU63" si="197">SUM(CA63:CD63)</f>
        <v>207</v>
      </c>
      <c r="DV63" s="34">
        <f t="shared" ref="DV63" si="198">SUM(CE63:CH63)</f>
        <v>0</v>
      </c>
      <c r="DX63" s="24">
        <f>DW94*$EI$72</f>
        <v>30.914967104000027</v>
      </c>
      <c r="DY63" s="24">
        <f t="shared" ref="DY63:EF63" si="199">DX94*$EI$72</f>
        <v>298.95577205723208</v>
      </c>
      <c r="DZ63" s="24">
        <f t="shared" si="199"/>
        <v>543.309375375218</v>
      </c>
      <c r="EA63" s="24">
        <f t="shared" si="199"/>
        <v>760.38604325337815</v>
      </c>
      <c r="EB63" s="24">
        <f t="shared" si="199"/>
        <v>981.378819116572</v>
      </c>
      <c r="EC63" s="24">
        <f t="shared" si="199"/>
        <v>1207.7703227319219</v>
      </c>
      <c r="ED63" s="24">
        <f t="shared" si="199"/>
        <v>1438.0076388525918</v>
      </c>
      <c r="EE63" s="24">
        <f t="shared" si="199"/>
        <v>1584.0376884751226</v>
      </c>
      <c r="EF63" s="24">
        <f t="shared" si="199"/>
        <v>1706.2892364794016</v>
      </c>
    </row>
    <row r="64" spans="2:136" x14ac:dyDescent="0.2">
      <c r="B64" s="1" t="s">
        <v>104</v>
      </c>
      <c r="C64" s="29">
        <f t="shared" ref="C64:R64" si="200">C62+C63</f>
        <v>2911</v>
      </c>
      <c r="D64" s="29">
        <f t="shared" si="200"/>
        <v>3328</v>
      </c>
      <c r="E64" s="29">
        <f t="shared" si="200"/>
        <v>3150</v>
      </c>
      <c r="F64" s="29">
        <f t="shared" si="200"/>
        <v>3371</v>
      </c>
      <c r="G64" s="29">
        <f t="shared" si="200"/>
        <v>3130</v>
      </c>
      <c r="H64" s="29">
        <f t="shared" si="200"/>
        <v>3378</v>
      </c>
      <c r="I64" s="29">
        <f t="shared" si="200"/>
        <v>2208</v>
      </c>
      <c r="J64" s="29">
        <f t="shared" si="200"/>
        <v>1599</v>
      </c>
      <c r="K64" s="29">
        <f t="shared" si="200"/>
        <v>2724</v>
      </c>
      <c r="L64" s="29">
        <f t="shared" si="200"/>
        <v>3315</v>
      </c>
      <c r="M64" s="29">
        <f t="shared" si="200"/>
        <v>3964</v>
      </c>
      <c r="N64" s="29">
        <f t="shared" si="200"/>
        <v>3740</v>
      </c>
      <c r="O64" s="29">
        <f t="shared" si="200"/>
        <v>4258</v>
      </c>
      <c r="P64" s="29">
        <f t="shared" si="200"/>
        <v>4609</v>
      </c>
      <c r="Q64" s="29">
        <f>Q62+Q63</f>
        <v>4890</v>
      </c>
      <c r="R64" s="29">
        <f t="shared" si="200"/>
        <v>-2210</v>
      </c>
      <c r="S64" s="29">
        <f t="shared" ref="S64:AA64" si="201">S62+S63</f>
        <v>4795</v>
      </c>
      <c r="T64" s="29">
        <f t="shared" si="201"/>
        <v>5308</v>
      </c>
      <c r="U64" s="29">
        <f t="shared" si="201"/>
        <v>5387</v>
      </c>
      <c r="V64" s="29">
        <f t="shared" si="201"/>
        <v>5188</v>
      </c>
      <c r="W64" s="29">
        <f t="shared" si="201"/>
        <v>1463</v>
      </c>
      <c r="X64" s="29">
        <f t="shared" si="201"/>
        <v>5323</v>
      </c>
      <c r="Y64" s="29">
        <f t="shared" si="201"/>
        <v>1651</v>
      </c>
      <c r="Z64" s="49">
        <f t="shared" si="201"/>
        <v>1435</v>
      </c>
      <c r="AA64" s="49">
        <f t="shared" si="201"/>
        <v>1811</v>
      </c>
      <c r="AB64" s="29">
        <f t="shared" ref="AB64:AN64" si="202">AB62+AB63</f>
        <v>1830</v>
      </c>
      <c r="AC64" s="29">
        <f t="shared" si="202"/>
        <v>1838</v>
      </c>
      <c r="AD64" s="29">
        <f t="shared" si="202"/>
        <v>1618</v>
      </c>
      <c r="AE64" s="29">
        <f t="shared" si="202"/>
        <v>1877</v>
      </c>
      <c r="AF64" s="29">
        <f t="shared" si="202"/>
        <v>1079</v>
      </c>
      <c r="AG64" s="49">
        <f t="shared" si="202"/>
        <v>-713</v>
      </c>
      <c r="AH64" s="49">
        <f t="shared" si="202"/>
        <v>599</v>
      </c>
      <c r="AI64" s="49">
        <f t="shared" si="202"/>
        <v>1032</v>
      </c>
      <c r="AJ64" s="49">
        <f t="shared" si="202"/>
        <v>530</v>
      </c>
      <c r="AK64" s="49">
        <f t="shared" si="202"/>
        <v>1250</v>
      </c>
      <c r="AL64" s="49">
        <f t="shared" si="202"/>
        <v>869</v>
      </c>
      <c r="AM64" s="49">
        <f t="shared" si="202"/>
        <v>985</v>
      </c>
      <c r="AN64" s="49">
        <f t="shared" si="202"/>
        <v>909</v>
      </c>
      <c r="AO64" s="49">
        <f t="shared" ref="AO64" si="203">AO62+AO63</f>
        <v>1828</v>
      </c>
      <c r="AP64" s="29">
        <f t="shared" ref="AP64" si="204">AP62+AP63</f>
        <v>-60</v>
      </c>
      <c r="AQ64" s="29">
        <f t="shared" ref="AQ64:AS64" si="205">AQ62+AQ63</f>
        <v>1448</v>
      </c>
      <c r="AR64" s="29">
        <f t="shared" si="205"/>
        <v>52</v>
      </c>
      <c r="AS64" s="29">
        <f t="shared" si="205"/>
        <v>987</v>
      </c>
      <c r="AT64" s="29">
        <f t="shared" ref="AT64" si="206">AT62+AT63</f>
        <v>-320</v>
      </c>
      <c r="AU64" s="29">
        <f t="shared" ref="AU64:AV64" si="207">AU62+AU63</f>
        <v>1655</v>
      </c>
      <c r="AV64" s="29">
        <f t="shared" si="207"/>
        <v>1615</v>
      </c>
      <c r="AW64" s="29">
        <f t="shared" ref="AW64:AX64" si="208">AW62+AW63</f>
        <v>1647</v>
      </c>
      <c r="AX64" s="29">
        <f t="shared" si="208"/>
        <v>1361</v>
      </c>
      <c r="AY64" s="29">
        <f t="shared" ref="AY64:AZ64" si="209">AY62+AY63</f>
        <v>1768</v>
      </c>
      <c r="AZ64" s="29">
        <f t="shared" si="209"/>
        <v>1577</v>
      </c>
      <c r="BA64" s="29">
        <f t="shared" ref="BA64:BB64" si="210">BA62+BA63</f>
        <v>1608</v>
      </c>
      <c r="BB64" s="29">
        <f t="shared" si="210"/>
        <v>1375</v>
      </c>
      <c r="BC64" s="29">
        <f t="shared" ref="BC64:BD64" si="211">BC62+BC63</f>
        <v>1880</v>
      </c>
      <c r="BD64" s="29">
        <f t="shared" si="211"/>
        <v>2005</v>
      </c>
      <c r="BE64" s="29"/>
      <c r="BF64" s="29"/>
      <c r="BG64" s="29">
        <f t="shared" ref="BG64:BH64" si="212">BG62+BG63</f>
        <v>2003</v>
      </c>
      <c r="BH64" s="29">
        <f t="shared" si="212"/>
        <v>2161</v>
      </c>
      <c r="BI64" s="29"/>
      <c r="BJ64" s="29"/>
      <c r="BK64" s="29">
        <f t="shared" ref="BK64" si="213">BK62+BK63</f>
        <v>4676</v>
      </c>
      <c r="BL64" s="29">
        <f t="shared" ref="BL64:BN64" si="214">BL62+BL63</f>
        <v>3284</v>
      </c>
      <c r="BM64" s="29">
        <f t="shared" si="214"/>
        <v>3866</v>
      </c>
      <c r="BN64" s="29">
        <f t="shared" si="214"/>
        <v>3941</v>
      </c>
      <c r="BO64" s="29">
        <f t="shared" ref="BO64:BR64" si="215">BO62+BO63</f>
        <v>4781</v>
      </c>
      <c r="BP64" s="29">
        <f t="shared" si="215"/>
        <v>5250</v>
      </c>
      <c r="BQ64" s="29">
        <f t="shared" si="215"/>
        <v>4413</v>
      </c>
      <c r="BR64" s="29">
        <f t="shared" si="215"/>
        <v>4791</v>
      </c>
      <c r="BS64" s="29">
        <f>BS62+BS63</f>
        <v>5386</v>
      </c>
      <c r="BT64" s="29">
        <f>BT62+BT63</f>
        <v>5408</v>
      </c>
      <c r="BU64" s="29">
        <f>BU62+BU63</f>
        <v>3838.6600000000008</v>
      </c>
      <c r="BV64" s="29">
        <f t="shared" ref="BV64:CH64" si="216">BV62+BV63</f>
        <v>4254</v>
      </c>
      <c r="BW64" s="29">
        <f t="shared" si="216"/>
        <v>5150.6049999999996</v>
      </c>
      <c r="BX64" s="29">
        <f t="shared" si="216"/>
        <v>4833.3387500000008</v>
      </c>
      <c r="BY64" s="29">
        <f t="shared" si="216"/>
        <v>3719.693437500001</v>
      </c>
      <c r="BZ64" s="29">
        <f t="shared" si="216"/>
        <v>4786.8317968749998</v>
      </c>
      <c r="CA64" s="29">
        <f t="shared" si="216"/>
        <v>4774</v>
      </c>
      <c r="CB64" s="29">
        <f t="shared" si="216"/>
        <v>5388.2858000000006</v>
      </c>
      <c r="CC64" s="29">
        <f t="shared" si="216"/>
        <v>5188.8178000000007</v>
      </c>
      <c r="CD64" s="29">
        <f t="shared" si="216"/>
        <v>4290</v>
      </c>
      <c r="CE64" s="29">
        <f t="shared" si="216"/>
        <v>4919.5234</v>
      </c>
      <c r="CF64" s="29">
        <f t="shared" si="216"/>
        <v>5210.7223580000027</v>
      </c>
      <c r="CG64" s="29">
        <f t="shared" si="216"/>
        <v>5032.1096379999999</v>
      </c>
      <c r="CH64" s="29">
        <f t="shared" si="216"/>
        <v>4666.7371419999999</v>
      </c>
      <c r="CI64" s="29"/>
      <c r="CJ64" s="29"/>
      <c r="CK64" s="29"/>
      <c r="CL64" s="29">
        <f>CL63+CL62</f>
        <v>2039</v>
      </c>
      <c r="CM64" s="29">
        <f>CM63+CM62</f>
        <v>2433</v>
      </c>
      <c r="CN64" s="29">
        <f>CN63+CN62</f>
        <v>2784</v>
      </c>
      <c r="CO64" s="29">
        <f>CO63+CO62</f>
        <v>2877</v>
      </c>
      <c r="CP64" s="29">
        <f>CP63+CP62</f>
        <v>3071</v>
      </c>
      <c r="DE64" s="29">
        <f t="shared" ref="DE64:DN64" si="217">DE63+DE62</f>
        <v>11547</v>
      </c>
      <c r="DF64" s="49">
        <f t="shared" si="217"/>
        <v>20678</v>
      </c>
      <c r="DG64" s="49">
        <f t="shared" si="217"/>
        <v>9872</v>
      </c>
      <c r="DH64" s="49">
        <f t="shared" si="217"/>
        <v>7097</v>
      </c>
      <c r="DI64" s="29">
        <f t="shared" si="217"/>
        <v>7779.05</v>
      </c>
      <c r="DJ64" s="64">
        <f t="shared" si="217"/>
        <v>6224.3980000000001</v>
      </c>
      <c r="DK64" s="64">
        <f t="shared" si="217"/>
        <v>6582.1948749999992</v>
      </c>
      <c r="DL64" s="29">
        <f t="shared" si="217"/>
        <v>7382.598825</v>
      </c>
      <c r="DM64" s="29">
        <f t="shared" si="217"/>
        <v>10591.2168271875</v>
      </c>
      <c r="DN64" s="29">
        <f t="shared" si="217"/>
        <v>13033.280679046875</v>
      </c>
      <c r="DO64" s="29">
        <f t="shared" ref="DO64:DT64" si="218">DO63+DO62</f>
        <v>14925.208168359375</v>
      </c>
      <c r="DP64" s="29">
        <f t="shared" si="218"/>
        <v>-1889.6409158203126</v>
      </c>
      <c r="DQ64" s="29">
        <f t="shared" si="218"/>
        <v>0</v>
      </c>
      <c r="DR64" s="29">
        <f t="shared" si="218"/>
        <v>0</v>
      </c>
      <c r="DS64" s="29">
        <f t="shared" si="218"/>
        <v>18886.66</v>
      </c>
      <c r="DT64" s="29">
        <f t="shared" si="218"/>
        <v>18490.468984375006</v>
      </c>
      <c r="DU64" s="29">
        <f>DU63+DU62</f>
        <v>19641.103600000002</v>
      </c>
      <c r="DV64" s="29">
        <f>DV63+DV62</f>
        <v>22129.092537999997</v>
      </c>
      <c r="DW64" s="29">
        <f t="shared" ref="DW64:EF64" si="219">DW63+DW62</f>
        <v>32122.778349999997</v>
      </c>
      <c r="DX64" s="29">
        <f t="shared" si="219"/>
        <v>33505.100619154007</v>
      </c>
      <c r="DY64" s="29">
        <f t="shared" si="219"/>
        <v>30544.200414748237</v>
      </c>
      <c r="DZ64" s="29">
        <f t="shared" si="219"/>
        <v>27134.583484770021</v>
      </c>
      <c r="EA64" s="29">
        <f t="shared" si="219"/>
        <v>27624.096982899224</v>
      </c>
      <c r="EB64" s="29">
        <f t="shared" si="219"/>
        <v>28298.93795191875</v>
      </c>
      <c r="EC64" s="29">
        <f t="shared" si="219"/>
        <v>28779.664515083728</v>
      </c>
      <c r="ED64" s="29">
        <f t="shared" si="219"/>
        <v>18253.756202816348</v>
      </c>
      <c r="EE64" s="29">
        <f t="shared" si="219"/>
        <v>15281.443500534866</v>
      </c>
      <c r="EF64" s="29">
        <f t="shared" si="219"/>
        <v>11495.095507369431</v>
      </c>
    </row>
    <row r="65" spans="2:181" s="24" customFormat="1" x14ac:dyDescent="0.2">
      <c r="B65" s="24" t="s">
        <v>105</v>
      </c>
      <c r="C65" s="29">
        <v>268</v>
      </c>
      <c r="D65" s="29">
        <v>-21</v>
      </c>
      <c r="E65" s="29">
        <v>507</v>
      </c>
      <c r="F65" s="29">
        <v>178</v>
      </c>
      <c r="G65" s="29">
        <v>328</v>
      </c>
      <c r="H65" s="29">
        <v>256</v>
      </c>
      <c r="I65" s="29">
        <v>193</v>
      </c>
      <c r="J65" s="29">
        <v>-183</v>
      </c>
      <c r="K65" s="29">
        <v>68</v>
      </c>
      <c r="L65" s="29">
        <v>257</v>
      </c>
      <c r="M65" s="29">
        <v>342</v>
      </c>
      <c r="N65" s="29">
        <v>177</v>
      </c>
      <c r="O65" s="29">
        <v>359</v>
      </c>
      <c r="P65" s="29">
        <v>292</v>
      </c>
      <c r="Q65" s="29">
        <v>395</v>
      </c>
      <c r="R65" s="29">
        <f>R64*0.25</f>
        <v>-552.5</v>
      </c>
      <c r="S65" s="29">
        <v>463</v>
      </c>
      <c r="T65" s="29">
        <v>443</v>
      </c>
      <c r="U65" s="29">
        <v>434</v>
      </c>
      <c r="V65" s="29">
        <v>188</v>
      </c>
      <c r="W65" s="29">
        <v>351</v>
      </c>
      <c r="X65" s="29">
        <v>324</v>
      </c>
      <c r="Y65" s="29">
        <v>312</v>
      </c>
      <c r="Z65" s="49">
        <v>571</v>
      </c>
      <c r="AA65" s="49">
        <v>400</v>
      </c>
      <c r="AB65" s="29">
        <v>483</v>
      </c>
      <c r="AC65" s="29">
        <v>475</v>
      </c>
      <c r="AD65" s="29">
        <v>363</v>
      </c>
      <c r="AE65" s="29">
        <v>545</v>
      </c>
      <c r="AF65" s="29">
        <v>251</v>
      </c>
      <c r="AG65" s="49">
        <v>0</v>
      </c>
      <c r="AH65" s="49">
        <v>-161</v>
      </c>
      <c r="AI65" s="29">
        <v>51</v>
      </c>
      <c r="AJ65" s="29">
        <v>0</v>
      </c>
      <c r="AK65" s="29">
        <v>126</v>
      </c>
      <c r="AL65" s="29">
        <v>134</v>
      </c>
      <c r="AM65" s="29">
        <f>49-1</f>
        <v>48</v>
      </c>
      <c r="AN65" s="29">
        <v>114</v>
      </c>
      <c r="AO65" s="29">
        <v>276</v>
      </c>
      <c r="AP65" s="29">
        <v>-87</v>
      </c>
      <c r="AQ65" s="29">
        <v>249</v>
      </c>
      <c r="AR65" s="29">
        <v>162</v>
      </c>
      <c r="AS65" s="29">
        <v>257</v>
      </c>
      <c r="AT65" s="29">
        <v>-191</v>
      </c>
      <c r="AU65" s="29">
        <v>449</v>
      </c>
      <c r="AV65" s="29">
        <v>427</v>
      </c>
      <c r="AW65" s="29">
        <v>347</v>
      </c>
      <c r="AX65" s="29">
        <v>293</v>
      </c>
      <c r="AY65" s="29">
        <v>357</v>
      </c>
      <c r="AZ65" s="29">
        <v>353</v>
      </c>
      <c r="BA65" s="29">
        <v>368</v>
      </c>
      <c r="BB65" s="29">
        <v>254</v>
      </c>
      <c r="BC65" s="29">
        <v>324</v>
      </c>
      <c r="BD65" s="29">
        <v>350</v>
      </c>
      <c r="BE65" s="29"/>
      <c r="BF65" s="29"/>
      <c r="BG65" s="29">
        <v>264</v>
      </c>
      <c r="BH65" s="29">
        <v>337</v>
      </c>
      <c r="BI65" s="29"/>
      <c r="BJ65" s="29"/>
      <c r="BK65" s="29">
        <v>462</v>
      </c>
      <c r="BL65" s="29">
        <v>1707</v>
      </c>
      <c r="BM65" s="29">
        <v>379</v>
      </c>
      <c r="BN65" s="29">
        <v>610</v>
      </c>
      <c r="BO65" s="29">
        <v>804</v>
      </c>
      <c r="BP65" s="29">
        <v>784</v>
      </c>
      <c r="BQ65" s="29">
        <v>605</v>
      </c>
      <c r="BR65" s="29">
        <v>720</v>
      </c>
      <c r="BS65" s="29">
        <v>802</v>
      </c>
      <c r="BT65" s="29">
        <v>850</v>
      </c>
      <c r="BU65" s="29">
        <f>+BU64*0.2</f>
        <v>767.7320000000002</v>
      </c>
      <c r="BV65" s="29">
        <v>0</v>
      </c>
      <c r="BW65" s="29">
        <f t="shared" ref="BW65:BZ65" si="220">+BW64*0.2</f>
        <v>1030.1209999999999</v>
      </c>
      <c r="BX65" s="29">
        <f t="shared" si="220"/>
        <v>966.66775000000018</v>
      </c>
      <c r="BY65" s="29">
        <f t="shared" si="220"/>
        <v>743.93868750000024</v>
      </c>
      <c r="BZ65" s="29">
        <f t="shared" si="220"/>
        <v>957.366359375</v>
      </c>
      <c r="CA65" s="29">
        <f>392+340</f>
        <v>732</v>
      </c>
      <c r="CB65" s="29">
        <f t="shared" ref="CB65:CH65" si="221">+CB64*0.2</f>
        <v>1077.6571600000002</v>
      </c>
      <c r="CC65" s="29">
        <f t="shared" si="221"/>
        <v>1037.7635600000001</v>
      </c>
      <c r="CD65" s="29">
        <v>848</v>
      </c>
      <c r="CE65" s="29">
        <f t="shared" si="221"/>
        <v>983.9046800000001</v>
      </c>
      <c r="CF65" s="29">
        <f t="shared" si="221"/>
        <v>1042.1444716000005</v>
      </c>
      <c r="CG65" s="29">
        <f t="shared" si="221"/>
        <v>1006.4219276</v>
      </c>
      <c r="CH65" s="29">
        <f t="shared" si="221"/>
        <v>933.34742840000001</v>
      </c>
      <c r="CI65" s="29"/>
      <c r="CJ65" s="29"/>
      <c r="CK65" s="29"/>
      <c r="CL65" s="29">
        <f>496+162</f>
        <v>658</v>
      </c>
      <c r="CM65" s="29">
        <v>742</v>
      </c>
      <c r="CN65" s="29">
        <v>793</v>
      </c>
      <c r="CO65" s="29">
        <f>449+320</f>
        <v>769</v>
      </c>
      <c r="CP65" s="29">
        <f>612+290</f>
        <v>902</v>
      </c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>
        <f>SUM(O65:R65)</f>
        <v>493.5</v>
      </c>
      <c r="DF65" s="49">
        <f>SUM(S65:V65)</f>
        <v>1528</v>
      </c>
      <c r="DG65" s="49">
        <f>SUM(W65:Z65)</f>
        <v>1558</v>
      </c>
      <c r="DH65" s="49">
        <f>SUM(AA65:AD65)</f>
        <v>1721</v>
      </c>
      <c r="DI65" s="29">
        <f>DI64*0.29</f>
        <v>2255.9245000000001</v>
      </c>
      <c r="DJ65" s="64">
        <f>DJ64*0.28</f>
        <v>1742.8314400000002</v>
      </c>
      <c r="DK65" s="64">
        <f>DK64*0.28</f>
        <v>1843.0145649999999</v>
      </c>
      <c r="DL65" s="29">
        <f>DL64*0.28</f>
        <v>2067.1276710000002</v>
      </c>
      <c r="DM65" s="29">
        <f>DM64*0.28</f>
        <v>2965.5407116125002</v>
      </c>
      <c r="DN65" s="29">
        <f>DN64*0.28</f>
        <v>3649.3185901331253</v>
      </c>
      <c r="DO65" s="29">
        <f t="shared" ref="DO65:DP65" si="222">DO64*0.28</f>
        <v>4179.058287140625</v>
      </c>
      <c r="DP65" s="29">
        <f t="shared" si="222"/>
        <v>-529.09945642968762</v>
      </c>
      <c r="DQ65" s="29"/>
      <c r="DR65" s="29"/>
      <c r="DS65" s="29">
        <f t="shared" ref="DS65" si="223">SUM(BS65:BV65)</f>
        <v>2419.732</v>
      </c>
      <c r="DT65" s="29">
        <f t="shared" ref="DT65" si="224">SUM(BW65:BZ65)</f>
        <v>3698.0937968750004</v>
      </c>
      <c r="DU65" s="34">
        <f t="shared" ref="DU65" si="225">SUM(CA65:CD65)</f>
        <v>3695.4207200000001</v>
      </c>
      <c r="DV65" s="34">
        <f t="shared" ref="DV65" si="226">SUM(CE65:CH65)</f>
        <v>3965.8185076000004</v>
      </c>
      <c r="DW65" s="24">
        <f>+DW64*0.2</f>
        <v>6424.5556699999997</v>
      </c>
      <c r="DX65" s="24">
        <f t="shared" ref="DX65:EF65" si="227">+DX64*0.2</f>
        <v>6701.0201238308018</v>
      </c>
      <c r="DY65" s="24">
        <f t="shared" si="227"/>
        <v>6108.8400829496477</v>
      </c>
      <c r="DZ65" s="24">
        <f t="shared" si="227"/>
        <v>5426.9166969540047</v>
      </c>
      <c r="EA65" s="24">
        <f t="shared" si="227"/>
        <v>5524.8193965798455</v>
      </c>
      <c r="EB65" s="24">
        <f t="shared" si="227"/>
        <v>5659.7875903837503</v>
      </c>
      <c r="EC65" s="24">
        <f t="shared" si="227"/>
        <v>5755.9329030167464</v>
      </c>
      <c r="ED65" s="24">
        <f t="shared" si="227"/>
        <v>3650.7512405632697</v>
      </c>
      <c r="EE65" s="24">
        <f t="shared" si="227"/>
        <v>3056.2887001069735</v>
      </c>
      <c r="EF65" s="24">
        <f t="shared" si="227"/>
        <v>2299.0191014738862</v>
      </c>
    </row>
    <row r="66" spans="2:181" x14ac:dyDescent="0.2">
      <c r="B66" s="1" t="s">
        <v>106</v>
      </c>
      <c r="C66" s="29">
        <v>122</v>
      </c>
      <c r="D66" s="27">
        <v>160</v>
      </c>
      <c r="E66" s="27">
        <v>155</v>
      </c>
      <c r="F66" s="27">
        <v>155</v>
      </c>
      <c r="G66" s="27">
        <v>151</v>
      </c>
      <c r="H66" s="27">
        <v>187</v>
      </c>
      <c r="I66" s="27">
        <v>86</v>
      </c>
      <c r="J66" s="27">
        <v>16</v>
      </c>
      <c r="K66" s="27">
        <v>141</v>
      </c>
      <c r="L66" s="27">
        <v>194</v>
      </c>
      <c r="M66" s="27">
        <v>211</v>
      </c>
      <c r="N66" s="27">
        <v>217</v>
      </c>
      <c r="O66" s="27">
        <v>230</v>
      </c>
      <c r="P66" s="29">
        <v>241</v>
      </c>
      <c r="Q66" s="29">
        <v>259</v>
      </c>
      <c r="R66" s="29">
        <v>200</v>
      </c>
      <c r="S66" s="29">
        <v>283</v>
      </c>
      <c r="T66" s="29">
        <v>315</v>
      </c>
      <c r="U66" s="29">
        <v>324</v>
      </c>
      <c r="V66" s="29">
        <v>328</v>
      </c>
      <c r="W66" s="29">
        <v>358</v>
      </c>
      <c r="X66" s="29">
        <v>341</v>
      </c>
      <c r="Y66" s="29">
        <v>353</v>
      </c>
      <c r="Z66" s="49">
        <v>359</v>
      </c>
      <c r="AA66" s="49">
        <v>381</v>
      </c>
      <c r="AB66" s="29">
        <v>405</v>
      </c>
      <c r="AC66" s="29">
        <v>386</v>
      </c>
      <c r="AD66" s="29">
        <v>379</v>
      </c>
      <c r="AE66" s="29">
        <v>381</v>
      </c>
      <c r="AF66" s="29">
        <v>163</v>
      </c>
      <c r="AG66" s="49">
        <v>0</v>
      </c>
      <c r="AH66" s="49">
        <f>+AG66</f>
        <v>0</v>
      </c>
      <c r="AI66" s="29">
        <v>14</v>
      </c>
      <c r="AJ66" s="29">
        <v>-6</v>
      </c>
      <c r="AK66" s="29">
        <v>0</v>
      </c>
      <c r="AL66" s="29">
        <v>9</v>
      </c>
      <c r="AM66" s="29">
        <v>0</v>
      </c>
      <c r="AN66" s="29">
        <v>0</v>
      </c>
      <c r="AO66" s="29">
        <v>11</v>
      </c>
      <c r="AP66" s="27">
        <v>14</v>
      </c>
      <c r="AQ66" s="27">
        <v>13</v>
      </c>
      <c r="AR66" s="27">
        <v>20</v>
      </c>
      <c r="AS66" s="29">
        <v>24</v>
      </c>
      <c r="AT66" s="27">
        <v>9</v>
      </c>
      <c r="AU66" s="27">
        <v>11</v>
      </c>
      <c r="AV66" s="27">
        <v>22</v>
      </c>
      <c r="AW66" s="27">
        <v>13</v>
      </c>
      <c r="AX66" s="27">
        <v>4</v>
      </c>
      <c r="AY66" s="27">
        <v>11</v>
      </c>
      <c r="AZ66" s="27">
        <v>6</v>
      </c>
      <c r="BA66" s="27">
        <v>11</v>
      </c>
      <c r="BB66" s="27">
        <v>-1</v>
      </c>
      <c r="BC66" s="27">
        <v>9</v>
      </c>
      <c r="BD66" s="27">
        <v>9</v>
      </c>
      <c r="BG66" s="29">
        <v>5</v>
      </c>
      <c r="BH66" s="29">
        <v>7</v>
      </c>
      <c r="BK66" s="29">
        <v>9</v>
      </c>
      <c r="BL66" s="29">
        <v>5</v>
      </c>
      <c r="BM66" s="29">
        <v>6</v>
      </c>
      <c r="BN66" s="29">
        <v>0</v>
      </c>
      <c r="BO66" s="29">
        <v>8</v>
      </c>
      <c r="BP66" s="29">
        <v>6</v>
      </c>
      <c r="BQ66" s="29">
        <v>6</v>
      </c>
      <c r="BR66" s="29">
        <v>0</v>
      </c>
      <c r="BS66" s="29">
        <v>5</v>
      </c>
      <c r="BT66" s="29">
        <v>8</v>
      </c>
      <c r="BU66" s="29">
        <f>AVERAGE(BQ66:BT66)</f>
        <v>4.75</v>
      </c>
      <c r="BV66" s="29">
        <v>0</v>
      </c>
      <c r="BW66" s="29">
        <f t="shared" ref="BW66:BZ66" si="228">AVERAGE(BS66:BV66)</f>
        <v>4.4375</v>
      </c>
      <c r="BX66" s="29">
        <f t="shared" si="228"/>
        <v>4.296875</v>
      </c>
      <c r="BY66" s="29">
        <f t="shared" si="228"/>
        <v>3.37109375</v>
      </c>
      <c r="BZ66" s="29">
        <f t="shared" si="228"/>
        <v>3.0263671875</v>
      </c>
      <c r="CA66" s="29">
        <v>3</v>
      </c>
      <c r="CB66" s="29"/>
      <c r="CC66" s="29"/>
      <c r="CD66" s="29"/>
      <c r="CE66" s="29"/>
      <c r="CF66" s="29"/>
      <c r="CG66" s="29"/>
      <c r="CH66" s="29"/>
      <c r="CL66" s="29">
        <v>0</v>
      </c>
      <c r="CM66" s="29">
        <v>0</v>
      </c>
      <c r="CN66" s="29">
        <v>0</v>
      </c>
      <c r="CO66" s="29">
        <v>0</v>
      </c>
      <c r="CP66" s="29">
        <v>0</v>
      </c>
      <c r="DE66" s="29">
        <f>SUM(O66:R66)</f>
        <v>930</v>
      </c>
      <c r="DF66" s="49">
        <f>SUM(S66:V66)</f>
        <v>1250</v>
      </c>
      <c r="DG66" s="49">
        <f>SUM(W66:Z66)</f>
        <v>1411</v>
      </c>
      <c r="DH66" s="49">
        <f>SUM(AA66:AD66)</f>
        <v>1551</v>
      </c>
      <c r="DI66" s="29">
        <f>DH66*0.2</f>
        <v>310.20000000000005</v>
      </c>
      <c r="DJ66" s="64">
        <f>DI66*0.1</f>
        <v>31.020000000000007</v>
      </c>
      <c r="DK66" s="64">
        <f>DJ66*0.1</f>
        <v>3.1020000000000008</v>
      </c>
      <c r="DL66" s="29">
        <f>DK66*0.1</f>
        <v>0.31020000000000009</v>
      </c>
      <c r="DM66" s="29">
        <f>DL66*0.1</f>
        <v>3.1020000000000009E-2</v>
      </c>
      <c r="DN66" s="29">
        <f>DM66*0.1</f>
        <v>3.102000000000001E-3</v>
      </c>
      <c r="DO66" s="29">
        <f t="shared" ref="DO66:DT66" si="229">DN66*0.1</f>
        <v>3.1020000000000011E-4</v>
      </c>
      <c r="DP66" s="29">
        <f t="shared" si="229"/>
        <v>3.1020000000000011E-5</v>
      </c>
      <c r="DQ66" s="29">
        <f t="shared" si="229"/>
        <v>3.1020000000000014E-6</v>
      </c>
      <c r="DR66" s="29">
        <f t="shared" si="229"/>
        <v>3.1020000000000017E-7</v>
      </c>
      <c r="DS66" s="29">
        <f t="shared" si="229"/>
        <v>3.1020000000000016E-8</v>
      </c>
      <c r="DT66" s="29">
        <f t="shared" si="229"/>
        <v>3.1020000000000019E-9</v>
      </c>
      <c r="DU66" s="34">
        <f t="shared" ref="DU66" si="230">SUM(CA66:CD66)</f>
        <v>3</v>
      </c>
      <c r="DV66" s="34">
        <f t="shared" ref="DV66" si="231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2" t="s">
        <v>438</v>
      </c>
      <c r="C67" s="29">
        <f t="shared" ref="C67:R67" si="232">C64-C65-C66</f>
        <v>2521</v>
      </c>
      <c r="D67" s="27">
        <f t="shared" si="232"/>
        <v>3189</v>
      </c>
      <c r="E67" s="27">
        <f t="shared" si="232"/>
        <v>2488</v>
      </c>
      <c r="F67" s="27">
        <f t="shared" si="232"/>
        <v>3038</v>
      </c>
      <c r="G67" s="27">
        <f t="shared" si="232"/>
        <v>2651</v>
      </c>
      <c r="H67" s="27">
        <f t="shared" si="232"/>
        <v>2935</v>
      </c>
      <c r="I67" s="29">
        <f t="shared" si="232"/>
        <v>1929</v>
      </c>
      <c r="J67" s="29">
        <f t="shared" si="232"/>
        <v>1766</v>
      </c>
      <c r="K67" s="29">
        <f t="shared" si="232"/>
        <v>2515</v>
      </c>
      <c r="L67" s="29">
        <f t="shared" si="232"/>
        <v>2864</v>
      </c>
      <c r="M67" s="29">
        <f t="shared" si="232"/>
        <v>3411</v>
      </c>
      <c r="N67" s="29">
        <f t="shared" si="232"/>
        <v>3346</v>
      </c>
      <c r="O67" s="29">
        <f t="shared" si="232"/>
        <v>3669</v>
      </c>
      <c r="P67" s="29">
        <f t="shared" si="232"/>
        <v>4076</v>
      </c>
      <c r="Q67" s="29">
        <f>Q64-Q65-Q66</f>
        <v>4236</v>
      </c>
      <c r="R67" s="29">
        <f t="shared" si="232"/>
        <v>-1857.5</v>
      </c>
      <c r="S67" s="29">
        <f t="shared" ref="S67:Y67" si="233">S64-S65-S66</f>
        <v>4049</v>
      </c>
      <c r="T67" s="29">
        <f t="shared" si="233"/>
        <v>4550</v>
      </c>
      <c r="U67" s="29">
        <f t="shared" si="233"/>
        <v>4629</v>
      </c>
      <c r="V67" s="29">
        <f t="shared" si="233"/>
        <v>4672</v>
      </c>
      <c r="W67" s="29">
        <f t="shared" si="233"/>
        <v>754</v>
      </c>
      <c r="X67" s="29">
        <f>X64-X65-X66</f>
        <v>4658</v>
      </c>
      <c r="Y67" s="29">
        <f t="shared" si="233"/>
        <v>986</v>
      </c>
      <c r="Z67" s="49">
        <f>Z64-Z65-Z66</f>
        <v>505</v>
      </c>
      <c r="AA67" s="49">
        <f>AA64-AA65-AA66</f>
        <v>1030</v>
      </c>
      <c r="AB67" s="29">
        <f t="shared" ref="AB67:AK67" si="234">+AB64-AB65-AB66</f>
        <v>942</v>
      </c>
      <c r="AC67" s="29">
        <f t="shared" si="234"/>
        <v>977</v>
      </c>
      <c r="AD67" s="29">
        <f t="shared" si="234"/>
        <v>876</v>
      </c>
      <c r="AE67" s="29">
        <f t="shared" si="234"/>
        <v>951</v>
      </c>
      <c r="AF67" s="29">
        <f t="shared" si="234"/>
        <v>665</v>
      </c>
      <c r="AG67" s="49">
        <f t="shared" si="234"/>
        <v>-713</v>
      </c>
      <c r="AH67" s="49">
        <f t="shared" si="234"/>
        <v>760</v>
      </c>
      <c r="AI67" s="49">
        <f t="shared" si="234"/>
        <v>967</v>
      </c>
      <c r="AJ67" s="49">
        <f t="shared" si="234"/>
        <v>536</v>
      </c>
      <c r="AK67" s="49">
        <f t="shared" si="234"/>
        <v>1124</v>
      </c>
      <c r="AL67" s="49">
        <f>+AL64-AL65-AL66</f>
        <v>726</v>
      </c>
      <c r="AM67" s="49">
        <f>+AM64-AM65-AM66</f>
        <v>937</v>
      </c>
      <c r="AN67" s="49">
        <f>+AN64-AN65-AN66</f>
        <v>795</v>
      </c>
      <c r="AO67" s="49">
        <f>+AO64-AO65-AO66</f>
        <v>1541</v>
      </c>
      <c r="AP67" s="29">
        <f t="shared" ref="AP67" si="235">AP64-AP65-AP66</f>
        <v>13</v>
      </c>
      <c r="AQ67" s="29">
        <f t="shared" ref="AQ67:AS67" si="236">AQ64-AQ65-AQ66</f>
        <v>1186</v>
      </c>
      <c r="AR67" s="29">
        <f t="shared" si="236"/>
        <v>-130</v>
      </c>
      <c r="AS67" s="29">
        <f t="shared" si="236"/>
        <v>706</v>
      </c>
      <c r="AT67" s="29">
        <f t="shared" ref="AT67" si="237">AT64-AT65-AT66</f>
        <v>-138</v>
      </c>
      <c r="AU67" s="29">
        <f t="shared" ref="AU67:AV67" si="238">AU64-AU65-AU66</f>
        <v>1195</v>
      </c>
      <c r="AV67" s="29">
        <f t="shared" si="238"/>
        <v>1166</v>
      </c>
      <c r="AW67" s="29">
        <f t="shared" ref="AW67:AX67" si="239">AW64-AW65-AW66</f>
        <v>1287</v>
      </c>
      <c r="AX67" s="29">
        <f t="shared" si="239"/>
        <v>1064</v>
      </c>
      <c r="AY67" s="29">
        <f t="shared" ref="AY67:AZ67" si="240">AY64-AY65-AY66</f>
        <v>1400</v>
      </c>
      <c r="AZ67" s="29">
        <f t="shared" si="240"/>
        <v>1218</v>
      </c>
      <c r="BA67" s="29">
        <f t="shared" ref="BA67:BB67" si="241">BA64-BA65-BA66</f>
        <v>1229</v>
      </c>
      <c r="BB67" s="29">
        <f t="shared" si="241"/>
        <v>1122</v>
      </c>
      <c r="BC67" s="29">
        <f t="shared" ref="BC67:BD67" si="242">BC64-BC65-BC66</f>
        <v>1547</v>
      </c>
      <c r="BD67" s="29">
        <f t="shared" si="242"/>
        <v>1646</v>
      </c>
      <c r="BG67" s="29">
        <f t="shared" ref="BG67:BH67" si="243">BG64-BG65-BG66</f>
        <v>1734</v>
      </c>
      <c r="BH67" s="29">
        <f t="shared" si="243"/>
        <v>1817</v>
      </c>
      <c r="BK67" s="29">
        <f t="shared" ref="BK67" si="244">BK64-BK65-BK66</f>
        <v>4205</v>
      </c>
      <c r="BL67" s="29">
        <f t="shared" ref="BL67:BN67" si="245">BL64-BL65-BL66</f>
        <v>1572</v>
      </c>
      <c r="BM67" s="29">
        <f t="shared" si="245"/>
        <v>3481</v>
      </c>
      <c r="BN67" s="29">
        <f t="shared" si="245"/>
        <v>3331</v>
      </c>
      <c r="BO67" s="29">
        <f t="shared" ref="BO67:BR67" si="246">BO64-BO65-BO66</f>
        <v>3969</v>
      </c>
      <c r="BP67" s="29">
        <f t="shared" si="246"/>
        <v>4460</v>
      </c>
      <c r="BQ67" s="29">
        <f t="shared" si="246"/>
        <v>3802</v>
      </c>
      <c r="BR67" s="29">
        <f t="shared" si="246"/>
        <v>4071</v>
      </c>
      <c r="BS67" s="29">
        <f>BS64-BS65-BS66</f>
        <v>4579</v>
      </c>
      <c r="BT67" s="29">
        <f>BT64-BT65-BT66</f>
        <v>4550</v>
      </c>
      <c r="BU67" s="29">
        <f>BU64-BU65-BU66</f>
        <v>3066.1780000000008</v>
      </c>
      <c r="BV67" s="29">
        <f t="shared" ref="BV67:CH67" si="247">BV64-BV65-BV66</f>
        <v>4254</v>
      </c>
      <c r="BW67" s="29">
        <f t="shared" si="247"/>
        <v>4116.0464999999995</v>
      </c>
      <c r="BX67" s="29">
        <f t="shared" si="247"/>
        <v>3862.3741250000007</v>
      </c>
      <c r="BY67" s="29">
        <f t="shared" si="247"/>
        <v>2972.383656250001</v>
      </c>
      <c r="BZ67" s="29">
        <f t="shared" si="247"/>
        <v>3826.4390703125</v>
      </c>
      <c r="CA67" s="29">
        <f t="shared" si="247"/>
        <v>4039</v>
      </c>
      <c r="CB67" s="29">
        <f t="shared" si="247"/>
        <v>4310.6286400000008</v>
      </c>
      <c r="CC67" s="29">
        <f t="shared" si="247"/>
        <v>4151.0542400000004</v>
      </c>
      <c r="CD67" s="29">
        <f t="shared" si="247"/>
        <v>3442</v>
      </c>
      <c r="CE67" s="29">
        <f t="shared" si="247"/>
        <v>3935.6187199999999</v>
      </c>
      <c r="CF67" s="29">
        <f t="shared" si="247"/>
        <v>4168.5778864000022</v>
      </c>
      <c r="CG67" s="29">
        <f t="shared" si="247"/>
        <v>4025.6877104</v>
      </c>
      <c r="CH67" s="29">
        <f t="shared" si="247"/>
        <v>3733.3897136000001</v>
      </c>
      <c r="CL67" s="29">
        <f>CL64-CL65-CL66</f>
        <v>1381</v>
      </c>
      <c r="CM67" s="29">
        <f>CM64-CM65-CM66</f>
        <v>1691</v>
      </c>
      <c r="CN67" s="29">
        <f>CN64-CN65-CN66</f>
        <v>1991</v>
      </c>
      <c r="CO67" s="29">
        <f>CO64-CO65-CO66</f>
        <v>2108</v>
      </c>
      <c r="CP67" s="29">
        <f>CP64-CP65-CP66</f>
        <v>2169</v>
      </c>
      <c r="DE67" s="29">
        <f>DE64-DE65-DE66</f>
        <v>10123.5</v>
      </c>
      <c r="DF67" s="49">
        <f>DF64-DF65-DF66</f>
        <v>17900</v>
      </c>
      <c r="DG67" s="49">
        <f>DG64-DG65-DG66</f>
        <v>6903</v>
      </c>
      <c r="DH67" s="49">
        <f>DH64-DH65-DH66</f>
        <v>3825</v>
      </c>
      <c r="DI67" s="29">
        <f t="shared" ref="DI67:DN67" si="248">DI64-DI65-DI66</f>
        <v>5212.9255000000003</v>
      </c>
      <c r="DJ67" s="64">
        <f t="shared" si="248"/>
        <v>4450.5465599999998</v>
      </c>
      <c r="DK67" s="64">
        <f t="shared" si="248"/>
        <v>4736.0783099999999</v>
      </c>
      <c r="DL67" s="29">
        <f t="shared" si="248"/>
        <v>5315.1609539999999</v>
      </c>
      <c r="DM67" s="29">
        <f t="shared" si="248"/>
        <v>7625.6450955749988</v>
      </c>
      <c r="DN67" s="29">
        <f t="shared" si="248"/>
        <v>9383.958986913749</v>
      </c>
      <c r="DO67" s="29">
        <f>DN67*(1+DY70)</f>
        <v>9383.958986913749</v>
      </c>
      <c r="DP67" s="29">
        <f t="shared" ref="DP67" si="249">DO67*(1+$DY$70)</f>
        <v>9383.958986913749</v>
      </c>
      <c r="DQ67" s="29"/>
      <c r="DR67" s="29"/>
      <c r="DS67" s="29">
        <f t="shared" ref="DS67:DT67" si="250">+DS64-DS65-DS66</f>
        <v>16466.927999968979</v>
      </c>
      <c r="DT67" s="29">
        <f t="shared" si="250"/>
        <v>14792.375187496904</v>
      </c>
      <c r="DU67" s="29">
        <f>+DU64-DU65-DU66</f>
        <v>15942.682880000002</v>
      </c>
      <c r="DV67" s="29">
        <f>+DV64-DV65-DV66</f>
        <v>18163.274030399996</v>
      </c>
      <c r="DW67" s="29">
        <f t="shared" ref="DW67:EF67" si="251">+DW64-DW65-DW66</f>
        <v>25698.222679999999</v>
      </c>
      <c r="DX67" s="29">
        <f t="shared" si="251"/>
        <v>26804.080495323207</v>
      </c>
      <c r="DY67" s="29">
        <f t="shared" si="251"/>
        <v>24435.360331798591</v>
      </c>
      <c r="DZ67" s="29">
        <f t="shared" si="251"/>
        <v>21707.666787816015</v>
      </c>
      <c r="EA67" s="29">
        <f t="shared" si="251"/>
        <v>22099.277586319378</v>
      </c>
      <c r="EB67" s="29">
        <f t="shared" si="251"/>
        <v>22639.150361535001</v>
      </c>
      <c r="EC67" s="29">
        <f t="shared" si="251"/>
        <v>23023.731612066982</v>
      </c>
      <c r="ED67" s="29">
        <f t="shared" si="251"/>
        <v>14603.004962253079</v>
      </c>
      <c r="EE67" s="29">
        <f t="shared" si="251"/>
        <v>12225.154800427892</v>
      </c>
      <c r="EF67" s="29">
        <f t="shared" si="251"/>
        <v>9196.0764058955447</v>
      </c>
      <c r="EG67" s="29">
        <f>+EF67*(1+$EI$71)</f>
        <v>9104.1156418365899</v>
      </c>
      <c r="EH67" s="29">
        <f t="shared" ref="EH67:FY67" si="252">+EG67*(1+$EI$71)</f>
        <v>9013.074485418223</v>
      </c>
      <c r="EI67" s="29">
        <f t="shared" si="252"/>
        <v>8922.9437405640401</v>
      </c>
      <c r="EJ67" s="29">
        <f t="shared" si="252"/>
        <v>8833.7143031584001</v>
      </c>
      <c r="EK67" s="29">
        <f t="shared" si="252"/>
        <v>8745.3771601268163</v>
      </c>
      <c r="EL67" s="29">
        <f t="shared" si="252"/>
        <v>8657.9233885255489</v>
      </c>
      <c r="EM67" s="29">
        <f t="shared" si="252"/>
        <v>8571.3441546402937</v>
      </c>
      <c r="EN67" s="29">
        <f t="shared" si="252"/>
        <v>8485.6307130938912</v>
      </c>
      <c r="EO67" s="29">
        <f t="shared" si="252"/>
        <v>8400.7744059629531</v>
      </c>
      <c r="EP67" s="29">
        <f t="shared" si="252"/>
        <v>8316.7666619033243</v>
      </c>
      <c r="EQ67" s="29">
        <f t="shared" si="252"/>
        <v>8233.5989952842901</v>
      </c>
      <c r="ER67" s="29">
        <f t="shared" si="252"/>
        <v>8151.2630053314469</v>
      </c>
      <c r="ES67" s="29">
        <f t="shared" si="252"/>
        <v>8069.7503752781322</v>
      </c>
      <c r="ET67" s="29">
        <f t="shared" si="252"/>
        <v>7989.0528715253504</v>
      </c>
      <c r="EU67" s="29">
        <f t="shared" si="252"/>
        <v>7909.1623428100966</v>
      </c>
      <c r="EV67" s="29">
        <f t="shared" si="252"/>
        <v>7830.0707193819953</v>
      </c>
      <c r="EW67" s="29">
        <f t="shared" si="252"/>
        <v>7751.7700121881753</v>
      </c>
      <c r="EX67" s="29">
        <f t="shared" si="252"/>
        <v>7674.2523120662936</v>
      </c>
      <c r="EY67" s="29">
        <f t="shared" si="252"/>
        <v>7597.509788945631</v>
      </c>
      <c r="EZ67" s="29">
        <f t="shared" si="252"/>
        <v>7521.5346910561748</v>
      </c>
      <c r="FA67" s="29">
        <f t="shared" si="252"/>
        <v>7446.3193441456133</v>
      </c>
      <c r="FB67" s="29">
        <f t="shared" si="252"/>
        <v>7371.8561507041568</v>
      </c>
      <c r="FC67" s="29">
        <f t="shared" si="252"/>
        <v>7298.1375891971147</v>
      </c>
      <c r="FD67" s="29">
        <f t="shared" si="252"/>
        <v>7225.1562133051439</v>
      </c>
      <c r="FE67" s="29">
        <f t="shared" si="252"/>
        <v>7152.9046511720926</v>
      </c>
      <c r="FF67" s="29">
        <f t="shared" si="252"/>
        <v>7081.3756046603712</v>
      </c>
      <c r="FG67" s="29">
        <f t="shared" si="252"/>
        <v>7010.5618486137673</v>
      </c>
      <c r="FH67" s="29">
        <f t="shared" si="252"/>
        <v>6940.4562301276292</v>
      </c>
      <c r="FI67" s="29">
        <f t="shared" si="252"/>
        <v>6871.051667826353</v>
      </c>
      <c r="FJ67" s="29">
        <f t="shared" si="252"/>
        <v>6802.341151148089</v>
      </c>
      <c r="FK67" s="29">
        <f t="shared" si="252"/>
        <v>6734.3177396366082</v>
      </c>
      <c r="FL67" s="29">
        <f t="shared" si="252"/>
        <v>6666.9745622402424</v>
      </c>
      <c r="FM67" s="29">
        <f t="shared" si="252"/>
        <v>6600.3048166178396</v>
      </c>
      <c r="FN67" s="29">
        <f t="shared" si="252"/>
        <v>6534.3017684516608</v>
      </c>
      <c r="FO67" s="29">
        <f t="shared" si="252"/>
        <v>6468.958750767144</v>
      </c>
      <c r="FP67" s="29">
        <f t="shared" si="252"/>
        <v>6404.2691632594724</v>
      </c>
      <c r="FQ67" s="29">
        <f t="shared" si="252"/>
        <v>6340.2264716268774</v>
      </c>
      <c r="FR67" s="29">
        <f t="shared" si="252"/>
        <v>6276.8242069106082</v>
      </c>
      <c r="FS67" s="29">
        <f t="shared" si="252"/>
        <v>6214.0559648415019</v>
      </c>
      <c r="FT67" s="29">
        <f t="shared" si="252"/>
        <v>6151.9154051930873</v>
      </c>
      <c r="FU67" s="29">
        <f t="shared" si="252"/>
        <v>6090.3962511411564</v>
      </c>
      <c r="FV67" s="29">
        <f t="shared" si="252"/>
        <v>6029.4922886297445</v>
      </c>
      <c r="FW67" s="29">
        <f t="shared" si="252"/>
        <v>5969.1973657434473</v>
      </c>
      <c r="FX67" s="29">
        <f t="shared" si="252"/>
        <v>5909.5053920860128</v>
      </c>
      <c r="FY67" s="29">
        <f t="shared" si="252"/>
        <v>5850.410338165153</v>
      </c>
    </row>
    <row r="68" spans="2:181" s="18" customFormat="1" x14ac:dyDescent="0.2">
      <c r="B68" s="18" t="s">
        <v>107</v>
      </c>
      <c r="C68" s="37">
        <f t="shared" ref="C68:R68" si="253">C67/C69</f>
        <v>1.2725896012115094</v>
      </c>
      <c r="D68" s="37">
        <f t="shared" si="253"/>
        <v>1.607358870967742</v>
      </c>
      <c r="E68" s="37">
        <f t="shared" si="253"/>
        <v>1.2540322580645162</v>
      </c>
      <c r="F68" s="37">
        <f t="shared" si="253"/>
        <v>1.5320221886031267</v>
      </c>
      <c r="G68" s="37">
        <f t="shared" si="253"/>
        <v>1.3335010060362174</v>
      </c>
      <c r="H68" s="37">
        <f t="shared" si="253"/>
        <v>1.4719157472417252</v>
      </c>
      <c r="I68" s="37">
        <f t="shared" si="253"/>
        <v>0.96837349397590367</v>
      </c>
      <c r="J68" s="37">
        <f t="shared" si="253"/>
        <v>0.90056093829678741</v>
      </c>
      <c r="K68" s="37">
        <f t="shared" si="253"/>
        <v>1.2593890836254382</v>
      </c>
      <c r="L68" s="37">
        <f t="shared" si="253"/>
        <v>1.427716849451645</v>
      </c>
      <c r="M68" s="37">
        <f t="shared" si="253"/>
        <v>1.695328031809145</v>
      </c>
      <c r="N68" s="37">
        <f t="shared" si="253"/>
        <v>1.6941772151898735</v>
      </c>
      <c r="O68" s="37">
        <f t="shared" si="253"/>
        <v>1.827191235059761</v>
      </c>
      <c r="P68" s="37">
        <f>P67/P69</f>
        <v>2.0298804780876494</v>
      </c>
      <c r="Q68" s="37">
        <f>Q67/Q69</f>
        <v>2.1398137967980082</v>
      </c>
      <c r="R68" s="37">
        <f t="shared" si="253"/>
        <v>-0.93878965122764124</v>
      </c>
      <c r="S68" s="37">
        <f t="shared" ref="S68:Y68" si="254">S67/S69</f>
        <v>2.0418557740796772</v>
      </c>
      <c r="T68" s="37">
        <f t="shared" si="254"/>
        <v>2.2945032778618257</v>
      </c>
      <c r="U68" s="37">
        <f t="shared" si="254"/>
        <v>2.333165322580645</v>
      </c>
      <c r="V68" s="37">
        <f t="shared" si="254"/>
        <v>2.3751906456532792</v>
      </c>
      <c r="W68" s="37">
        <f t="shared" si="254"/>
        <v>0.43845519557776647</v>
      </c>
      <c r="X68" s="37">
        <f t="shared" si="254"/>
        <v>2.6956018518518516</v>
      </c>
      <c r="Y68" s="37">
        <f t="shared" si="254"/>
        <v>0.57126303592120509</v>
      </c>
      <c r="Z68" s="51">
        <f t="shared" ref="Z68:AE68" si="255">Z67/Z69</f>
        <v>0.2930934416715032</v>
      </c>
      <c r="AA68" s="51">
        <f t="shared" si="255"/>
        <v>0.60093348891481912</v>
      </c>
      <c r="AB68" s="37">
        <f t="shared" si="255"/>
        <v>0.54703832752613235</v>
      </c>
      <c r="AC68" s="37">
        <f t="shared" si="255"/>
        <v>0.56967930029154523</v>
      </c>
      <c r="AD68" s="37">
        <f t="shared" si="255"/>
        <v>0.51168224299065423</v>
      </c>
      <c r="AE68" s="37">
        <f t="shared" si="255"/>
        <v>0.55744431418522855</v>
      </c>
      <c r="AF68" s="37">
        <f t="shared" ref="AF68:AK68" si="256">AF67/AF69</f>
        <v>0.38980070339976552</v>
      </c>
      <c r="AG68" s="51">
        <f t="shared" si="256"/>
        <v>-0.42364824717765892</v>
      </c>
      <c r="AH68" s="51">
        <f t="shared" si="256"/>
        <v>0.46426389737324375</v>
      </c>
      <c r="AI68" s="51">
        <f t="shared" si="256"/>
        <v>0.58855751673767498</v>
      </c>
      <c r="AJ68" s="51">
        <f t="shared" si="256"/>
        <v>0.32563791008505466</v>
      </c>
      <c r="AK68" s="51">
        <f t="shared" si="256"/>
        <v>0.68245294474802676</v>
      </c>
      <c r="AL68" s="51">
        <f>AL67/AL69</f>
        <v>0.43577430972388953</v>
      </c>
      <c r="AM68" s="51">
        <f>AM67/AM69</f>
        <v>0.56242496998799518</v>
      </c>
      <c r="AN68" s="51">
        <f>AN67/AN69</f>
        <v>0.47633313361294188</v>
      </c>
      <c r="AO68" s="51">
        <f>AO67/AO69</f>
        <v>0.92275449101796403</v>
      </c>
      <c r="AP68" s="37">
        <f t="shared" ref="AP68" si="257">AP67/AP69</f>
        <v>7.7704722056186493E-3</v>
      </c>
      <c r="AQ68" s="37">
        <f t="shared" ref="AQ68:AS68" si="258">AQ67/AQ69</f>
        <v>0.70763723150357993</v>
      </c>
      <c r="AR68" s="37">
        <f t="shared" si="258"/>
        <v>-7.7984403119376128E-2</v>
      </c>
      <c r="AS68" s="37">
        <f t="shared" si="258"/>
        <v>0.42073897497020263</v>
      </c>
      <c r="AT68" s="37">
        <f t="shared" ref="AT68" si="259">AT67/AT69</f>
        <v>-8.2684242061114438E-2</v>
      </c>
      <c r="AU68" s="37">
        <f t="shared" ref="AU68:AV68" si="260">AU67/AU69</f>
        <v>0.71130952380952384</v>
      </c>
      <c r="AV68" s="37">
        <f t="shared" si="260"/>
        <v>0.69446098868374029</v>
      </c>
      <c r="AW68" s="37">
        <f t="shared" ref="AW68:AX68" si="261">AW67/AW69</f>
        <v>0.76652769505658125</v>
      </c>
      <c r="AX68" s="37">
        <f t="shared" si="261"/>
        <v>0.6333333333333333</v>
      </c>
      <c r="AY68" s="37">
        <f t="shared" ref="AY68:AZ68" si="262">AY67/AY69</f>
        <v>0.83782166367444644</v>
      </c>
      <c r="AZ68" s="37">
        <f t="shared" si="262"/>
        <v>0.73818181818181816</v>
      </c>
      <c r="BA68" s="37">
        <f t="shared" ref="BA68:BB68" si="263">BA67/BA69</f>
        <v>0.74711246200607906</v>
      </c>
      <c r="BB68" s="37">
        <f t="shared" si="263"/>
        <v>0.68331303288672351</v>
      </c>
      <c r="BC68" s="37">
        <f t="shared" ref="BC68:BD68" si="264">BC67/BC69</f>
        <v>0.94329268292682922</v>
      </c>
      <c r="BD68" s="37">
        <f t="shared" si="264"/>
        <v>1.0061124694376529</v>
      </c>
      <c r="BE68" s="36"/>
      <c r="BF68" s="36"/>
      <c r="BG68" s="37">
        <f t="shared" ref="BG68" si="265">BG67/BG69</f>
        <v>1.059254734270006</v>
      </c>
      <c r="BH68" s="37">
        <f>BH67/BH69</f>
        <v>1.1099572388515577</v>
      </c>
      <c r="BI68" s="36"/>
      <c r="BJ68" s="36"/>
      <c r="BK68" s="37">
        <f t="shared" ref="BK68" si="266">BK67/BK69</f>
        <v>1.862267493356953</v>
      </c>
      <c r="BL68" s="37">
        <f t="shared" ref="BL68:BS68" si="267">BL67/BL69</f>
        <v>0.69465311533362795</v>
      </c>
      <c r="BM68" s="37">
        <f t="shared" si="267"/>
        <v>1.5200873362445415</v>
      </c>
      <c r="BN68" s="37">
        <f t="shared" si="267"/>
        <v>1.4571303587051618</v>
      </c>
      <c r="BO68" s="37">
        <f t="shared" si="267"/>
        <v>1.752317880794702</v>
      </c>
      <c r="BP68" s="37">
        <f t="shared" si="267"/>
        <v>1.9804618117229129</v>
      </c>
      <c r="BQ68" s="37">
        <f t="shared" si="267"/>
        <v>1.6950512706197058</v>
      </c>
      <c r="BR68" s="37">
        <f t="shared" si="267"/>
        <v>1.8346101847679135</v>
      </c>
      <c r="BS68" s="37">
        <f t="shared" si="267"/>
        <v>2.1159889094269873</v>
      </c>
      <c r="BT68" s="37">
        <f t="shared" ref="BT68:BU68" si="268">BT67/BT69</f>
        <v>2.1172638436482085</v>
      </c>
      <c r="BU68" s="37">
        <f t="shared" si="268"/>
        <v>1.4267929269427644</v>
      </c>
      <c r="BV68" s="37">
        <f t="shared" ref="BV68" si="269">BV67/BV69</f>
        <v>2.0028248587570623</v>
      </c>
      <c r="BW68" s="37">
        <f t="shared" ref="BW68" si="270">BW67/BW69</f>
        <v>1.9378749999999998</v>
      </c>
      <c r="BX68" s="37">
        <f t="shared" ref="BX68" si="271">BX67/BX69</f>
        <v>1.8184435616760832</v>
      </c>
      <c r="BY68" s="37">
        <f t="shared" ref="BY68" si="272">BY67/BY69</f>
        <v>1.3994273334510363</v>
      </c>
      <c r="BZ68" s="37">
        <f t="shared" ref="BZ68:CB68" si="273">BZ67/BZ69</f>
        <v>1.8015249860228342</v>
      </c>
      <c r="CA68" s="37">
        <f t="shared" si="273"/>
        <v>1.9965397923875432</v>
      </c>
      <c r="CB68" s="37">
        <f t="shared" si="273"/>
        <v>2.1308100049431542</v>
      </c>
      <c r="CC68" s="37">
        <f t="shared" ref="CC68:CH68" si="274">CC67/CC69</f>
        <v>2.0519299258526944</v>
      </c>
      <c r="CD68" s="37">
        <f t="shared" si="274"/>
        <v>1.6961413331162234</v>
      </c>
      <c r="CE68" s="37">
        <f t="shared" si="274"/>
        <v>1.9393857008651842</v>
      </c>
      <c r="CF68" s="37">
        <f t="shared" si="274"/>
        <v>2.0541828162223439</v>
      </c>
      <c r="CG68" s="37">
        <f t="shared" si="274"/>
        <v>1.9837697036105324</v>
      </c>
      <c r="CH68" s="37">
        <f t="shared" si="274"/>
        <v>1.839731727445642</v>
      </c>
      <c r="CI68" s="36"/>
      <c r="CJ68" s="36"/>
      <c r="CK68" s="36"/>
      <c r="CL68" s="37">
        <f>CL67/CL69</f>
        <v>2.6405353728489485</v>
      </c>
      <c r="CM68" s="37">
        <f>CM67/CM69</f>
        <v>3.2209523809523808</v>
      </c>
      <c r="CN68" s="37">
        <f>CN67/CN69</f>
        <v>3.8214971209213053</v>
      </c>
      <c r="CO68" s="37">
        <f>CO67/CO69</f>
        <v>4.0694980694980698</v>
      </c>
      <c r="CP68" s="37">
        <f>CP67/CP69</f>
        <v>4.211650485436893</v>
      </c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7">
        <f t="shared" ref="DE68:DN68" si="275">DE67/DE69</f>
        <v>5.0781123126353505</v>
      </c>
      <c r="DF68" s="51">
        <f t="shared" si="275"/>
        <v>9.0438297334849054</v>
      </c>
      <c r="DG68" s="51">
        <f t="shared" si="275"/>
        <v>4.0036690149483647</v>
      </c>
      <c r="DH68" s="51">
        <f t="shared" si="275"/>
        <v>2.2293457671572199</v>
      </c>
      <c r="DI68" s="37">
        <f t="shared" si="275"/>
        <v>3.0382780125309634</v>
      </c>
      <c r="DJ68" s="67">
        <f t="shared" si="275"/>
        <v>2.5939365059012092</v>
      </c>
      <c r="DK68" s="67">
        <f t="shared" si="275"/>
        <v>2.7603545446597697</v>
      </c>
      <c r="DL68" s="37">
        <f t="shared" si="275"/>
        <v>3.0978644639370536</v>
      </c>
      <c r="DM68" s="37">
        <f t="shared" si="275"/>
        <v>4.4444966315459702</v>
      </c>
      <c r="DN68" s="37">
        <f t="shared" si="275"/>
        <v>5.4693043782099657</v>
      </c>
      <c r="DO68" s="37">
        <f t="shared" ref="DO68:DV68" si="276">DO67/DO69</f>
        <v>5.4693043782099657</v>
      </c>
      <c r="DP68" s="37">
        <f t="shared" si="276"/>
        <v>5.4693043782099657</v>
      </c>
      <c r="DQ68" s="37">
        <f t="shared" si="276"/>
        <v>0</v>
      </c>
      <c r="DR68" s="37">
        <f t="shared" si="276"/>
        <v>0</v>
      </c>
      <c r="DS68" s="37">
        <f t="shared" si="276"/>
        <v>9.5975101267486398</v>
      </c>
      <c r="DT68" s="37">
        <f t="shared" si="276"/>
        <v>8.6215213099209702</v>
      </c>
      <c r="DU68" s="37">
        <f t="shared" si="276"/>
        <v>7.874570816595468</v>
      </c>
      <c r="DV68" s="37">
        <f t="shared" si="276"/>
        <v>8.9713876071035621</v>
      </c>
      <c r="DW68" s="37">
        <f t="shared" ref="DW68:EF68" si="277">DW67/DW69</f>
        <v>12.693125484429114</v>
      </c>
      <c r="DX68" s="37">
        <f t="shared" si="277"/>
        <v>13.239341936540351</v>
      </c>
      <c r="DY68" s="37">
        <f t="shared" si="277"/>
        <v>12.069359768998661</v>
      </c>
      <c r="DZ68" s="37">
        <f t="shared" si="277"/>
        <v>10.722069846735524</v>
      </c>
      <c r="EA68" s="37">
        <f t="shared" si="277"/>
        <v>10.915498204344443</v>
      </c>
      <c r="EB68" s="37">
        <f t="shared" si="277"/>
        <v>11.182157613703989</v>
      </c>
      <c r="EC68" s="37">
        <f t="shared" si="277"/>
        <v>11.372113866038911</v>
      </c>
      <c r="ED68" s="37">
        <f t="shared" si="277"/>
        <v>7.2128635798566973</v>
      </c>
      <c r="EE68" s="37">
        <f t="shared" si="277"/>
        <v>6.0383718314173391</v>
      </c>
      <c r="EF68" s="37">
        <f t="shared" si="277"/>
        <v>4.5422188622902082</v>
      </c>
    </row>
    <row r="69" spans="2:181" x14ac:dyDescent="0.2">
      <c r="B69" s="1" t="s">
        <v>108</v>
      </c>
      <c r="C69" s="29">
        <v>1981</v>
      </c>
      <c r="D69" s="29">
        <v>1984</v>
      </c>
      <c r="E69" s="29">
        <v>1984</v>
      </c>
      <c r="F69" s="29">
        <v>1983</v>
      </c>
      <c r="G69" s="29">
        <v>1988</v>
      </c>
      <c r="H69" s="29">
        <v>1994</v>
      </c>
      <c r="I69" s="29">
        <v>1992</v>
      </c>
      <c r="J69" s="29">
        <v>1961</v>
      </c>
      <c r="K69" s="29">
        <v>1997</v>
      </c>
      <c r="L69" s="29">
        <v>2006</v>
      </c>
      <c r="M69" s="29">
        <v>2012</v>
      </c>
      <c r="N69" s="29">
        <v>1975</v>
      </c>
      <c r="O69" s="29">
        <v>2008</v>
      </c>
      <c r="P69" s="29">
        <v>2008</v>
      </c>
      <c r="Q69" s="29">
        <v>1979.6115</v>
      </c>
      <c r="R69" s="29">
        <f>Q69-1</f>
        <v>1978.6115</v>
      </c>
      <c r="S69" s="29">
        <v>1983</v>
      </c>
      <c r="T69" s="29">
        <v>1983</v>
      </c>
      <c r="U69" s="29">
        <v>1984</v>
      </c>
      <c r="V69" s="29">
        <v>1967</v>
      </c>
      <c r="W69" s="29">
        <v>1719.674</v>
      </c>
      <c r="X69" s="29">
        <v>1728</v>
      </c>
      <c r="Y69" s="29">
        <v>1726</v>
      </c>
      <c r="Z69" s="49">
        <v>1723</v>
      </c>
      <c r="AA69" s="49">
        <v>1714</v>
      </c>
      <c r="AB69" s="29">
        <v>1722</v>
      </c>
      <c r="AC69" s="29">
        <v>1715</v>
      </c>
      <c r="AD69" s="29">
        <v>1712</v>
      </c>
      <c r="AE69" s="29">
        <v>1706</v>
      </c>
      <c r="AF69" s="29">
        <v>1706</v>
      </c>
      <c r="AG69" s="49">
        <v>1683</v>
      </c>
      <c r="AH69" s="49">
        <v>1637</v>
      </c>
      <c r="AI69" s="29">
        <v>1643</v>
      </c>
      <c r="AJ69" s="29">
        <v>1646</v>
      </c>
      <c r="AK69" s="29">
        <v>1647</v>
      </c>
      <c r="AL69" s="29">
        <v>1666</v>
      </c>
      <c r="AM69" s="29">
        <v>1666</v>
      </c>
      <c r="AN69" s="29">
        <v>1669</v>
      </c>
      <c r="AO69" s="29">
        <v>1670</v>
      </c>
      <c r="AP69" s="29">
        <v>1673</v>
      </c>
      <c r="AQ69" s="29">
        <v>1676</v>
      </c>
      <c r="AR69" s="29">
        <v>1667</v>
      </c>
      <c r="AS69" s="29">
        <v>1678</v>
      </c>
      <c r="AT69" s="29">
        <v>1669</v>
      </c>
      <c r="AU69" s="29">
        <v>1680</v>
      </c>
      <c r="AV69" s="29">
        <v>1679</v>
      </c>
      <c r="AW69" s="29">
        <v>1679</v>
      </c>
      <c r="AX69" s="29">
        <v>1680</v>
      </c>
      <c r="AY69" s="29">
        <v>1671</v>
      </c>
      <c r="AZ69" s="29">
        <v>1650</v>
      </c>
      <c r="BA69" s="29">
        <v>1645</v>
      </c>
      <c r="BB69" s="29">
        <v>1642</v>
      </c>
      <c r="BC69" s="29">
        <v>1640</v>
      </c>
      <c r="BD69" s="29">
        <v>1636</v>
      </c>
      <c r="BG69" s="29">
        <v>1637</v>
      </c>
      <c r="BH69" s="29">
        <v>1637</v>
      </c>
      <c r="BK69" s="29">
        <v>2258</v>
      </c>
      <c r="BL69" s="29">
        <v>2263</v>
      </c>
      <c r="BM69" s="29">
        <v>2290</v>
      </c>
      <c r="BN69" s="29">
        <v>2286</v>
      </c>
      <c r="BO69" s="29">
        <v>2265</v>
      </c>
      <c r="BP69" s="29">
        <v>2252</v>
      </c>
      <c r="BQ69" s="29">
        <v>2243</v>
      </c>
      <c r="BR69" s="29">
        <v>2219</v>
      </c>
      <c r="BS69" s="29">
        <v>2164</v>
      </c>
      <c r="BT69" s="29">
        <v>2149</v>
      </c>
      <c r="BU69" s="29">
        <f>+BT69</f>
        <v>2149</v>
      </c>
      <c r="BV69" s="29">
        <v>2124</v>
      </c>
      <c r="BW69" s="29">
        <f t="shared" ref="BW69:BZ69" si="278">+BV69</f>
        <v>2124</v>
      </c>
      <c r="BX69" s="29">
        <f t="shared" si="278"/>
        <v>2124</v>
      </c>
      <c r="BY69" s="29">
        <f t="shared" si="278"/>
        <v>2124</v>
      </c>
      <c r="BZ69" s="29">
        <f t="shared" si="278"/>
        <v>2124</v>
      </c>
      <c r="CA69" s="29">
        <v>2023</v>
      </c>
      <c r="CB69" s="64">
        <f>+CA69</f>
        <v>2023</v>
      </c>
      <c r="CC69" s="64">
        <f t="shared" ref="CC69:CH69" si="279">+CB69</f>
        <v>2023</v>
      </c>
      <c r="CD69" s="29">
        <v>2029.312023</v>
      </c>
      <c r="CE69" s="29">
        <f t="shared" si="279"/>
        <v>2029.312023</v>
      </c>
      <c r="CF69" s="29">
        <f t="shared" si="279"/>
        <v>2029.312023</v>
      </c>
      <c r="CG69" s="29">
        <f t="shared" si="279"/>
        <v>2029.312023</v>
      </c>
      <c r="CH69" s="29">
        <f t="shared" si="279"/>
        <v>2029.312023</v>
      </c>
      <c r="CL69" s="29">
        <v>523</v>
      </c>
      <c r="CM69" s="29">
        <v>525</v>
      </c>
      <c r="CN69" s="29">
        <v>521</v>
      </c>
      <c r="CO69" s="29">
        <v>518</v>
      </c>
      <c r="CP69" s="29">
        <v>515</v>
      </c>
      <c r="DE69" s="29">
        <f>AVERAGE(O69:R69)</f>
        <v>1993.55575</v>
      </c>
      <c r="DF69" s="49">
        <f>AVERAGE(S69:V69)</f>
        <v>1979.25</v>
      </c>
      <c r="DG69" s="49">
        <f>AVERAGE(W69:Z69)</f>
        <v>1724.1685</v>
      </c>
      <c r="DH69" s="49">
        <f>AVERAGE(AA69:AD69)</f>
        <v>1715.75</v>
      </c>
      <c r="DI69" s="29">
        <f t="shared" ref="DI69:DN69" si="280">DH69</f>
        <v>1715.75</v>
      </c>
      <c r="DJ69" s="64">
        <f t="shared" si="280"/>
        <v>1715.75</v>
      </c>
      <c r="DK69" s="64">
        <f t="shared" si="280"/>
        <v>1715.75</v>
      </c>
      <c r="DL69" s="29">
        <f t="shared" si="280"/>
        <v>1715.75</v>
      </c>
      <c r="DM69" s="29">
        <f t="shared" si="280"/>
        <v>1715.75</v>
      </c>
      <c r="DN69" s="29">
        <f t="shared" si="280"/>
        <v>1715.75</v>
      </c>
      <c r="DO69" s="29">
        <f t="shared" ref="DO69:DT69" si="281">DN69</f>
        <v>1715.75</v>
      </c>
      <c r="DP69" s="29">
        <f t="shared" si="281"/>
        <v>1715.75</v>
      </c>
      <c r="DQ69" s="29">
        <f t="shared" si="281"/>
        <v>1715.75</v>
      </c>
      <c r="DR69" s="29">
        <f t="shared" si="281"/>
        <v>1715.75</v>
      </c>
      <c r="DS69" s="29">
        <f t="shared" si="281"/>
        <v>1715.75</v>
      </c>
      <c r="DT69" s="29">
        <f t="shared" si="281"/>
        <v>1715.75</v>
      </c>
      <c r="DU69" s="29">
        <f>AVERAGE(CA69:CD69)</f>
        <v>2024.5780057500001</v>
      </c>
      <c r="DV69" s="29">
        <f>+DU69</f>
        <v>2024.5780057500001</v>
      </c>
      <c r="DW69" s="29">
        <f t="shared" ref="DW69:EF69" si="282">+DV69</f>
        <v>2024.5780057500001</v>
      </c>
      <c r="DX69" s="29">
        <f t="shared" si="282"/>
        <v>2024.5780057500001</v>
      </c>
      <c r="DY69" s="29">
        <f t="shared" si="282"/>
        <v>2024.5780057500001</v>
      </c>
      <c r="DZ69" s="29">
        <f t="shared" si="282"/>
        <v>2024.5780057500001</v>
      </c>
      <c r="EA69" s="29">
        <f t="shared" si="282"/>
        <v>2024.5780057500001</v>
      </c>
      <c r="EB69" s="29">
        <f t="shared" si="282"/>
        <v>2024.5780057500001</v>
      </c>
      <c r="EC69" s="29">
        <f t="shared" si="282"/>
        <v>2024.5780057500001</v>
      </c>
      <c r="ED69" s="29">
        <f t="shared" si="282"/>
        <v>2024.5780057500001</v>
      </c>
      <c r="EE69" s="29">
        <f t="shared" si="282"/>
        <v>2024.5780057500001</v>
      </c>
      <c r="EF69" s="29">
        <f t="shared" si="282"/>
        <v>2024.5780057500001</v>
      </c>
    </row>
    <row r="70" spans="2:181" x14ac:dyDescent="0.2">
      <c r="DD70" s="75">
        <f>DD55/DC55-1</f>
        <v>0.21947175174700928</v>
      </c>
      <c r="DE70" s="36"/>
      <c r="DJ70" s="68"/>
      <c r="DK70" s="68"/>
      <c r="DX70" s="32"/>
      <c r="DY70" s="40"/>
    </row>
    <row r="71" spans="2:181" s="18" customFormat="1" x14ac:dyDescent="0.2">
      <c r="B71" s="18" t="s">
        <v>435</v>
      </c>
      <c r="C71" s="32" t="s">
        <v>357</v>
      </c>
      <c r="D71" s="32" t="s">
        <v>357</v>
      </c>
      <c r="E71" s="32" t="s">
        <v>357</v>
      </c>
      <c r="F71" s="32" t="s">
        <v>357</v>
      </c>
      <c r="G71" s="39">
        <f t="shared" ref="G71:AK71" si="283">G55/C55-1</f>
        <v>6.9661865998747574E-2</v>
      </c>
      <c r="H71" s="39">
        <f t="shared" si="283"/>
        <v>5.4844606946984342E-3</v>
      </c>
      <c r="I71" s="39">
        <f t="shared" si="283"/>
        <v>-0.16528805688579307</v>
      </c>
      <c r="J71" s="39">
        <f t="shared" si="283"/>
        <v>-0.23673079547005049</v>
      </c>
      <c r="K71" s="39">
        <f t="shared" si="283"/>
        <v>-9.9663398214547061E-2</v>
      </c>
      <c r="L71" s="39">
        <f t="shared" si="283"/>
        <v>-8.2517482517482366E-3</v>
      </c>
      <c r="M71" s="39">
        <f t="shared" si="283"/>
        <v>0.36474269819193328</v>
      </c>
      <c r="N71" s="39">
        <f t="shared" si="283"/>
        <v>0.51787629603146224</v>
      </c>
      <c r="O71" s="39">
        <f t="shared" si="283"/>
        <v>0.32282184655396629</v>
      </c>
      <c r="P71" s="39">
        <f t="shared" si="283"/>
        <v>0.18713862642786627</v>
      </c>
      <c r="Q71" s="39">
        <f t="shared" si="283"/>
        <v>9.2993630573248387E-2</v>
      </c>
      <c r="R71" s="39">
        <f t="shared" si="283"/>
        <v>1.6252502649864553E-2</v>
      </c>
      <c r="S71" s="39">
        <f t="shared" si="283"/>
        <v>1.9292209388056092E-2</v>
      </c>
      <c r="T71" s="39">
        <f t="shared" si="283"/>
        <v>5.7614635305298201E-2</v>
      </c>
      <c r="U71" s="39">
        <f t="shared" si="283"/>
        <v>6.0139860139860168E-2</v>
      </c>
      <c r="V71" s="39">
        <f t="shared" si="283"/>
        <v>2.607486383126667E-2</v>
      </c>
      <c r="W71" s="39">
        <f t="shared" si="283"/>
        <v>-0.42049427365883063</v>
      </c>
      <c r="X71" s="39">
        <f t="shared" si="283"/>
        <v>-4.8073683028192704E-2</v>
      </c>
      <c r="Y71" s="39">
        <f t="shared" si="283"/>
        <v>-0.47251539138082677</v>
      </c>
      <c r="Z71" s="39">
        <f t="shared" si="283"/>
        <v>-0.42274678111587982</v>
      </c>
      <c r="AA71" s="39">
        <f t="shared" si="283"/>
        <v>4.2438111087996777E-2</v>
      </c>
      <c r="AB71" s="39">
        <f t="shared" si="283"/>
        <v>-0.35882005899705016</v>
      </c>
      <c r="AC71" s="39">
        <f t="shared" si="283"/>
        <v>0.11400583576490209</v>
      </c>
      <c r="AD71" s="39">
        <f t="shared" si="283"/>
        <v>6.7110154568577496E-2</v>
      </c>
      <c r="AE71" s="39">
        <f t="shared" si="283"/>
        <v>4.7894631810017962E-2</v>
      </c>
      <c r="AF71" s="39">
        <f t="shared" si="283"/>
        <v>-0.18237026131762979</v>
      </c>
      <c r="AG71" s="39">
        <f t="shared" si="283"/>
        <v>-0.30102899906454628</v>
      </c>
      <c r="AH71" s="39">
        <f t="shared" si="283"/>
        <v>-0.23157315731573158</v>
      </c>
      <c r="AI71" s="39">
        <f t="shared" si="283"/>
        <v>-0.202247191011236</v>
      </c>
      <c r="AJ71" s="39">
        <f t="shared" si="283"/>
        <v>-8.8903893765473807E-2</v>
      </c>
      <c r="AK71" s="39">
        <f t="shared" si="283"/>
        <v>0.20369379014989297</v>
      </c>
      <c r="AL71" s="39">
        <f t="shared" ref="AL71" si="284">AL55/AH55-1</f>
        <v>5.9651634454784164E-2</v>
      </c>
      <c r="AM71" s="39">
        <f t="shared" ref="AM71" si="285">AM55/AI55-1</f>
        <v>-9.0236333253759793E-2</v>
      </c>
      <c r="AN71" s="39">
        <f t="shared" ref="AN71" si="286">AN55/AJ55-1</f>
        <v>-3.9278656126482181E-2</v>
      </c>
      <c r="AO71" s="39">
        <f t="shared" ref="AO71" si="287">AO55/AK55-1</f>
        <v>5.4258394485212413E-2</v>
      </c>
      <c r="AP71" s="39">
        <f t="shared" ref="AP71" si="288">AP55/AL55-1</f>
        <v>-4.1206935374915599E-2</v>
      </c>
      <c r="AQ71" s="39">
        <f t="shared" ref="AQ71" si="289">AQ55/AM55-1</f>
        <v>6.0351613749672017E-2</v>
      </c>
      <c r="AR71" s="39">
        <f t="shared" ref="AR71" si="290">AR55/AN55-1</f>
        <v>7.045512985343283E-2</v>
      </c>
      <c r="AS71" s="39">
        <f t="shared" ref="AS71" si="291">AS55/AO55-1</f>
        <v>-0.14174224847078676</v>
      </c>
      <c r="AT71" s="39">
        <f t="shared" ref="AT71" si="292">AT55/AP55-1</f>
        <v>6.8107092531703994E-3</v>
      </c>
      <c r="AU71" s="39">
        <f t="shared" ref="AU71" si="293">AU55/AQ55-1</f>
        <v>8.6612224696857254E-2</v>
      </c>
      <c r="AV71" s="39">
        <f t="shared" ref="AV71" si="294">AV55/AR55-1</f>
        <v>0.17006966130194567</v>
      </c>
      <c r="AW71" s="39">
        <f t="shared" ref="AW71" si="295">AW55/AS55-1</f>
        <v>0.20963381666257064</v>
      </c>
      <c r="AX71" s="39">
        <f t="shared" ref="AX71" si="296">AX55/AT55-1</f>
        <v>0.22299976673664568</v>
      </c>
      <c r="AY71" s="39">
        <f t="shared" ref="AY71:BA71" si="297">AY55/AU55-1</f>
        <v>0.12252334320200409</v>
      </c>
      <c r="AZ71" s="39">
        <f t="shared" si="297"/>
        <v>5.6045986450420804E-2</v>
      </c>
      <c r="BA71" s="39">
        <f t="shared" si="297"/>
        <v>6.7452255180820764E-2</v>
      </c>
      <c r="BB71" s="39">
        <f t="shared" ref="BB71" si="298">BB55/AX55-1</f>
        <v>3.9290482548159478E-2</v>
      </c>
      <c r="BC71" s="39">
        <f t="shared" ref="BC71:BK71" si="299">BC55/AY55-1</f>
        <v>5.3560559951308484E-2</v>
      </c>
      <c r="BD71" s="39">
        <f t="shared" ref="BD71" si="300">BD55/AZ55-1</f>
        <v>0.10886469673405919</v>
      </c>
      <c r="BE71" s="39">
        <f t="shared" ref="BE71" si="301">BE55/BA55-1</f>
        <v>8.3174724019794422E-2</v>
      </c>
      <c r="BF71" s="39">
        <f t="shared" ref="BF71" si="302">BF55/BB55-1</f>
        <v>9.616443384107165E-2</v>
      </c>
      <c r="BG71" s="39">
        <f t="shared" si="299"/>
        <v>0.13999614866165988</v>
      </c>
      <c r="BH71" s="39">
        <f t="shared" si="299"/>
        <v>9.9754558204768529E-2</v>
      </c>
      <c r="BI71" s="39">
        <f t="shared" si="299"/>
        <v>5.5526269548409779E-2</v>
      </c>
      <c r="BJ71" s="39">
        <f t="shared" si="299"/>
        <v>0.33015235225179973</v>
      </c>
      <c r="BK71" s="39">
        <f t="shared" si="299"/>
        <v>0.82111486486486496</v>
      </c>
      <c r="BL71" s="39">
        <f t="shared" ref="BL71" si="303">BL55/BH55-1</f>
        <v>0.6146979116849991</v>
      </c>
      <c r="BM71" s="39">
        <f t="shared" ref="BM71" si="304">BM55/BI55-1</f>
        <v>0.75461961045446979</v>
      </c>
      <c r="BN71" s="39">
        <f t="shared" ref="BN71" si="305">BN55/BJ55-1</f>
        <v>0.39307740717432349</v>
      </c>
      <c r="BO71" s="39">
        <f t="shared" ref="BO71" si="306">BO55/BK55-1</f>
        <v>2.7084686021704885E-2</v>
      </c>
      <c r="BP71" s="39">
        <f t="shared" ref="BP71:BR71" si="307">BP55/BL55-1</f>
        <v>0.15539539934840563</v>
      </c>
      <c r="BQ71" s="39">
        <f t="shared" si="307"/>
        <v>0.10284629981024662</v>
      </c>
      <c r="BR71" s="39">
        <f t="shared" si="307"/>
        <v>8.2851463679074699E-2</v>
      </c>
      <c r="BS71" s="39">
        <f>BS55/BO55-1</f>
        <v>5.1928113429061673E-2</v>
      </c>
      <c r="BT71" s="39">
        <f t="shared" ref="BT71" si="308">BT55/BP55-1</f>
        <v>1.5722464325386598E-2</v>
      </c>
      <c r="BU71" s="39">
        <f t="shared" ref="BU71" si="309">BU55/BQ55-1</f>
        <v>-3.4927735719201602E-2</v>
      </c>
      <c r="BV71" s="39">
        <f>BV55/BR55-1</f>
        <v>-4.8310387984981218E-2</v>
      </c>
      <c r="BW71" s="39">
        <f t="shared" ref="BW71" si="310">BW55/BS55-1</f>
        <v>-2.6699862637362681E-2</v>
      </c>
      <c r="BX71" s="39">
        <f t="shared" ref="BX71" si="311">BX55/BT55-1</f>
        <v>-5.5606965592664204E-2</v>
      </c>
      <c r="BY71" s="39">
        <f t="shared" ref="BY71" si="312">BY55/BU55-1</f>
        <v>-2.2463897307897995E-2</v>
      </c>
      <c r="BZ71" s="39">
        <f t="shared" ref="BZ71:CH71" si="313">BZ55/BV55-1</f>
        <v>6.2247939680870612E-3</v>
      </c>
      <c r="CA71" s="39">
        <f t="shared" si="313"/>
        <v>4.6573167504630808E-2</v>
      </c>
      <c r="CB71" s="39">
        <f t="shared" si="313"/>
        <v>8.6851950828433999E-2</v>
      </c>
      <c r="CC71" s="39">
        <f t="shared" si="313"/>
        <v>8.4442823271931422E-2</v>
      </c>
      <c r="CD71" s="39">
        <f t="shared" si="313"/>
        <v>7.5368127559466869E-2</v>
      </c>
      <c r="CE71" s="39">
        <f t="shared" si="313"/>
        <v>-8.052254530130587E-3</v>
      </c>
      <c r="CF71" s="39">
        <f t="shared" si="313"/>
        <v>-1.4011966232275852E-2</v>
      </c>
      <c r="CG71" s="39">
        <f t="shared" si="313"/>
        <v>-1.2203666330306118E-2</v>
      </c>
      <c r="CH71" s="39">
        <f t="shared" si="313"/>
        <v>-1.4513871333657447E-2</v>
      </c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52">
        <f t="shared" ref="CZ71:EF71" si="314">CZ55/CY55-1</f>
        <v>0.26885218551885215</v>
      </c>
      <c r="DA71" s="52">
        <f t="shared" si="314"/>
        <v>5.6735257379527892E-2</v>
      </c>
      <c r="DB71" s="52">
        <f t="shared" si="314"/>
        <v>0.72471071295259426</v>
      </c>
      <c r="DC71" s="52">
        <f t="shared" si="314"/>
        <v>-8.635429066118383E-2</v>
      </c>
      <c r="DD71" s="52">
        <f t="shared" si="314"/>
        <v>0.21947175174700928</v>
      </c>
      <c r="DE71" s="52">
        <f t="shared" si="314"/>
        <v>9.3142968142968074E-2</v>
      </c>
      <c r="DF71" s="52">
        <f t="shared" si="314"/>
        <v>4.0959573522878712E-2</v>
      </c>
      <c r="DG71" s="52">
        <f t="shared" si="314"/>
        <v>-0.34019005348810738</v>
      </c>
      <c r="DH71" s="52">
        <f t="shared" si="314"/>
        <v>-8.3954982536328715E-2</v>
      </c>
      <c r="DI71" s="52">
        <f t="shared" si="314"/>
        <v>-0.17294294859725101</v>
      </c>
      <c r="DJ71" s="69">
        <f t="shared" si="314"/>
        <v>-0.14902390438247015</v>
      </c>
      <c r="DK71" s="69">
        <f t="shared" si="314"/>
        <v>1.6784100751422226E-2</v>
      </c>
      <c r="DL71" s="52">
        <f t="shared" si="314"/>
        <v>-9.865047754989309E-3</v>
      </c>
      <c r="DM71" s="52">
        <f t="shared" si="314"/>
        <v>0.28556272014172257</v>
      </c>
      <c r="DN71" s="52">
        <f t="shared" si="314"/>
        <v>7.2256651638107572E-2</v>
      </c>
      <c r="DO71" s="52">
        <f t="shared" si="314"/>
        <v>8.7311712374608996E-2</v>
      </c>
      <c r="DP71" s="52">
        <f t="shared" si="314"/>
        <v>0.15885820663977657</v>
      </c>
      <c r="DQ71" s="52">
        <f t="shared" si="314"/>
        <v>0.62623828647925039</v>
      </c>
      <c r="DR71" s="52">
        <f t="shared" si="314"/>
        <v>9.0949715414647914E-2</v>
      </c>
      <c r="DS71" s="52">
        <f t="shared" si="314"/>
        <v>-4.8722647407567488E-3</v>
      </c>
      <c r="DT71" s="52">
        <f t="shared" si="314"/>
        <v>-2.4978877358694973E-2</v>
      </c>
      <c r="DU71" s="52">
        <f t="shared" si="314"/>
        <v>7.3190241301159809E-2</v>
      </c>
      <c r="DV71" s="52">
        <f t="shared" si="314"/>
        <v>3.538807039337466E-2</v>
      </c>
      <c r="DW71" s="52">
        <f t="shared" si="314"/>
        <v>-1.1789516401366051E-2</v>
      </c>
      <c r="DX71" s="52">
        <f t="shared" si="314"/>
        <v>4.2070062786147888E-2</v>
      </c>
      <c r="DY71" s="52">
        <f t="shared" si="314"/>
        <v>-9.6460629182214541E-2</v>
      </c>
      <c r="DZ71" s="52">
        <f t="shared" si="314"/>
        <v>-0.12081140610575991</v>
      </c>
      <c r="EA71" s="52">
        <f t="shared" si="314"/>
        <v>1.0245346993538407E-2</v>
      </c>
      <c r="EB71" s="52">
        <f t="shared" si="314"/>
        <v>1.6894471287901558E-2</v>
      </c>
      <c r="EC71" s="52">
        <f t="shared" si="314"/>
        <v>9.3103142309749476E-3</v>
      </c>
      <c r="ED71" s="52">
        <f t="shared" si="314"/>
        <v>-0.39011268334881777</v>
      </c>
      <c r="EE71" s="52">
        <f t="shared" si="314"/>
        <v>-0.18544180415415101</v>
      </c>
      <c r="EF71" s="52">
        <f t="shared" si="314"/>
        <v>-0.28535327015926104</v>
      </c>
      <c r="EH71" s="18" t="s">
        <v>724</v>
      </c>
      <c r="EI71" s="91">
        <v>-0.01</v>
      </c>
    </row>
    <row r="72" spans="2:181" s="18" customFormat="1" x14ac:dyDescent="0.2">
      <c r="B72" s="22" t="s">
        <v>643</v>
      </c>
      <c r="C72" s="32"/>
      <c r="D72" s="32"/>
      <c r="E72" s="32"/>
      <c r="F72" s="3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9"/>
      <c r="BL72" s="39"/>
      <c r="BM72" s="39"/>
      <c r="BN72" s="39"/>
      <c r="BO72" s="39"/>
      <c r="BP72" s="39"/>
      <c r="BQ72" s="39"/>
      <c r="BR72" s="39"/>
      <c r="BS72" s="39"/>
      <c r="BT72" s="39">
        <v>0.05</v>
      </c>
      <c r="BU72" s="39"/>
      <c r="BV72" s="39"/>
      <c r="BW72" s="39"/>
      <c r="BX72" s="39"/>
      <c r="BY72" s="39"/>
      <c r="BZ72" s="39"/>
      <c r="CA72" s="39"/>
      <c r="CB72" s="39"/>
      <c r="CC72" s="39"/>
      <c r="CD72" s="39">
        <v>0.09</v>
      </c>
      <c r="CE72" s="39"/>
      <c r="CF72" s="39"/>
      <c r="CG72" s="39"/>
      <c r="CH72" s="39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69"/>
      <c r="DK72" s="69"/>
      <c r="DL72" s="52"/>
      <c r="DM72" s="52"/>
      <c r="DN72" s="52"/>
      <c r="DO72" s="52"/>
      <c r="DP72" s="52"/>
      <c r="DQ72" s="52"/>
      <c r="DR72" s="52"/>
      <c r="DS72" s="52"/>
      <c r="DT72" s="52"/>
      <c r="DU72" s="52">
        <v>0.09</v>
      </c>
      <c r="DV72" s="52"/>
      <c r="DX72" s="32"/>
      <c r="DY72" s="78"/>
      <c r="EH72" s="18" t="s">
        <v>725</v>
      </c>
      <c r="EI72" s="91">
        <v>0.01</v>
      </c>
    </row>
    <row r="73" spans="2:181" s="22" customFormat="1" x14ac:dyDescent="0.2">
      <c r="B73" s="22" t="s">
        <v>622</v>
      </c>
      <c r="C73" s="32"/>
      <c r="D73" s="32"/>
      <c r="E73" s="32"/>
      <c r="F73" s="32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32"/>
      <c r="AU73" s="32"/>
      <c r="AV73" s="32"/>
      <c r="AW73" s="32"/>
      <c r="AX73" s="40">
        <f t="shared" ref="AX73:CH73" si="315">AX4/AT4-1</f>
        <v>0.57475083056478415</v>
      </c>
      <c r="AY73" s="40">
        <f t="shared" si="315"/>
        <v>0.5</v>
      </c>
      <c r="AZ73" s="40">
        <f t="shared" si="315"/>
        <v>0.5135135135135136</v>
      </c>
      <c r="BA73" s="40">
        <f t="shared" si="315"/>
        <v>0.39366515837104066</v>
      </c>
      <c r="BB73" s="40">
        <f t="shared" si="315"/>
        <v>0.43776371308016881</v>
      </c>
      <c r="BC73" s="40">
        <f t="shared" si="315"/>
        <v>0.36784741144414168</v>
      </c>
      <c r="BD73" s="40">
        <f t="shared" si="315"/>
        <v>0.40306122448979598</v>
      </c>
      <c r="BE73" s="40">
        <f t="shared" si="315"/>
        <v>0.28003246753246747</v>
      </c>
      <c r="BF73" s="40">
        <f t="shared" si="315"/>
        <v>0.25091709464416723</v>
      </c>
      <c r="BG73" s="40">
        <f t="shared" si="315"/>
        <v>0.27822045152722441</v>
      </c>
      <c r="BH73" s="40">
        <f t="shared" si="315"/>
        <v>0.23757575757575755</v>
      </c>
      <c r="BI73" s="40">
        <f t="shared" si="315"/>
        <v>0.22257450856055794</v>
      </c>
      <c r="BJ73" s="40">
        <f t="shared" si="315"/>
        <v>0.19296187683284449</v>
      </c>
      <c r="BK73" s="40">
        <f t="shared" si="315"/>
        <v>0.37194805194805203</v>
      </c>
      <c r="BL73" s="40">
        <f t="shared" si="315"/>
        <v>5.9255631733594605E-2</v>
      </c>
      <c r="BM73" s="40">
        <f t="shared" si="315"/>
        <v>8.6618257261410703E-2</v>
      </c>
      <c r="BN73" s="40">
        <f t="shared" si="315"/>
        <v>0.115535889872173</v>
      </c>
      <c r="BO73" s="40">
        <f t="shared" si="315"/>
        <v>9.2767890950397502E-2</v>
      </c>
      <c r="BP73" s="40">
        <f t="shared" si="315"/>
        <v>0.29079981507165975</v>
      </c>
      <c r="BQ73" s="40">
        <f t="shared" si="315"/>
        <v>0.15178997613365164</v>
      </c>
      <c r="BR73" s="40">
        <f t="shared" si="315"/>
        <v>0.17717055971793738</v>
      </c>
      <c r="BS73" s="40">
        <f t="shared" si="315"/>
        <v>0.11261261261261257</v>
      </c>
      <c r="BT73" s="40">
        <f t="shared" si="315"/>
        <v>0.1586676217765044</v>
      </c>
      <c r="BU73" s="40">
        <f t="shared" si="315"/>
        <v>0.1002900953170327</v>
      </c>
      <c r="BV73" s="40">
        <f t="shared" si="315"/>
        <v>6.3646574316735816E-3</v>
      </c>
      <c r="BW73" s="40">
        <f t="shared" si="315"/>
        <v>6.602304578013074E-2</v>
      </c>
      <c r="BX73" s="40">
        <f t="shared" si="315"/>
        <v>-9.582689335394079E-3</v>
      </c>
      <c r="BY73" s="40">
        <f t="shared" si="315"/>
        <v>1.883239171374762E-2</v>
      </c>
      <c r="BZ73" s="40">
        <f t="shared" si="315"/>
        <v>6.9196428571428603E-2</v>
      </c>
      <c r="CA73" s="40">
        <f t="shared" si="315"/>
        <v>8.6765994741454966E-2</v>
      </c>
      <c r="CB73" s="40">
        <f t="shared" si="315"/>
        <v>6.616729088639195E-2</v>
      </c>
      <c r="CC73" s="40">
        <f t="shared" si="315"/>
        <v>0.10979667282809613</v>
      </c>
      <c r="CD73" s="40">
        <f t="shared" si="315"/>
        <v>0.11169102296450939</v>
      </c>
      <c r="CE73" s="40">
        <f t="shared" si="315"/>
        <v>3.0000000000000027E-2</v>
      </c>
      <c r="CF73" s="40">
        <f t="shared" si="315"/>
        <v>3.0000000000000027E-2</v>
      </c>
      <c r="CG73" s="40">
        <f t="shared" si="315"/>
        <v>3.0000000000000027E-2</v>
      </c>
      <c r="CH73" s="40">
        <f t="shared" si="315"/>
        <v>3.0000000000000027E-2</v>
      </c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70"/>
      <c r="DK73" s="70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X73" s="74"/>
      <c r="DY73" s="83"/>
      <c r="EH73" s="22" t="s">
        <v>726</v>
      </c>
      <c r="EI73" s="58">
        <v>7.0000000000000007E-2</v>
      </c>
    </row>
    <row r="74" spans="2:181" s="22" customFormat="1" ht="12.95" customHeight="1" x14ac:dyDescent="0.2">
      <c r="B74" s="22" t="s">
        <v>621</v>
      </c>
      <c r="C74" s="32"/>
      <c r="D74" s="32"/>
      <c r="E74" s="32"/>
      <c r="F74" s="3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32"/>
      <c r="AU74" s="32"/>
      <c r="AV74" s="32"/>
      <c r="AW74" s="32"/>
      <c r="AX74" s="40">
        <f t="shared" ref="AX74:CH74" si="316">AX5/AT5-1</f>
        <v>1.7578947368421054</v>
      </c>
      <c r="AY74" s="40">
        <f t="shared" si="316"/>
        <v>0.60085227272727271</v>
      </c>
      <c r="AZ74" s="40">
        <f t="shared" si="316"/>
        <v>0.42261904761904767</v>
      </c>
      <c r="BA74" s="40">
        <f t="shared" si="316"/>
        <v>0.375</v>
      </c>
      <c r="BB74" s="40">
        <f t="shared" si="316"/>
        <v>3.8931297709923651E-2</v>
      </c>
      <c r="BC74" s="40">
        <f t="shared" si="316"/>
        <v>0.34072759538598052</v>
      </c>
      <c r="BD74" s="40">
        <f t="shared" si="316"/>
        <v>0.36150627615062758</v>
      </c>
      <c r="BE74" s="40">
        <f t="shared" si="316"/>
        <v>0.41739130434782612</v>
      </c>
      <c r="BF74" s="40">
        <f t="shared" si="316"/>
        <v>0.32549595885378402</v>
      </c>
      <c r="BG74" s="40">
        <f t="shared" si="316"/>
        <v>0.19192587690271345</v>
      </c>
      <c r="BH74" s="40">
        <f t="shared" si="316"/>
        <v>0.12046711739397664</v>
      </c>
      <c r="BI74" s="40">
        <f t="shared" si="316"/>
        <v>1.3385387618516376E-2</v>
      </c>
      <c r="BJ74" s="40">
        <f t="shared" si="316"/>
        <v>-2.2727272727272707E-2</v>
      </c>
      <c r="BK74" s="40">
        <f t="shared" si="316"/>
        <v>-1.9433647973348123E-2</v>
      </c>
      <c r="BL74" s="40">
        <f t="shared" si="316"/>
        <v>-9.3252879868348848E-2</v>
      </c>
      <c r="BM74" s="40">
        <f t="shared" si="316"/>
        <v>-2.0363236103467242E-2</v>
      </c>
      <c r="BN74" s="40">
        <f t="shared" si="316"/>
        <v>1.7016449234259712E-2</v>
      </c>
      <c r="BO74" s="40">
        <f t="shared" si="316"/>
        <v>-2.6047565118912819E-2</v>
      </c>
      <c r="BP74" s="40">
        <f t="shared" si="316"/>
        <v>0.15547489413188154</v>
      </c>
      <c r="BQ74" s="40">
        <f t="shared" si="316"/>
        <v>7.02247191011236E-2</v>
      </c>
      <c r="BR74" s="40">
        <f t="shared" si="316"/>
        <v>0.10875627440044622</v>
      </c>
      <c r="BS74" s="40">
        <f t="shared" si="316"/>
        <v>0.11802325581395356</v>
      </c>
      <c r="BT74" s="40">
        <f t="shared" si="316"/>
        <v>8.010471204188474E-2</v>
      </c>
      <c r="BU74" s="40">
        <f t="shared" si="316"/>
        <v>7.4540682414698134E-2</v>
      </c>
      <c r="BV74" s="40">
        <f t="shared" si="316"/>
        <v>0.11468812877263579</v>
      </c>
      <c r="BW74" s="40">
        <f t="shared" si="316"/>
        <v>0.14508580343213739</v>
      </c>
      <c r="BX74" s="40">
        <f t="shared" si="316"/>
        <v>3.9747939893359119E-2</v>
      </c>
      <c r="BY74" s="40">
        <f t="shared" si="316"/>
        <v>0.11138251099169527</v>
      </c>
      <c r="BZ74" s="40">
        <f t="shared" si="316"/>
        <v>7.7166064981949445E-2</v>
      </c>
      <c r="CA74" s="40">
        <f t="shared" si="316"/>
        <v>-5.6312443233424214E-2</v>
      </c>
      <c r="CB74" s="40">
        <f t="shared" si="316"/>
        <v>0.11282051282051286</v>
      </c>
      <c r="CC74" s="40">
        <f t="shared" si="316"/>
        <v>3.7362637362637452E-2</v>
      </c>
      <c r="CD74" s="40">
        <f t="shared" si="316"/>
        <v>3.8542103058232025E-2</v>
      </c>
      <c r="CE74" s="40">
        <f t="shared" si="316"/>
        <v>2.0000000000000018E-2</v>
      </c>
      <c r="CF74" s="40">
        <f t="shared" si="316"/>
        <v>2.0000000000000018E-2</v>
      </c>
      <c r="CG74" s="40">
        <f t="shared" si="316"/>
        <v>2.0000000000000018E-2</v>
      </c>
      <c r="CH74" s="40">
        <f t="shared" si="316"/>
        <v>2.0000000000000018E-2</v>
      </c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70"/>
      <c r="DK74" s="70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X74" s="32"/>
      <c r="DY74" s="71"/>
      <c r="EH74" s="22" t="s">
        <v>727</v>
      </c>
      <c r="EI74" s="43">
        <f>NPV(EI73,DV67:FY67)+Main!K5-Main!K6</f>
        <v>163220.30476016947</v>
      </c>
    </row>
    <row r="75" spans="2:181" s="22" customFormat="1" ht="12.95" customHeight="1" x14ac:dyDescent="0.2">
      <c r="B75" s="22" t="s">
        <v>623</v>
      </c>
      <c r="C75" s="32"/>
      <c r="D75" s="32"/>
      <c r="E75" s="32"/>
      <c r="F75" s="3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40"/>
      <c r="BL75" s="40"/>
      <c r="BM75" s="40"/>
      <c r="BN75" s="40">
        <f t="shared" ref="BN75:CH75" si="317">BN6/BJ6-1</f>
        <v>1.5250192455735183</v>
      </c>
      <c r="BO75" s="40">
        <f t="shared" si="317"/>
        <v>9.9485420240137401E-3</v>
      </c>
      <c r="BP75" s="40">
        <f t="shared" si="317"/>
        <v>0.11026352288488206</v>
      </c>
      <c r="BQ75" s="40">
        <f t="shared" si="317"/>
        <v>0.10571522960026436</v>
      </c>
      <c r="BR75" s="40">
        <f t="shared" si="317"/>
        <v>1.4634146341463428E-2</v>
      </c>
      <c r="BS75" s="40">
        <f t="shared" si="317"/>
        <v>-4.9932065217391353E-2</v>
      </c>
      <c r="BT75" s="40">
        <f t="shared" si="317"/>
        <v>-0.21892567145534036</v>
      </c>
      <c r="BU75" s="40">
        <f t="shared" si="317"/>
        <v>-0.27696444577233348</v>
      </c>
      <c r="BV75" s="40">
        <f t="shared" si="317"/>
        <v>-0.32091346153846156</v>
      </c>
      <c r="BW75" s="40">
        <f t="shared" si="317"/>
        <v>-0.37432963889882021</v>
      </c>
      <c r="BX75" s="40">
        <f t="shared" si="317"/>
        <v>-0.41303478608556576</v>
      </c>
      <c r="BY75" s="40">
        <f t="shared" si="317"/>
        <v>-0.40950413223140492</v>
      </c>
      <c r="BZ75" s="40">
        <f t="shared" si="317"/>
        <v>-0.3584070796460177</v>
      </c>
      <c r="CA75" s="40">
        <f t="shared" si="317"/>
        <v>-4.6285714285714263E-2</v>
      </c>
      <c r="CB75" s="40">
        <f t="shared" si="317"/>
        <v>-7.8337874659400564E-2</v>
      </c>
      <c r="CC75" s="40">
        <f t="shared" si="317"/>
        <v>-1.1896431070678837E-2</v>
      </c>
      <c r="CD75" s="40">
        <f t="shared" si="317"/>
        <v>-7.6551724137930988E-2</v>
      </c>
      <c r="CE75" s="40">
        <f t="shared" si="317"/>
        <v>-0.4</v>
      </c>
      <c r="CF75" s="40">
        <f t="shared" si="317"/>
        <v>-0.4</v>
      </c>
      <c r="CG75" s="40">
        <f t="shared" si="317"/>
        <v>-0.4</v>
      </c>
      <c r="CH75" s="40">
        <f t="shared" si="317"/>
        <v>-0.4</v>
      </c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70"/>
      <c r="DK75" s="70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X75" s="32"/>
      <c r="DY75" s="71"/>
      <c r="EH75" s="22" t="s">
        <v>728</v>
      </c>
      <c r="EI75" s="92">
        <f>EI74/Main!K3</f>
        <v>80.507395169591092</v>
      </c>
    </row>
    <row r="76" spans="2:181" s="73" customFormat="1" ht="12.95" customHeight="1" x14ac:dyDescent="0.2">
      <c r="B76" s="73" t="s">
        <v>436</v>
      </c>
      <c r="C76" s="74" t="s">
        <v>357</v>
      </c>
      <c r="D76" s="74" t="s">
        <v>357</v>
      </c>
      <c r="E76" s="74" t="s">
        <v>357</v>
      </c>
      <c r="F76" s="74" t="s">
        <v>357</v>
      </c>
      <c r="G76" s="75">
        <f t="shared" ref="G76:AK76" si="318">+G38/C38-1</f>
        <v>0.21130221130221138</v>
      </c>
      <c r="H76" s="75">
        <f t="shared" si="318"/>
        <v>0.18285123966942152</v>
      </c>
      <c r="I76" s="75">
        <f t="shared" si="318"/>
        <v>-0.3571428571428571</v>
      </c>
      <c r="J76" s="75">
        <f t="shared" si="318"/>
        <v>-0.53251649387370403</v>
      </c>
      <c r="K76" s="75">
        <f t="shared" si="318"/>
        <v>-4.8681541582150101E-2</v>
      </c>
      <c r="L76" s="75">
        <f t="shared" si="318"/>
        <v>3.8427947598253187E-2</v>
      </c>
      <c r="M76" s="75">
        <f t="shared" si="318"/>
        <v>0.99047619047619051</v>
      </c>
      <c r="N76" s="75">
        <f t="shared" si="318"/>
        <v>1.7701612903225805</v>
      </c>
      <c r="O76" s="75">
        <f t="shared" si="318"/>
        <v>0.3944562899786781</v>
      </c>
      <c r="P76" s="75">
        <f t="shared" si="318"/>
        <v>0.16652649285113541</v>
      </c>
      <c r="Q76" s="75">
        <f t="shared" si="318"/>
        <v>0.1475279106858054</v>
      </c>
      <c r="R76" s="75">
        <f t="shared" si="318"/>
        <v>6.9141193595342099E-2</v>
      </c>
      <c r="S76" s="75">
        <f t="shared" si="318"/>
        <v>9.7094801223241545E-2</v>
      </c>
      <c r="T76" s="75">
        <f t="shared" si="318"/>
        <v>0.1095890410958904</v>
      </c>
      <c r="U76" s="75">
        <f t="shared" si="318"/>
        <v>7.9916608756080532E-2</v>
      </c>
      <c r="V76" s="75">
        <f t="shared" si="318"/>
        <v>0.10142954390741998</v>
      </c>
      <c r="W76" s="75">
        <f t="shared" si="318"/>
        <v>0.16097560975609748</v>
      </c>
      <c r="X76" s="75">
        <f t="shared" si="318"/>
        <v>5.7179987004548405E-2</v>
      </c>
      <c r="Y76" s="75">
        <f t="shared" si="318"/>
        <v>6.6924066924066938E-2</v>
      </c>
      <c r="Z76" s="75">
        <f t="shared" si="318"/>
        <v>5.9950556242274411E-2</v>
      </c>
      <c r="AA76" s="75">
        <f t="shared" si="318"/>
        <v>5.7623049219687861E-2</v>
      </c>
      <c r="AB76" s="75">
        <f t="shared" si="318"/>
        <v>0.146281499692686</v>
      </c>
      <c r="AC76" s="75">
        <f t="shared" si="318"/>
        <v>7.8407720144752613E-2</v>
      </c>
      <c r="AD76" s="75">
        <f t="shared" si="318"/>
        <v>-2.507288629737614E-2</v>
      </c>
      <c r="AE76" s="75">
        <f t="shared" si="318"/>
        <v>-3.9160045402951149E-2</v>
      </c>
      <c r="AF76" s="75">
        <f t="shared" si="318"/>
        <v>-0.60268096514745306</v>
      </c>
      <c r="AG76" s="75">
        <f t="shared" si="318"/>
        <v>-0.96420581655480986</v>
      </c>
      <c r="AH76" s="75">
        <f t="shared" si="318"/>
        <v>-0.97069377990430628</v>
      </c>
      <c r="AI76" s="75">
        <f t="shared" si="318"/>
        <v>-0.94624926166568224</v>
      </c>
      <c r="AJ76" s="75">
        <f t="shared" si="318"/>
        <v>-0.94062078272604588</v>
      </c>
      <c r="AK76" s="75">
        <f t="shared" si="318"/>
        <v>-0.34375</v>
      </c>
      <c r="AL76" s="75"/>
      <c r="AM76" s="75"/>
      <c r="AN76" s="75"/>
      <c r="AO76" s="75"/>
      <c r="AP76" s="75"/>
      <c r="AQ76" s="75"/>
      <c r="AR76" s="75"/>
      <c r="AS76" s="75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6" t="e">
        <f>CX38/CW38-1</f>
        <v>#DIV/0!</v>
      </c>
      <c r="CY76" s="76" t="s">
        <v>357</v>
      </c>
      <c r="CZ76" s="76">
        <f t="shared" ref="CZ76:DV76" si="319">CZ38/CY38-1</f>
        <v>0.30529100529100539</v>
      </c>
      <c r="DA76" s="76">
        <f t="shared" si="319"/>
        <v>0.34860154033238744</v>
      </c>
      <c r="DB76" s="76">
        <f t="shared" si="319"/>
        <v>0.14908325819056212</v>
      </c>
      <c r="DC76" s="76">
        <f t="shared" si="319"/>
        <v>-0.14805126863719587</v>
      </c>
      <c r="DD76" s="76">
        <f t="shared" si="319"/>
        <v>0.45993245317777087</v>
      </c>
      <c r="DE76" s="76">
        <f t="shared" si="319"/>
        <v>0.17833859095688753</v>
      </c>
      <c r="DF76" s="76">
        <f t="shared" si="319"/>
        <v>9.6912368374085345E-2</v>
      </c>
      <c r="DG76" s="76">
        <f t="shared" si="319"/>
        <v>8.4607875040676905E-2</v>
      </c>
      <c r="DH76" s="76">
        <f t="shared" si="319"/>
        <v>6.3156315631563098E-2</v>
      </c>
      <c r="DI76" s="76">
        <f t="shared" si="319"/>
        <v>-0.64060956681247361</v>
      </c>
      <c r="DJ76" s="77">
        <f t="shared" si="319"/>
        <v>-0.8</v>
      </c>
      <c r="DK76" s="77">
        <f t="shared" si="319"/>
        <v>-0.5</v>
      </c>
      <c r="DL76" s="76">
        <f t="shared" si="319"/>
        <v>-1</v>
      </c>
      <c r="DM76" s="76" t="e">
        <f t="shared" si="319"/>
        <v>#DIV/0!</v>
      </c>
      <c r="DN76" s="76" t="e">
        <f t="shared" si="319"/>
        <v>#DIV/0!</v>
      </c>
      <c r="DO76" s="76" t="e">
        <f t="shared" si="319"/>
        <v>#DIV/0!</v>
      </c>
      <c r="DP76" s="76" t="e">
        <f t="shared" si="319"/>
        <v>#DIV/0!</v>
      </c>
      <c r="DQ76" s="76" t="e">
        <f t="shared" si="319"/>
        <v>#DIV/0!</v>
      </c>
      <c r="DR76" s="76" t="e">
        <f t="shared" si="319"/>
        <v>#DIV/0!</v>
      </c>
      <c r="DS76" s="76" t="e">
        <f t="shared" si="319"/>
        <v>#DIV/0!</v>
      </c>
      <c r="DT76" s="76" t="e">
        <f t="shared" si="319"/>
        <v>#DIV/0!</v>
      </c>
      <c r="DU76" s="76" t="e">
        <f t="shared" si="319"/>
        <v>#DIV/0!</v>
      </c>
      <c r="DV76" s="76" t="e">
        <f t="shared" si="319"/>
        <v>#DIV/0!</v>
      </c>
      <c r="EH76" s="22" t="s">
        <v>77</v>
      </c>
      <c r="EI76" s="92">
        <v>49</v>
      </c>
    </row>
    <row r="77" spans="2:181" s="73" customFormat="1" ht="12.95" customHeight="1" x14ac:dyDescent="0.2">
      <c r="B77" s="73" t="s">
        <v>437</v>
      </c>
      <c r="C77" s="74" t="s">
        <v>357</v>
      </c>
      <c r="D77" s="74" t="s">
        <v>357</v>
      </c>
      <c r="E77" s="74" t="s">
        <v>357</v>
      </c>
      <c r="F77" s="74" t="s">
        <v>357</v>
      </c>
      <c r="G77" s="75">
        <f t="shared" ref="G77:AK77" si="320">+G43/C43-1</f>
        <v>1.1560693641618602E-2</v>
      </c>
      <c r="H77" s="75">
        <f t="shared" si="320"/>
        <v>0.15568862275449091</v>
      </c>
      <c r="I77" s="75">
        <f t="shared" si="320"/>
        <v>0.18235294117647061</v>
      </c>
      <c r="J77" s="75">
        <f t="shared" si="320"/>
        <v>0.30588235294117649</v>
      </c>
      <c r="K77" s="75">
        <f t="shared" si="320"/>
        <v>0.29142857142857137</v>
      </c>
      <c r="L77" s="75">
        <f t="shared" si="320"/>
        <v>0.20725388601036276</v>
      </c>
      <c r="M77" s="75">
        <f t="shared" si="320"/>
        <v>0.17910447761194037</v>
      </c>
      <c r="N77" s="75">
        <f t="shared" si="320"/>
        <v>0.1711711711711712</v>
      </c>
      <c r="O77" s="75">
        <f t="shared" si="320"/>
        <v>0.20796460176991149</v>
      </c>
      <c r="P77" s="75">
        <f t="shared" si="320"/>
        <v>0.21030042918454939</v>
      </c>
      <c r="Q77" s="75">
        <f t="shared" si="320"/>
        <v>0.240506329113924</v>
      </c>
      <c r="R77" s="75">
        <f t="shared" si="320"/>
        <v>0.15384615384615374</v>
      </c>
      <c r="S77" s="75">
        <f t="shared" si="320"/>
        <v>6.9597069597069572E-2</v>
      </c>
      <c r="T77" s="75">
        <f t="shared" si="320"/>
        <v>0.1063829787234043</v>
      </c>
      <c r="U77" s="75">
        <f t="shared" si="320"/>
        <v>7.1428571428571397E-2</v>
      </c>
      <c r="V77" s="75">
        <f t="shared" si="320"/>
        <v>0.19333333333333336</v>
      </c>
      <c r="W77" s="75">
        <f t="shared" si="320"/>
        <v>0.14726027397260277</v>
      </c>
      <c r="X77" s="75">
        <f t="shared" si="320"/>
        <v>6.0897435897435903E-2</v>
      </c>
      <c r="Y77" s="75">
        <f t="shared" si="320"/>
        <v>8.5714285714285632E-2</v>
      </c>
      <c r="Z77" s="75">
        <f t="shared" si="320"/>
        <v>5.5865921787709993E-3</v>
      </c>
      <c r="AA77" s="75">
        <f t="shared" si="320"/>
        <v>2.3880597014925398E-2</v>
      </c>
      <c r="AB77" s="75">
        <f t="shared" si="320"/>
        <v>0.12084592145015116</v>
      </c>
      <c r="AC77" s="75">
        <f t="shared" si="320"/>
        <v>4.9707602339181367E-2</v>
      </c>
      <c r="AD77" s="75">
        <f t="shared" si="320"/>
        <v>0.14444444444444438</v>
      </c>
      <c r="AE77" s="75">
        <f t="shared" si="320"/>
        <v>0.12536443148688048</v>
      </c>
      <c r="AF77" s="75">
        <f t="shared" si="320"/>
        <v>4.5822102425876032E-2</v>
      </c>
      <c r="AG77" s="75">
        <f t="shared" si="320"/>
        <v>3.0640668523676862E-2</v>
      </c>
      <c r="AH77" s="75">
        <f t="shared" si="320"/>
        <v>-7.0388349514563076E-2</v>
      </c>
      <c r="AI77" s="75">
        <f t="shared" si="320"/>
        <v>2.5906735751295429E-3</v>
      </c>
      <c r="AJ77" s="75">
        <f t="shared" si="320"/>
        <v>5.9278350515463929E-2</v>
      </c>
      <c r="AK77" s="75">
        <f t="shared" si="320"/>
        <v>5.1351351351351271E-2</v>
      </c>
      <c r="AL77" s="75"/>
      <c r="AM77" s="75"/>
      <c r="AN77" s="75"/>
      <c r="AO77" s="75"/>
      <c r="AP77" s="75"/>
      <c r="AQ77" s="75"/>
      <c r="AR77" s="75"/>
      <c r="AS77" s="75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9"/>
      <c r="DF77" s="80"/>
      <c r="DG77" s="80"/>
      <c r="DH77" s="80"/>
      <c r="DI77" s="74"/>
      <c r="DJ77" s="81"/>
      <c r="DK77" s="81"/>
      <c r="DL77" s="74"/>
      <c r="DM77" s="74"/>
      <c r="DN77" s="74"/>
      <c r="DP77" s="79"/>
      <c r="DQ77" s="82"/>
      <c r="EH77" s="22" t="s">
        <v>729</v>
      </c>
      <c r="EI77" s="58">
        <f>+EI75/EI76-1</f>
        <v>0.64300806468553251</v>
      </c>
    </row>
    <row r="78" spans="2:181" x14ac:dyDescent="0.2">
      <c r="B78" s="22" t="s">
        <v>440</v>
      </c>
      <c r="C78" s="32" t="s">
        <v>357</v>
      </c>
      <c r="D78" s="32" t="s">
        <v>357</v>
      </c>
      <c r="E78" s="32" t="s">
        <v>357</v>
      </c>
      <c r="F78" s="32" t="s">
        <v>357</v>
      </c>
      <c r="G78" s="40" t="s">
        <v>357</v>
      </c>
      <c r="H78" s="40" t="s">
        <v>357</v>
      </c>
      <c r="I78" s="40" t="s">
        <v>357</v>
      </c>
      <c r="J78" s="40" t="s">
        <v>357</v>
      </c>
      <c r="K78" s="56">
        <f t="shared" ref="K78:AK78" si="321">+K3/G3-1</f>
        <v>7.1999999999999993</v>
      </c>
      <c r="L78" s="56">
        <f t="shared" si="321"/>
        <v>2.0555555555555554</v>
      </c>
      <c r="M78" s="56">
        <f t="shared" si="321"/>
        <v>0.76470588235294112</v>
      </c>
      <c r="N78" s="56">
        <f t="shared" si="321"/>
        <v>1.34375</v>
      </c>
      <c r="O78" s="56">
        <f t="shared" si="321"/>
        <v>1.1219512195121952</v>
      </c>
      <c r="P78" s="56">
        <f t="shared" si="321"/>
        <v>0.92727272727272725</v>
      </c>
      <c r="Q78" s="56">
        <f t="shared" si="321"/>
        <v>0.98333333333333339</v>
      </c>
      <c r="R78" s="56">
        <f t="shared" si="321"/>
        <v>0.72</v>
      </c>
      <c r="S78" s="56">
        <f t="shared" si="321"/>
        <v>0.42528735632183912</v>
      </c>
      <c r="T78" s="56">
        <f t="shared" si="321"/>
        <v>0.39622641509433953</v>
      </c>
      <c r="U78" s="56">
        <f t="shared" si="321"/>
        <v>0.3613445378151261</v>
      </c>
      <c r="V78" s="56">
        <f t="shared" si="321"/>
        <v>0.30232558139534893</v>
      </c>
      <c r="W78" s="56">
        <f t="shared" si="321"/>
        <v>0.36290322580645151</v>
      </c>
      <c r="X78" s="56">
        <f t="shared" si="321"/>
        <v>0.20270270270270263</v>
      </c>
      <c r="Y78" s="56">
        <f t="shared" si="321"/>
        <v>0.13580246913580241</v>
      </c>
      <c r="Z78" s="56">
        <f t="shared" si="321"/>
        <v>0.20238095238095233</v>
      </c>
      <c r="AA78" s="56">
        <f t="shared" si="321"/>
        <v>0.1775147928994083</v>
      </c>
      <c r="AB78" s="56">
        <f t="shared" si="321"/>
        <v>0.2808988764044944</v>
      </c>
      <c r="AC78" s="56">
        <f t="shared" si="321"/>
        <v>0.26630434782608692</v>
      </c>
      <c r="AD78" s="56">
        <f t="shared" si="321"/>
        <v>0.2722772277227723</v>
      </c>
      <c r="AE78" s="56">
        <f t="shared" si="321"/>
        <v>0.27638190954773867</v>
      </c>
      <c r="AF78" s="56">
        <f t="shared" si="321"/>
        <v>0.27192982456140347</v>
      </c>
      <c r="AG78" s="56">
        <f t="shared" si="321"/>
        <v>0.31759656652360513</v>
      </c>
      <c r="AH78" s="56">
        <f t="shared" si="321"/>
        <v>0.2645914396887159</v>
      </c>
      <c r="AI78" s="56">
        <f t="shared" si="321"/>
        <v>0.25984251968503935</v>
      </c>
      <c r="AJ78" s="56">
        <f t="shared" si="321"/>
        <v>0.21379310344827585</v>
      </c>
      <c r="AK78" s="56">
        <f t="shared" si="321"/>
        <v>0.22149837133550498</v>
      </c>
      <c r="AL78" s="56"/>
      <c r="AM78" s="56"/>
      <c r="AN78" s="56"/>
      <c r="AO78" s="56"/>
      <c r="AP78" s="56"/>
      <c r="AQ78" s="56"/>
      <c r="AR78" s="56"/>
      <c r="AS78" s="56"/>
      <c r="AV78" s="56"/>
      <c r="AW78" s="56"/>
      <c r="AX78" s="56">
        <f t="shared" ref="AX78:BA78" si="322">+AX3/AT3-1</f>
        <v>0.15740740740740744</v>
      </c>
      <c r="AY78" s="56">
        <f t="shared" si="322"/>
        <v>0.12631578947368416</v>
      </c>
      <c r="AZ78" s="56">
        <f t="shared" si="322"/>
        <v>9.612141652613837E-2</v>
      </c>
      <c r="BA78" s="56">
        <f t="shared" si="322"/>
        <v>0.10489510489510478</v>
      </c>
      <c r="BB78" s="56">
        <f t="shared" ref="BB78" si="323">+BB3/AX3-1</f>
        <v>5.9199999999999919E-2</v>
      </c>
      <c r="BC78" s="56">
        <f t="shared" ref="BC78" si="324">+BC3/AY3-1</f>
        <v>0.108411214953271</v>
      </c>
      <c r="BD78" s="56">
        <f t="shared" ref="BD78" si="325">+BD3/AZ3-1</f>
        <v>9.3846153846153912E-2</v>
      </c>
      <c r="BE78" s="56">
        <f t="shared" ref="BE78" si="326">+BE3/BA3-1</f>
        <v>6.8037974683544222E-2</v>
      </c>
      <c r="BF78" s="56">
        <f t="shared" ref="BF78" si="327">+BF3/BB3-1</f>
        <v>0.10422960725075536</v>
      </c>
      <c r="BG78" s="56">
        <f t="shared" ref="BG78" si="328">+BG3/BC3-1</f>
        <v>7.9258010118043787E-2</v>
      </c>
      <c r="BH78" s="56">
        <f t="shared" ref="BH78" si="329">+BH3/BD3-1</f>
        <v>9.4233473980309457E-2</v>
      </c>
      <c r="BI78" s="56">
        <f t="shared" ref="BI78" si="330">+BI3/BE3-1</f>
        <v>0.13629629629629636</v>
      </c>
      <c r="BJ78" s="56">
        <f t="shared" ref="BJ78" si="331">+BJ3/BF3-1</f>
        <v>8.3447332421340725E-2</v>
      </c>
      <c r="BK78" s="56">
        <f t="shared" ref="BK78" si="332">+BK3/BG3-1</f>
        <v>0.11562500000000009</v>
      </c>
      <c r="BL78" s="56">
        <f t="shared" ref="BL78" si="333">+BL3/BH3-1</f>
        <v>-3.5989717223650408E-2</v>
      </c>
      <c r="BM78" s="56">
        <f t="shared" ref="BM78" si="334">+BM3/BI3-1</f>
        <v>7.6923076923076872E-2</v>
      </c>
      <c r="BN78" s="56">
        <f t="shared" ref="BN78" si="335">+BN3/BJ3-1</f>
        <v>9.4696969696969724E-2</v>
      </c>
      <c r="BO78" s="56">
        <f t="shared" ref="BO78" si="336">+BO3/BK3-1</f>
        <v>6.1624649859943981E-2</v>
      </c>
      <c r="BP78" s="56">
        <f t="shared" ref="BP78" si="337">+BP3/BL3-1</f>
        <v>8.5333333333333261E-2</v>
      </c>
      <c r="BQ78" s="56">
        <f t="shared" ref="BQ78" si="338">+BQ3/BM3-1</f>
        <v>5.3268765133171803E-2</v>
      </c>
      <c r="BR78" s="56">
        <f t="shared" ref="BR78" si="339">+BR3/BN3-1</f>
        <v>-3.4602076124568004E-3</v>
      </c>
      <c r="BS78" s="56">
        <f t="shared" ref="BS78" si="340">+BS3/BO3-1</f>
        <v>4.4854881266490843E-2</v>
      </c>
      <c r="BT78" s="56">
        <f t="shared" ref="BT78" si="341">+BT3/BP3-1</f>
        <v>7.6167076167076075E-2</v>
      </c>
      <c r="BU78" s="56">
        <f t="shared" ref="BU78" si="342">+BU3/BQ3-1</f>
        <v>1.4942528735632177E-2</v>
      </c>
      <c r="BV78" s="56">
        <f t="shared" ref="BV78" si="343">+BV3/BR3-1</f>
        <v>5.6712962962963021E-2</v>
      </c>
      <c r="BW78" s="56">
        <f t="shared" ref="BW78" si="344">+BW3/BS3-1</f>
        <v>-3.5353535353535359E-2</v>
      </c>
      <c r="BX78" s="56">
        <f t="shared" ref="BX78:CA78" si="345">+BX3/BT3-1</f>
        <v>5.821917808219168E-2</v>
      </c>
      <c r="BY78" s="56">
        <f t="shared" si="345"/>
        <v>4.7565118912797244E-2</v>
      </c>
      <c r="BZ78" s="56">
        <f t="shared" si="345"/>
        <v>7.8860898138006563E-2</v>
      </c>
      <c r="CA78" s="56">
        <f t="shared" si="345"/>
        <v>4.4502617801047029E-2</v>
      </c>
      <c r="CB78" s="56">
        <f>+CB3/BX3-1</f>
        <v>2.265372168284796E-2</v>
      </c>
      <c r="CC78" s="56">
        <f>+CC3/BY3-1</f>
        <v>1.1891891891891992E-2</v>
      </c>
      <c r="CD78" s="56">
        <f>+CD3/BZ3-1</f>
        <v>1.5228426395939021E-2</v>
      </c>
      <c r="DE78" s="36"/>
      <c r="DP78" s="36"/>
      <c r="DQ78" s="39"/>
    </row>
    <row r="79" spans="2:181" s="73" customFormat="1" ht="8.25" customHeight="1" x14ac:dyDescent="0.2">
      <c r="B79" s="73" t="s">
        <v>441</v>
      </c>
      <c r="C79" s="74" t="s">
        <v>357</v>
      </c>
      <c r="D79" s="74" t="s">
        <v>357</v>
      </c>
      <c r="E79" s="74" t="s">
        <v>357</v>
      </c>
      <c r="F79" s="74" t="s">
        <v>357</v>
      </c>
      <c r="G79" s="75">
        <f t="shared" ref="G79:AK79" si="346">+G34/C34-1</f>
        <v>0.18877551020408156</v>
      </c>
      <c r="H79" s="75">
        <f t="shared" si="346"/>
        <v>8.5271317829457294E-2</v>
      </c>
      <c r="I79" s="75">
        <f t="shared" si="346"/>
        <v>0.10358565737051784</v>
      </c>
      <c r="J79" s="75">
        <f t="shared" si="346"/>
        <v>0.10830324909747291</v>
      </c>
      <c r="K79" s="75">
        <f t="shared" si="346"/>
        <v>0.15879828326180268</v>
      </c>
      <c r="L79" s="75">
        <f t="shared" si="346"/>
        <v>6.0714285714285721E-2</v>
      </c>
      <c r="M79" s="75">
        <f t="shared" si="346"/>
        <v>0.11552346570397121</v>
      </c>
      <c r="N79" s="75">
        <f t="shared" si="346"/>
        <v>6.8403908794788304E-2</v>
      </c>
      <c r="O79" s="75">
        <f t="shared" si="346"/>
        <v>0.12962962962962954</v>
      </c>
      <c r="P79" s="75">
        <f t="shared" si="346"/>
        <v>0.12794612794612803</v>
      </c>
      <c r="Q79" s="75">
        <f t="shared" si="346"/>
        <v>8.0906148867313954E-2</v>
      </c>
      <c r="R79" s="75">
        <f t="shared" si="346"/>
        <v>-3.6585365853658569E-2</v>
      </c>
      <c r="S79" s="75">
        <f t="shared" si="346"/>
        <v>-9.8360655737704805E-3</v>
      </c>
      <c r="T79" s="75">
        <f t="shared" si="346"/>
        <v>-6.5671641791044788E-2</v>
      </c>
      <c r="U79" s="75">
        <f t="shared" si="346"/>
        <v>-1.4970059880239472E-2</v>
      </c>
      <c r="V79" s="75">
        <f t="shared" si="346"/>
        <v>7.2784810126582222E-2</v>
      </c>
      <c r="W79" s="75">
        <f t="shared" si="346"/>
        <v>3.9735099337748325E-2</v>
      </c>
      <c r="X79" s="75">
        <f t="shared" si="346"/>
        <v>-1.9169329073482455E-2</v>
      </c>
      <c r="Y79" s="75">
        <f t="shared" si="346"/>
        <v>-7.9027355623100259E-2</v>
      </c>
      <c r="Z79" s="75">
        <f t="shared" si="346"/>
        <v>-0.25663716814159288</v>
      </c>
      <c r="AA79" s="75">
        <f t="shared" si="346"/>
        <v>-7.6433121019108263E-2</v>
      </c>
      <c r="AB79" s="75">
        <f t="shared" si="346"/>
        <v>-0.1824104234527687</v>
      </c>
      <c r="AC79" s="75">
        <f t="shared" si="346"/>
        <v>-0.28712871287128716</v>
      </c>
      <c r="AD79" s="75">
        <f t="shared" si="346"/>
        <v>-0.22619047619047616</v>
      </c>
      <c r="AE79" s="75">
        <f t="shared" si="346"/>
        <v>-0.28620689655172415</v>
      </c>
      <c r="AF79" s="75">
        <f t="shared" si="346"/>
        <v>-0.53386454183266929</v>
      </c>
      <c r="AG79" s="75">
        <f t="shared" si="346"/>
        <v>-0.56018518518518512</v>
      </c>
      <c r="AH79" s="75">
        <f t="shared" si="346"/>
        <v>-0.56923076923076921</v>
      </c>
      <c r="AI79" s="75">
        <f t="shared" si="346"/>
        <v>-0.77777777777777779</v>
      </c>
      <c r="AJ79" s="75">
        <f t="shared" si="346"/>
        <v>-0.52136752136752129</v>
      </c>
      <c r="AK79" s="75">
        <f t="shared" si="346"/>
        <v>-0.25263157894736843</v>
      </c>
      <c r="AL79" s="75"/>
      <c r="AM79" s="75"/>
      <c r="AN79" s="75"/>
      <c r="AO79" s="75"/>
      <c r="AP79" s="75"/>
      <c r="AQ79" s="75"/>
      <c r="AR79" s="75"/>
      <c r="AS79" s="75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9"/>
      <c r="DF79" s="80"/>
      <c r="DG79" s="80"/>
      <c r="DH79" s="80"/>
      <c r="DI79" s="74"/>
      <c r="DJ79" s="74"/>
      <c r="DK79" s="74"/>
      <c r="DL79" s="74"/>
      <c r="DM79" s="74"/>
      <c r="DN79" s="74"/>
      <c r="DP79" s="79"/>
      <c r="DQ79" s="82"/>
    </row>
    <row r="80" spans="2:181" s="73" customFormat="1" ht="8.25" customHeight="1" x14ac:dyDescent="0.2">
      <c r="B80" s="73" t="s">
        <v>442</v>
      </c>
      <c r="C80" s="74" t="s">
        <v>357</v>
      </c>
      <c r="D80" s="74" t="s">
        <v>357</v>
      </c>
      <c r="E80" s="74" t="s">
        <v>357</v>
      </c>
      <c r="F80" s="74" t="s">
        <v>357</v>
      </c>
      <c r="G80" s="75">
        <f t="shared" ref="G80:AK80" si="347">+G44/C44-1</f>
        <v>0.38926174496644306</v>
      </c>
      <c r="H80" s="75">
        <f t="shared" si="347"/>
        <v>0.28961748633879791</v>
      </c>
      <c r="I80" s="75">
        <f t="shared" si="347"/>
        <v>0.32386363636363646</v>
      </c>
      <c r="J80" s="75">
        <f t="shared" si="347"/>
        <v>0.3563829787234043</v>
      </c>
      <c r="K80" s="75">
        <f t="shared" si="347"/>
        <v>0.27053140096618367</v>
      </c>
      <c r="L80" s="75">
        <f t="shared" si="347"/>
        <v>7.6271186440677985E-2</v>
      </c>
      <c r="M80" s="75">
        <f t="shared" si="347"/>
        <v>0.17167381974248919</v>
      </c>
      <c r="N80" s="75">
        <f t="shared" si="347"/>
        <v>0.30980392156862746</v>
      </c>
      <c r="O80" s="75">
        <f t="shared" si="347"/>
        <v>0.12927756653992395</v>
      </c>
      <c r="P80" s="75">
        <f t="shared" si="347"/>
        <v>0.27559055118110232</v>
      </c>
      <c r="Q80" s="75">
        <f t="shared" si="347"/>
        <v>0.25274725274725274</v>
      </c>
      <c r="R80" s="75">
        <f t="shared" si="347"/>
        <v>-1.4970059880239472E-2</v>
      </c>
      <c r="S80" s="75">
        <f t="shared" si="347"/>
        <v>8.4175084175084125E-2</v>
      </c>
      <c r="T80" s="75">
        <f t="shared" si="347"/>
        <v>2.1604938271605034E-2</v>
      </c>
      <c r="U80" s="75">
        <f t="shared" si="347"/>
        <v>5.2631578947368363E-2</v>
      </c>
      <c r="V80" s="75">
        <f t="shared" si="347"/>
        <v>0.17933130699088151</v>
      </c>
      <c r="W80" s="75">
        <f t="shared" si="347"/>
        <v>0.15838509316770177</v>
      </c>
      <c r="X80" s="75">
        <f t="shared" si="347"/>
        <v>7.8549848942598199E-2</v>
      </c>
      <c r="Y80" s="75">
        <f t="shared" si="347"/>
        <v>4.1666666666666741E-2</v>
      </c>
      <c r="Z80" s="75">
        <f t="shared" si="347"/>
        <v>-3.6082474226804107E-2</v>
      </c>
      <c r="AA80" s="75">
        <f t="shared" si="347"/>
        <v>-1.8766756032171594E-2</v>
      </c>
      <c r="AB80" s="75">
        <f t="shared" si="347"/>
        <v>0.10924369747899165</v>
      </c>
      <c r="AC80" s="75">
        <f t="shared" si="347"/>
        <v>4.2666666666666631E-2</v>
      </c>
      <c r="AD80" s="75">
        <f t="shared" si="347"/>
        <v>0.11229946524064172</v>
      </c>
      <c r="AE80" s="75">
        <f t="shared" si="347"/>
        <v>-2.1857923497267784E-2</v>
      </c>
      <c r="AF80" s="75">
        <f t="shared" si="347"/>
        <v>2.5252525252525304E-2</v>
      </c>
      <c r="AG80" s="75">
        <f t="shared" si="347"/>
        <v>-7.1611253196930957E-2</v>
      </c>
      <c r="AH80" s="75">
        <f t="shared" si="347"/>
        <v>-5.2884615384615419E-2</v>
      </c>
      <c r="AI80" s="75">
        <f t="shared" si="347"/>
        <v>8.379888268156499E-3</v>
      </c>
      <c r="AJ80" s="75">
        <f t="shared" si="347"/>
        <v>6.1576354679802936E-2</v>
      </c>
      <c r="AK80" s="75">
        <f t="shared" si="347"/>
        <v>3.3057851239669311E-2</v>
      </c>
      <c r="AL80" s="75"/>
      <c r="AM80" s="75"/>
      <c r="AN80" s="75"/>
      <c r="AO80" s="75"/>
      <c r="AP80" s="75"/>
      <c r="AQ80" s="75"/>
      <c r="AR80" s="75"/>
      <c r="AS80" s="75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9"/>
      <c r="DF80" s="80"/>
      <c r="DG80" s="80"/>
      <c r="DH80" s="80"/>
      <c r="DI80" s="74"/>
      <c r="DJ80" s="74"/>
      <c r="DK80" s="74"/>
      <c r="DL80" s="74"/>
      <c r="DM80" s="74"/>
      <c r="DN80" s="74"/>
      <c r="DP80" s="79"/>
      <c r="DQ80" s="82"/>
    </row>
    <row r="81" spans="1:136" s="73" customFormat="1" ht="8.25" customHeight="1" x14ac:dyDescent="0.2">
      <c r="B81" s="73" t="s">
        <v>443</v>
      </c>
      <c r="C81" s="74" t="s">
        <v>357</v>
      </c>
      <c r="D81" s="74" t="s">
        <v>357</v>
      </c>
      <c r="E81" s="74" t="s">
        <v>357</v>
      </c>
      <c r="F81" s="74" t="s">
        <v>357</v>
      </c>
      <c r="G81" s="75" t="s">
        <v>357</v>
      </c>
      <c r="H81" s="75" t="s">
        <v>357</v>
      </c>
      <c r="I81" s="75" t="s">
        <v>357</v>
      </c>
      <c r="J81" s="75">
        <f t="shared" ref="J81:AK81" si="348">+J45/F45-1</f>
        <v>6.2</v>
      </c>
      <c r="K81" s="75">
        <f t="shared" si="348"/>
        <v>3.0909090909090908</v>
      </c>
      <c r="L81" s="75">
        <f t="shared" si="348"/>
        <v>3.2142857142857144</v>
      </c>
      <c r="M81" s="75">
        <f t="shared" si="348"/>
        <v>2.2727272727272729</v>
      </c>
      <c r="N81" s="75">
        <f t="shared" si="348"/>
        <v>1.75</v>
      </c>
      <c r="O81" s="75">
        <f t="shared" si="348"/>
        <v>1.4</v>
      </c>
      <c r="P81" s="75">
        <f t="shared" si="348"/>
        <v>1.3050847457627119</v>
      </c>
      <c r="Q81" s="75">
        <f t="shared" si="348"/>
        <v>1</v>
      </c>
      <c r="R81" s="75">
        <f t="shared" si="348"/>
        <v>0.54545454545454541</v>
      </c>
      <c r="S81" s="75">
        <f t="shared" si="348"/>
        <v>0.40740740740740744</v>
      </c>
      <c r="T81" s="75">
        <f t="shared" si="348"/>
        <v>0.31617647058823528</v>
      </c>
      <c r="U81" s="75">
        <f t="shared" si="348"/>
        <v>0.32638888888888884</v>
      </c>
      <c r="V81" s="75">
        <f t="shared" si="348"/>
        <v>0.3856209150326797</v>
      </c>
      <c r="W81" s="75">
        <f t="shared" si="348"/>
        <v>0.42105263157894735</v>
      </c>
      <c r="X81" s="75">
        <f t="shared" si="348"/>
        <v>0.24581005586592175</v>
      </c>
      <c r="Y81" s="75">
        <f t="shared" si="348"/>
        <v>0.19371727748691092</v>
      </c>
      <c r="Z81" s="75">
        <f t="shared" si="348"/>
        <v>0.24528301886792447</v>
      </c>
      <c r="AA81" s="75">
        <f t="shared" si="348"/>
        <v>0.27314814814814814</v>
      </c>
      <c r="AB81" s="75">
        <f t="shared" si="348"/>
        <v>0.3094170403587444</v>
      </c>
      <c r="AC81" s="75">
        <f t="shared" si="348"/>
        <v>0.36403508771929816</v>
      </c>
      <c r="AD81" s="75">
        <f t="shared" si="348"/>
        <v>0.20454545454545459</v>
      </c>
      <c r="AE81" s="75">
        <f t="shared" si="348"/>
        <v>0.18181818181818188</v>
      </c>
      <c r="AF81" s="75">
        <f t="shared" si="348"/>
        <v>0.22260273972602729</v>
      </c>
      <c r="AG81" s="75">
        <f t="shared" si="348"/>
        <v>0.112540192926045</v>
      </c>
      <c r="AH81" s="75">
        <f t="shared" si="348"/>
        <v>0.5691823899371069</v>
      </c>
      <c r="AI81" s="75">
        <f t="shared" si="348"/>
        <v>0.12615384615384606</v>
      </c>
      <c r="AJ81" s="75">
        <f t="shared" si="348"/>
        <v>3.9215686274509887E-2</v>
      </c>
      <c r="AK81" s="75">
        <f t="shared" si="348"/>
        <v>9.2485549132947931E-2</v>
      </c>
      <c r="AL81" s="75"/>
      <c r="AM81" s="75"/>
      <c r="AN81" s="75"/>
      <c r="AO81" s="75"/>
      <c r="AP81" s="75"/>
      <c r="AQ81" s="75"/>
      <c r="AR81" s="75"/>
      <c r="AS81" s="75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9"/>
      <c r="DF81" s="80"/>
      <c r="DG81" s="80"/>
      <c r="DH81" s="80"/>
      <c r="DI81" s="74"/>
      <c r="DJ81" s="74"/>
      <c r="DK81" s="74"/>
      <c r="DL81" s="74"/>
      <c r="DM81" s="74"/>
      <c r="DN81" s="74"/>
      <c r="DP81" s="79"/>
      <c r="DQ81" s="82"/>
    </row>
    <row r="82" spans="1:136" s="73" customFormat="1" ht="8.25" customHeight="1" x14ac:dyDescent="0.2">
      <c r="B82" s="73" t="s">
        <v>446</v>
      </c>
      <c r="C82" s="74" t="s">
        <v>357</v>
      </c>
      <c r="D82" s="74" t="s">
        <v>357</v>
      </c>
      <c r="E82" s="74" t="s">
        <v>357</v>
      </c>
      <c r="F82" s="74" t="s">
        <v>357</v>
      </c>
      <c r="G82" s="75">
        <f t="shared" ref="G82:P83" si="349">+G41/C41-1</f>
        <v>0.5862068965517242</v>
      </c>
      <c r="H82" s="75">
        <f t="shared" si="349"/>
        <v>0.75510204081632648</v>
      </c>
      <c r="I82" s="75">
        <f t="shared" si="349"/>
        <v>0.63551401869158886</v>
      </c>
      <c r="J82" s="75">
        <f t="shared" si="349"/>
        <v>0.38016528925619841</v>
      </c>
      <c r="K82" s="75">
        <f t="shared" si="349"/>
        <v>0.15942028985507251</v>
      </c>
      <c r="L82" s="75">
        <f t="shared" si="349"/>
        <v>-5.8139534883720922E-2</v>
      </c>
      <c r="M82" s="75">
        <f t="shared" si="349"/>
        <v>5.7142857142857162E-2</v>
      </c>
      <c r="N82" s="75">
        <f t="shared" si="349"/>
        <v>0.10778443113772451</v>
      </c>
      <c r="O82" s="75">
        <f t="shared" si="349"/>
        <v>0.16874999999999996</v>
      </c>
      <c r="P82" s="75">
        <f t="shared" si="349"/>
        <v>0.20987654320987659</v>
      </c>
      <c r="Q82" s="75">
        <f t="shared" ref="Q82:Z83" si="350">+Q41/M41-1</f>
        <v>-5.4054054054053502E-3</v>
      </c>
      <c r="R82" s="75">
        <f t="shared" si="350"/>
        <v>-1.6216216216216162E-2</v>
      </c>
      <c r="S82" s="75">
        <f t="shared" si="350"/>
        <v>-0.12299465240641716</v>
      </c>
      <c r="T82" s="75">
        <f t="shared" si="350"/>
        <v>-0.11734693877551017</v>
      </c>
      <c r="U82" s="75">
        <f t="shared" si="350"/>
        <v>-2.7173913043478271E-2</v>
      </c>
      <c r="V82" s="75">
        <f t="shared" si="350"/>
        <v>-8.2417582417582458E-2</v>
      </c>
      <c r="W82" s="75">
        <f t="shared" si="350"/>
        <v>1.2195121951219523E-2</v>
      </c>
      <c r="X82" s="75">
        <f t="shared" si="350"/>
        <v>-5.7803468208093012E-3</v>
      </c>
      <c r="Y82" s="75">
        <f t="shared" si="350"/>
        <v>-0.11173184357541899</v>
      </c>
      <c r="Z82" s="75">
        <f t="shared" si="350"/>
        <v>-1.19760479041916E-2</v>
      </c>
      <c r="AA82" s="75">
        <f t="shared" ref="AA82:AJ83" si="351">+AA41/W41-1</f>
        <v>-6.0240963855421326E-3</v>
      </c>
      <c r="AB82" s="75">
        <f t="shared" si="351"/>
        <v>5.8139534883721034E-3</v>
      </c>
      <c r="AC82" s="75">
        <f t="shared" si="351"/>
        <v>8.1761006289308158E-2</v>
      </c>
      <c r="AD82" s="75">
        <f t="shared" si="351"/>
        <v>9.6969696969696928E-2</v>
      </c>
      <c r="AE82" s="75">
        <f t="shared" si="351"/>
        <v>8.4848484848484951E-2</v>
      </c>
      <c r="AF82" s="75">
        <f t="shared" si="351"/>
        <v>3.4682080924855585E-2</v>
      </c>
      <c r="AG82" s="75">
        <f t="shared" si="351"/>
        <v>5.8139534883721034E-3</v>
      </c>
      <c r="AH82" s="75">
        <f t="shared" si="351"/>
        <v>-5.5248618784530357E-2</v>
      </c>
      <c r="AI82" s="75">
        <f t="shared" si="351"/>
        <v>-9.4972067039106101E-2</v>
      </c>
      <c r="AJ82" s="75">
        <f t="shared" si="351"/>
        <v>-4.4692737430167551E-2</v>
      </c>
      <c r="AK82" s="75">
        <f t="shared" ref="AK82:AK83" si="352">+AK41/AG41-1</f>
        <v>5.7803468208092568E-2</v>
      </c>
      <c r="AL82" s="75"/>
      <c r="AM82" s="75"/>
      <c r="AN82" s="75"/>
      <c r="AO82" s="75"/>
      <c r="AP82" s="75"/>
      <c r="AQ82" s="75"/>
      <c r="AR82" s="75"/>
      <c r="AS82" s="75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9"/>
      <c r="DF82" s="80"/>
      <c r="DG82" s="80"/>
      <c r="DH82" s="80"/>
      <c r="DI82" s="74"/>
      <c r="DJ82" s="74"/>
      <c r="DK82" s="74"/>
      <c r="DL82" s="74"/>
      <c r="DM82" s="74"/>
      <c r="DN82" s="74"/>
      <c r="DP82" s="79"/>
      <c r="DQ82" s="82"/>
    </row>
    <row r="83" spans="1:136" s="73" customFormat="1" ht="8.25" customHeight="1" x14ac:dyDescent="0.2">
      <c r="B83" s="73" t="s">
        <v>447</v>
      </c>
      <c r="C83" s="74" t="s">
        <v>357</v>
      </c>
      <c r="D83" s="74" t="s">
        <v>357</v>
      </c>
      <c r="E83" s="74" t="s">
        <v>357</v>
      </c>
      <c r="F83" s="74" t="s">
        <v>357</v>
      </c>
      <c r="G83" s="75">
        <f t="shared" si="349"/>
        <v>0.50531914893617014</v>
      </c>
      <c r="H83" s="75">
        <f t="shared" si="349"/>
        <v>0.35000000000000009</v>
      </c>
      <c r="I83" s="75">
        <f t="shared" si="349"/>
        <v>0.20384615384615379</v>
      </c>
      <c r="J83" s="75">
        <f t="shared" si="349"/>
        <v>0.6160714285714286</v>
      </c>
      <c r="K83" s="75">
        <f t="shared" si="349"/>
        <v>0.29328621908127217</v>
      </c>
      <c r="L83" s="75">
        <f t="shared" si="349"/>
        <v>0.27160493827160503</v>
      </c>
      <c r="M83" s="75">
        <f t="shared" si="349"/>
        <v>0.34185303514377008</v>
      </c>
      <c r="N83" s="75">
        <f t="shared" si="349"/>
        <v>0.27624309392265189</v>
      </c>
      <c r="O83" s="75">
        <f t="shared" si="349"/>
        <v>0.2404371584699454</v>
      </c>
      <c r="P83" s="75">
        <f t="shared" si="349"/>
        <v>0.28398058252427183</v>
      </c>
      <c r="Q83" s="75">
        <f t="shared" si="350"/>
        <v>0.34285714285714275</v>
      </c>
      <c r="R83" s="75">
        <f t="shared" si="350"/>
        <v>0.31168831168831179</v>
      </c>
      <c r="S83" s="75">
        <f t="shared" si="350"/>
        <v>0.29735682819383258</v>
      </c>
      <c r="T83" s="75">
        <f t="shared" si="350"/>
        <v>0.21550094517958418</v>
      </c>
      <c r="U83" s="75">
        <f t="shared" si="350"/>
        <v>0.15780141843971629</v>
      </c>
      <c r="V83" s="75">
        <f t="shared" si="350"/>
        <v>0.16666666666666674</v>
      </c>
      <c r="W83" s="75">
        <f t="shared" si="350"/>
        <v>4.7538200339558578E-2</v>
      </c>
      <c r="X83" s="75">
        <f t="shared" si="350"/>
        <v>-1.5552099533437058E-2</v>
      </c>
      <c r="Y83" s="75">
        <f t="shared" si="350"/>
        <v>-6.8912710566615631E-2</v>
      </c>
      <c r="Z83" s="75">
        <f t="shared" si="350"/>
        <v>0</v>
      </c>
      <c r="AA83" s="75">
        <f t="shared" si="351"/>
        <v>1.1345218800648205E-2</v>
      </c>
      <c r="AB83" s="75">
        <f t="shared" si="351"/>
        <v>0.11532385466034745</v>
      </c>
      <c r="AC83" s="75">
        <f t="shared" si="351"/>
        <v>0.13651315789473695</v>
      </c>
      <c r="AD83" s="75">
        <f t="shared" si="351"/>
        <v>4.2432814710042344E-2</v>
      </c>
      <c r="AE83" s="75">
        <f t="shared" si="351"/>
        <v>-4.8076923076922906E-3</v>
      </c>
      <c r="AF83" s="75">
        <f t="shared" si="351"/>
        <v>7.0821529745042078E-3</v>
      </c>
      <c r="AG83" s="75">
        <f t="shared" si="351"/>
        <v>-2.1707670043415339E-2</v>
      </c>
      <c r="AH83" s="75">
        <f t="shared" si="351"/>
        <v>0.11126187245590224</v>
      </c>
      <c r="AI83" s="75">
        <f t="shared" si="351"/>
        <v>-0.15942028985507251</v>
      </c>
      <c r="AJ83" s="75">
        <f t="shared" si="351"/>
        <v>-0.20815752461322079</v>
      </c>
      <c r="AK83" s="75">
        <f t="shared" si="352"/>
        <v>-0.15828402366863903</v>
      </c>
      <c r="AL83" s="75"/>
      <c r="AM83" s="75"/>
      <c r="AN83" s="75"/>
      <c r="AO83" s="75"/>
      <c r="AP83" s="75"/>
      <c r="AQ83" s="75"/>
      <c r="AR83" s="75"/>
      <c r="AS83" s="75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9"/>
      <c r="DF83" s="80"/>
      <c r="DG83" s="80"/>
      <c r="DH83" s="80"/>
      <c r="DI83" s="74"/>
      <c r="DJ83" s="74"/>
      <c r="DK83" s="74"/>
      <c r="DL83" s="74"/>
      <c r="DM83" s="74"/>
      <c r="DN83" s="74"/>
      <c r="DP83" s="79"/>
      <c r="DQ83" s="82"/>
    </row>
    <row r="84" spans="1:136" x14ac:dyDescent="0.2">
      <c r="B84" s="22" t="s">
        <v>448</v>
      </c>
      <c r="C84" s="32" t="s">
        <v>357</v>
      </c>
      <c r="D84" s="32" t="s">
        <v>357</v>
      </c>
      <c r="E84" s="32" t="s">
        <v>357</v>
      </c>
      <c r="F84" s="32" t="s">
        <v>357</v>
      </c>
      <c r="G84" s="32" t="s">
        <v>357</v>
      </c>
      <c r="H84" s="32" t="s">
        <v>357</v>
      </c>
      <c r="I84" s="32" t="s">
        <v>357</v>
      </c>
      <c r="J84" s="32" t="s">
        <v>357</v>
      </c>
      <c r="K84" s="32" t="s">
        <v>357</v>
      </c>
      <c r="L84" s="32" t="s">
        <v>357</v>
      </c>
      <c r="M84" s="40">
        <f t="shared" ref="M84:AK84" si="353">M10/I10-1</f>
        <v>3.1818181818181817</v>
      </c>
      <c r="N84" s="40">
        <f t="shared" si="353"/>
        <v>3</v>
      </c>
      <c r="O84" s="40">
        <f t="shared" si="353"/>
        <v>2.1428571428571428</v>
      </c>
      <c r="P84" s="40">
        <f t="shared" si="353"/>
        <v>1.1714285714285713</v>
      </c>
      <c r="Q84" s="40">
        <f t="shared" si="353"/>
        <v>0.78260869565217384</v>
      </c>
      <c r="R84" s="40">
        <f t="shared" si="353"/>
        <v>0.53571428571428581</v>
      </c>
      <c r="S84" s="40">
        <f t="shared" si="353"/>
        <v>0.33333333333333326</v>
      </c>
      <c r="T84" s="40">
        <f t="shared" si="353"/>
        <v>0.40789473684210531</v>
      </c>
      <c r="U84" s="40">
        <f t="shared" si="353"/>
        <v>0.30487804878048785</v>
      </c>
      <c r="V84" s="40">
        <f t="shared" si="353"/>
        <v>0.38372093023255816</v>
      </c>
      <c r="W84" s="40">
        <f t="shared" si="353"/>
        <v>0.48863636363636354</v>
      </c>
      <c r="X84" s="40">
        <f t="shared" si="353"/>
        <v>0.23364485981308403</v>
      </c>
      <c r="Y84" s="40">
        <f t="shared" si="353"/>
        <v>0.34579439252336441</v>
      </c>
      <c r="Z84" s="40">
        <f t="shared" si="353"/>
        <v>0.42016806722689082</v>
      </c>
      <c r="AA84" s="40">
        <f t="shared" si="353"/>
        <v>0.31297709923664119</v>
      </c>
      <c r="AB84" s="40">
        <f t="shared" si="353"/>
        <v>0.46212121212121215</v>
      </c>
      <c r="AC84" s="40">
        <f t="shared" si="353"/>
        <v>0.46527777777777768</v>
      </c>
      <c r="AD84" s="40">
        <f t="shared" si="353"/>
        <v>0.34319526627218933</v>
      </c>
      <c r="AE84" s="40">
        <f t="shared" si="353"/>
        <v>0.34302325581395343</v>
      </c>
      <c r="AF84" s="40">
        <f t="shared" si="353"/>
        <v>0.26424870466321249</v>
      </c>
      <c r="AG84" s="40">
        <f t="shared" si="353"/>
        <v>0.24644549763033186</v>
      </c>
      <c r="AH84" s="40">
        <f t="shared" si="353"/>
        <v>0.23788546255506615</v>
      </c>
      <c r="AI84" s="40">
        <f t="shared" si="353"/>
        <v>0.24242424242424243</v>
      </c>
      <c r="AJ84" s="40">
        <f t="shared" si="353"/>
        <v>0.27868852459016402</v>
      </c>
      <c r="AK84" s="40">
        <f t="shared" si="353"/>
        <v>0.20152091254752857</v>
      </c>
      <c r="AL84" s="40"/>
      <c r="AM84" s="40"/>
      <c r="AN84" s="40"/>
      <c r="AO84" s="40"/>
      <c r="AP84" s="40"/>
      <c r="AQ84" s="40"/>
      <c r="AR84" s="40"/>
      <c r="AS84" s="40"/>
      <c r="DE84" s="36"/>
    </row>
    <row r="85" spans="1:136" x14ac:dyDescent="0.2">
      <c r="B85" s="22" t="s">
        <v>449</v>
      </c>
      <c r="C85" s="32" t="s">
        <v>357</v>
      </c>
      <c r="D85" s="32" t="s">
        <v>357</v>
      </c>
      <c r="E85" s="32" t="s">
        <v>357</v>
      </c>
      <c r="F85" s="32" t="s">
        <v>357</v>
      </c>
      <c r="G85" s="32" t="s">
        <v>357</v>
      </c>
      <c r="H85" s="32" t="s">
        <v>357</v>
      </c>
      <c r="I85" s="32" t="s">
        <v>357</v>
      </c>
      <c r="J85" s="32" t="s">
        <v>357</v>
      </c>
      <c r="K85" s="32" t="s">
        <v>357</v>
      </c>
      <c r="L85" s="32" t="s">
        <v>357</v>
      </c>
      <c r="M85" s="40" t="s">
        <v>357</v>
      </c>
      <c r="N85" s="40" t="s">
        <v>357</v>
      </c>
      <c r="O85" s="40" t="s">
        <v>357</v>
      </c>
      <c r="P85" s="40" t="s">
        <v>357</v>
      </c>
      <c r="Q85" s="40" t="s">
        <v>357</v>
      </c>
      <c r="R85" s="40" t="s">
        <v>357</v>
      </c>
      <c r="S85" s="40" t="s">
        <v>357</v>
      </c>
      <c r="T85" s="40" t="s">
        <v>357</v>
      </c>
      <c r="U85" s="40" t="s">
        <v>357</v>
      </c>
      <c r="V85" s="40" t="s">
        <v>357</v>
      </c>
      <c r="W85" s="40" t="s">
        <v>357</v>
      </c>
      <c r="X85" s="40" t="s">
        <v>357</v>
      </c>
      <c r="Y85" s="40" t="s">
        <v>357</v>
      </c>
      <c r="Z85" s="40">
        <f t="shared" ref="Z85:AK85" si="354">Z37/V37-1</f>
        <v>17.25</v>
      </c>
      <c r="AA85" s="40">
        <f t="shared" si="354"/>
        <v>7.1</v>
      </c>
      <c r="AB85" s="40">
        <f t="shared" si="354"/>
        <v>3</v>
      </c>
      <c r="AC85" s="40">
        <f t="shared" si="354"/>
        <v>1.7021276595744679</v>
      </c>
      <c r="AD85" s="40">
        <f t="shared" si="354"/>
        <v>1.095890410958904</v>
      </c>
      <c r="AE85" s="40">
        <f t="shared" si="354"/>
        <v>0.98765432098765427</v>
      </c>
      <c r="AF85" s="40">
        <f t="shared" si="354"/>
        <v>0.53571428571428581</v>
      </c>
      <c r="AG85" s="40">
        <f t="shared" si="354"/>
        <v>0.40157480314960625</v>
      </c>
      <c r="AH85" s="40">
        <f t="shared" si="354"/>
        <v>0.29411764705882359</v>
      </c>
      <c r="AI85" s="40">
        <f t="shared" si="354"/>
        <v>0.25465838509316763</v>
      </c>
      <c r="AJ85" s="40">
        <f t="shared" si="354"/>
        <v>0.39534883720930236</v>
      </c>
      <c r="AK85" s="40">
        <f t="shared" si="354"/>
        <v>0.18539325842696619</v>
      </c>
      <c r="AL85" s="40"/>
      <c r="AM85" s="40"/>
      <c r="AN85" s="40"/>
      <c r="AO85" s="40"/>
      <c r="AP85" s="40"/>
      <c r="AQ85" s="40"/>
      <c r="AR85" s="40"/>
      <c r="AS85" s="40"/>
      <c r="DE85" s="36"/>
    </row>
    <row r="86" spans="1:136" x14ac:dyDescent="0.2">
      <c r="B86" s="22"/>
      <c r="G86" s="40"/>
      <c r="H86" s="40"/>
      <c r="I86" s="40"/>
      <c r="J86" s="40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DE86" s="36"/>
    </row>
    <row r="87" spans="1:136" x14ac:dyDescent="0.2">
      <c r="B87" s="1" t="s">
        <v>164</v>
      </c>
      <c r="C87" s="38">
        <f t="shared" ref="C87:AF87" si="355">C57/C55</f>
        <v>0.7860050093926112</v>
      </c>
      <c r="D87" s="38">
        <f t="shared" si="355"/>
        <v>0.79144986640416259</v>
      </c>
      <c r="E87" s="38">
        <f t="shared" si="355"/>
        <v>0.78479175736467854</v>
      </c>
      <c r="F87" s="38">
        <f t="shared" si="355"/>
        <v>0.7823714012825761</v>
      </c>
      <c r="G87" s="38">
        <f t="shared" si="355"/>
        <v>0.78398946290062932</v>
      </c>
      <c r="H87" s="38">
        <f t="shared" si="355"/>
        <v>0.78069930069930071</v>
      </c>
      <c r="I87" s="38">
        <f t="shared" si="355"/>
        <v>0.74530598052851182</v>
      </c>
      <c r="J87" s="38">
        <f t="shared" si="355"/>
        <v>0.75062567036110117</v>
      </c>
      <c r="K87" s="38">
        <f t="shared" si="355"/>
        <v>0.78218465539661897</v>
      </c>
      <c r="L87" s="38">
        <f t="shared" si="355"/>
        <v>0.78155408263996617</v>
      </c>
      <c r="M87" s="38">
        <f t="shared" si="355"/>
        <v>0.79337579617834397</v>
      </c>
      <c r="N87" s="38">
        <f t="shared" si="355"/>
        <v>0.78600871511011661</v>
      </c>
      <c r="O87" s="38">
        <f t="shared" si="355"/>
        <v>0.79638731875153601</v>
      </c>
      <c r="P87" s="38">
        <f t="shared" si="355"/>
        <v>0.80850558327393685</v>
      </c>
      <c r="Q87" s="38">
        <f t="shared" si="355"/>
        <v>0.81573426573426577</v>
      </c>
      <c r="R87" s="38">
        <f t="shared" si="355"/>
        <v>0</v>
      </c>
      <c r="S87" s="38">
        <f t="shared" si="355"/>
        <v>0.82965641952983726</v>
      </c>
      <c r="T87" s="38">
        <f t="shared" si="355"/>
        <v>0.83589801190609903</v>
      </c>
      <c r="U87" s="38">
        <f t="shared" si="355"/>
        <v>0.82827616534740545</v>
      </c>
      <c r="V87" s="38">
        <f t="shared" si="355"/>
        <v>0.83815224757171902</v>
      </c>
      <c r="W87" s="38">
        <f t="shared" si="355"/>
        <v>0.72831287705429582</v>
      </c>
      <c r="X87" s="38">
        <f t="shared" si="355"/>
        <v>0.84932153392330378</v>
      </c>
      <c r="Y87" s="38">
        <f t="shared" si="355"/>
        <v>0.73322217590662775</v>
      </c>
      <c r="Z87" s="38">
        <f t="shared" si="355"/>
        <v>0.72334181177851697</v>
      </c>
      <c r="AA87" s="54">
        <f t="shared" si="355"/>
        <v>0.73198962282977453</v>
      </c>
      <c r="AB87" s="38">
        <f t="shared" si="355"/>
        <v>0.72745675377254326</v>
      </c>
      <c r="AC87" s="38">
        <f t="shared" si="355"/>
        <v>0.73676333021515439</v>
      </c>
      <c r="AD87" s="38">
        <f t="shared" si="355"/>
        <v>0.74935826916024939</v>
      </c>
      <c r="AE87" s="38">
        <f t="shared" si="355"/>
        <v>0.7518567891830128</v>
      </c>
      <c r="AF87" s="38">
        <f t="shared" si="355"/>
        <v>0.71978392977717753</v>
      </c>
      <c r="AG87" s="38">
        <v>0.73</v>
      </c>
      <c r="AH87" s="38">
        <v>0.73</v>
      </c>
      <c r="AI87" s="38">
        <v>0.73</v>
      </c>
      <c r="AJ87" s="38">
        <v>0.73</v>
      </c>
      <c r="AK87" s="38">
        <v>0.73</v>
      </c>
      <c r="AL87" s="38"/>
      <c r="AM87" s="38"/>
      <c r="AN87" s="38"/>
      <c r="AO87" s="38"/>
      <c r="AP87" s="38"/>
      <c r="AQ87" s="38"/>
      <c r="AR87" s="38"/>
      <c r="AS87" s="38"/>
      <c r="BK87" s="56">
        <f t="shared" ref="BK87:BS87" si="356">+BK57/BK55</f>
        <v>0.79371115851961782</v>
      </c>
      <c r="BL87" s="56">
        <f t="shared" si="356"/>
        <v>0.73353736795340108</v>
      </c>
      <c r="BM87" s="56">
        <f t="shared" si="356"/>
        <v>0.7626185958254269</v>
      </c>
      <c r="BN87" s="56">
        <f t="shared" si="356"/>
        <v>0.79806649801228768</v>
      </c>
      <c r="BO87" s="56">
        <f t="shared" si="356"/>
        <v>0.78108913573557304</v>
      </c>
      <c r="BP87" s="56">
        <f t="shared" si="356"/>
        <v>0.79808596086473549</v>
      </c>
      <c r="BQ87" s="56">
        <f t="shared" si="356"/>
        <v>0.80290777701307636</v>
      </c>
      <c r="BR87" s="56">
        <f t="shared" si="356"/>
        <v>0.80342094284522314</v>
      </c>
      <c r="BS87" s="56">
        <f t="shared" si="356"/>
        <v>0.79232486263736268</v>
      </c>
      <c r="BT87" s="56">
        <f>+BT57/BT55</f>
        <v>0.78337679818288886</v>
      </c>
      <c r="BU87" s="56">
        <f t="shared" ref="BU87:CD87" si="357">+BU57/BU55</f>
        <v>0.79000000000000015</v>
      </c>
      <c r="BV87" s="56">
        <f t="shared" si="357"/>
        <v>0.77266351043310544</v>
      </c>
      <c r="BW87" s="56">
        <f t="shared" si="357"/>
        <v>0.78999999999999992</v>
      </c>
      <c r="BX87" s="56">
        <f t="shared" si="357"/>
        <v>0.79</v>
      </c>
      <c r="BY87" s="56">
        <f t="shared" si="357"/>
        <v>0.79000000000000015</v>
      </c>
      <c r="BZ87" s="56">
        <f t="shared" si="357"/>
        <v>0.79</v>
      </c>
      <c r="CA87" s="56">
        <f t="shared" si="357"/>
        <v>0.75474083438685213</v>
      </c>
      <c r="CB87" s="56">
        <f t="shared" si="357"/>
        <v>0.79</v>
      </c>
      <c r="CC87" s="56">
        <f t="shared" si="357"/>
        <v>0.79</v>
      </c>
      <c r="CD87" s="56">
        <f t="shared" si="357"/>
        <v>0.73975044563279857</v>
      </c>
      <c r="CE87" s="56"/>
      <c r="CF87" s="56"/>
      <c r="CG87" s="56"/>
      <c r="CH87" s="56"/>
      <c r="CL87" s="38">
        <f>CL57/CL55</f>
        <v>0.71811611098158079</v>
      </c>
      <c r="CM87" s="38">
        <f>CM57/CM55</f>
        <v>0.72641412585976795</v>
      </c>
      <c r="CN87" s="38">
        <f>CN57/CN55</f>
        <v>0.74297606659729454</v>
      </c>
      <c r="CO87" s="38">
        <f>CO57/CO55</f>
        <v>0.74390462531373247</v>
      </c>
      <c r="CP87" s="38">
        <f>CP57/CP55</f>
        <v>0.73460089371769033</v>
      </c>
      <c r="CQ87" s="38"/>
      <c r="CR87" s="38"/>
      <c r="CS87" s="38"/>
      <c r="CT87" s="38"/>
      <c r="CU87" s="38"/>
      <c r="CV87" s="38"/>
      <c r="CW87" s="38"/>
      <c r="CX87" s="38"/>
      <c r="CY87" s="38">
        <f t="shared" ref="CY87:DF87" si="358">CY57/CY55</f>
        <v>0</v>
      </c>
      <c r="CZ87" s="38">
        <f t="shared" si="358"/>
        <v>0</v>
      </c>
      <c r="DA87" s="38">
        <f t="shared" si="358"/>
        <v>0</v>
      </c>
      <c r="DB87" s="38">
        <f t="shared" si="358"/>
        <v>0</v>
      </c>
      <c r="DC87" s="38">
        <f t="shared" si="358"/>
        <v>0</v>
      </c>
      <c r="DD87" s="38">
        <f t="shared" si="358"/>
        <v>0.68</v>
      </c>
      <c r="DE87" s="38">
        <f t="shared" si="358"/>
        <v>0.60079964460239899</v>
      </c>
      <c r="DF87" s="54">
        <f t="shared" si="358"/>
        <v>0.8330203710026175</v>
      </c>
      <c r="DG87" s="54">
        <v>0.73</v>
      </c>
      <c r="DH87" s="54">
        <f>DH57/DH55</f>
        <v>0.73649030314441721</v>
      </c>
      <c r="DI87" s="38">
        <v>0.73</v>
      </c>
      <c r="DJ87" s="38">
        <v>0.73</v>
      </c>
      <c r="DK87" s="38">
        <v>0.73</v>
      </c>
      <c r="DL87" s="38">
        <v>0.73</v>
      </c>
      <c r="DM87" s="38">
        <v>0.74</v>
      </c>
      <c r="DN87" s="38">
        <v>0.75</v>
      </c>
      <c r="DO87" s="38">
        <v>0.75</v>
      </c>
      <c r="DP87" s="38"/>
      <c r="DQ87" s="38"/>
      <c r="DR87" s="38"/>
      <c r="DS87" s="38"/>
      <c r="DT87" s="38"/>
      <c r="DU87" s="38">
        <f>+DU57/DU55</f>
        <v>0.76849834368530023</v>
      </c>
      <c r="DV87" s="38">
        <f t="shared" ref="DV87:EF87" si="359">+DV57/DV55</f>
        <v>0.79965821442794938</v>
      </c>
      <c r="DW87" s="38">
        <f t="shared" si="359"/>
        <v>0.80000000000000016</v>
      </c>
      <c r="DX87" s="38">
        <f t="shared" si="359"/>
        <v>0.8</v>
      </c>
      <c r="DY87" s="38">
        <f t="shared" si="359"/>
        <v>0.8</v>
      </c>
      <c r="DZ87" s="38">
        <f t="shared" si="359"/>
        <v>0.8</v>
      </c>
      <c r="EA87" s="38">
        <f t="shared" si="359"/>
        <v>0.8</v>
      </c>
      <c r="EB87" s="38">
        <f t="shared" si="359"/>
        <v>0.79999999999999993</v>
      </c>
      <c r="EC87" s="38">
        <f t="shared" si="359"/>
        <v>0.80000000000000016</v>
      </c>
      <c r="ED87" s="38">
        <f t="shared" si="359"/>
        <v>0.8</v>
      </c>
      <c r="EE87" s="38">
        <f t="shared" si="359"/>
        <v>0.79999999999999993</v>
      </c>
      <c r="EF87" s="38">
        <f t="shared" si="359"/>
        <v>0.8</v>
      </c>
    </row>
    <row r="88" spans="1:136" x14ac:dyDescent="0.2">
      <c r="B88" s="22" t="s">
        <v>369</v>
      </c>
      <c r="C88" s="38"/>
      <c r="D88" s="38"/>
      <c r="E88" s="38"/>
      <c r="F88" s="38"/>
      <c r="G88" s="38"/>
      <c r="H88" s="38"/>
      <c r="I88" s="38"/>
      <c r="J88" s="38"/>
      <c r="K88" s="38">
        <f t="shared" ref="K88:AK88" si="360">+K58/K55</f>
        <v>0.18416775032509752</v>
      </c>
      <c r="L88" s="38">
        <f t="shared" si="360"/>
        <v>0.17049781413058807</v>
      </c>
      <c r="M88" s="38">
        <f t="shared" si="360"/>
        <v>0.15464968152866243</v>
      </c>
      <c r="N88" s="38">
        <f t="shared" si="360"/>
        <v>0.15816747144034859</v>
      </c>
      <c r="O88" s="38">
        <f t="shared" si="360"/>
        <v>0.1502826247235193</v>
      </c>
      <c r="P88" s="38">
        <f t="shared" si="360"/>
        <v>0.13578047042052743</v>
      </c>
      <c r="Q88" s="38">
        <f t="shared" si="360"/>
        <v>0.13648018648018648</v>
      </c>
      <c r="R88" s="38">
        <f t="shared" si="360"/>
        <v>0.13570518020628114</v>
      </c>
      <c r="S88" s="38">
        <f t="shared" si="360"/>
        <v>0.12827004219409283</v>
      </c>
      <c r="T88" s="38">
        <f t="shared" si="360"/>
        <v>0.12097045939570931</v>
      </c>
      <c r="U88" s="38">
        <f t="shared" si="360"/>
        <v>0.12280123131046614</v>
      </c>
      <c r="V88" s="38">
        <f t="shared" si="360"/>
        <v>0.13214366388073187</v>
      </c>
      <c r="W88" s="38">
        <f t="shared" si="360"/>
        <v>0.18722696068233827</v>
      </c>
      <c r="X88" s="38">
        <f t="shared" si="360"/>
        <v>0.10548672566371682</v>
      </c>
      <c r="Y88" s="38">
        <f t="shared" si="360"/>
        <v>0.18591079616506878</v>
      </c>
      <c r="Z88" s="38">
        <f t="shared" si="360"/>
        <v>0.19565642731363725</v>
      </c>
      <c r="AA88" s="54">
        <f t="shared" si="360"/>
        <v>0.18519257633206945</v>
      </c>
      <c r="AB88" s="38">
        <f t="shared" si="360"/>
        <v>0.19138755980861244</v>
      </c>
      <c r="AC88" s="38">
        <f t="shared" si="360"/>
        <v>0.19064546304957905</v>
      </c>
      <c r="AD88" s="38">
        <f t="shared" si="360"/>
        <v>0.22295562889622295</v>
      </c>
      <c r="AE88" s="38">
        <f t="shared" si="360"/>
        <v>0.19082079603884974</v>
      </c>
      <c r="AF88" s="38">
        <f t="shared" si="360"/>
        <v>0.22597344136844474</v>
      </c>
      <c r="AG88" s="38">
        <f t="shared" si="360"/>
        <v>0.77649892933618847</v>
      </c>
      <c r="AH88" s="38">
        <f t="shared" si="360"/>
        <v>0.27272727272727271</v>
      </c>
      <c r="AI88" s="38">
        <f t="shared" si="360"/>
        <v>0.23728813559322035</v>
      </c>
      <c r="AJ88" s="38">
        <f t="shared" si="360"/>
        <v>0.2574110671936759</v>
      </c>
      <c r="AK88" s="38">
        <f t="shared" si="360"/>
        <v>0.21792305981765622</v>
      </c>
      <c r="AL88" s="38"/>
      <c r="AM88" s="38"/>
      <c r="AN88" s="38"/>
      <c r="AO88" s="38"/>
      <c r="AP88" s="38"/>
      <c r="AQ88" s="38"/>
      <c r="AR88" s="38"/>
      <c r="AS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54">
        <f t="shared" ref="DF88:DV88" si="361">DF58/DF55</f>
        <v>0.12598156367360874</v>
      </c>
      <c r="DG88" s="54">
        <f t="shared" si="361"/>
        <v>0.1589409684791514</v>
      </c>
      <c r="DH88" s="54">
        <f t="shared" si="361"/>
        <v>0.19784409715684428</v>
      </c>
      <c r="DI88" s="38">
        <f t="shared" si="361"/>
        <v>0.22725384177575411</v>
      </c>
      <c r="DJ88" s="38">
        <f t="shared" si="361"/>
        <v>0.25369825403885188</v>
      </c>
      <c r="DK88" s="38">
        <f t="shared" si="361"/>
        <v>0.23703492330259293</v>
      </c>
      <c r="DL88" s="38">
        <f t="shared" si="361"/>
        <v>0.17954743651242569</v>
      </c>
      <c r="DM88" s="38">
        <f t="shared" si="361"/>
        <v>0.1326812469079692</v>
      </c>
      <c r="DN88" s="38">
        <f t="shared" si="361"/>
        <v>6.1870097380729433E-2</v>
      </c>
      <c r="DO88" s="38">
        <f t="shared" si="361"/>
        <v>2.8450947725749076E-2</v>
      </c>
      <c r="DP88" s="38">
        <f t="shared" si="361"/>
        <v>1.2275422291845953E-2</v>
      </c>
      <c r="DQ88" s="38">
        <f t="shared" si="361"/>
        <v>0</v>
      </c>
      <c r="DR88" s="38">
        <f t="shared" si="361"/>
        <v>0</v>
      </c>
      <c r="DS88" s="38">
        <f t="shared" si="361"/>
        <v>0.16865746658289826</v>
      </c>
      <c r="DT88" s="38">
        <f t="shared" si="361"/>
        <v>0.16632737857174601</v>
      </c>
      <c r="DU88" s="38">
        <f t="shared" si="361"/>
        <v>0.16365147826086959</v>
      </c>
      <c r="DV88" s="38">
        <f t="shared" si="361"/>
        <v>0.15963868791793251</v>
      </c>
      <c r="DW88" s="38">
        <f t="shared" ref="DW88:EF88" si="362">DW58/DW55</f>
        <v>0.15</v>
      </c>
      <c r="DX88" s="38">
        <f t="shared" si="362"/>
        <v>0.15</v>
      </c>
      <c r="DY88" s="38">
        <f t="shared" si="362"/>
        <v>0.15</v>
      </c>
      <c r="DZ88" s="38">
        <f t="shared" si="362"/>
        <v>0.15</v>
      </c>
      <c r="EA88" s="38">
        <f t="shared" si="362"/>
        <v>0.15</v>
      </c>
      <c r="EB88" s="38">
        <f t="shared" si="362"/>
        <v>0.15</v>
      </c>
      <c r="EC88" s="38">
        <f t="shared" si="362"/>
        <v>0.15</v>
      </c>
      <c r="ED88" s="38">
        <f t="shared" si="362"/>
        <v>0.15</v>
      </c>
      <c r="EE88" s="38">
        <f t="shared" si="362"/>
        <v>0.15</v>
      </c>
      <c r="EF88" s="38">
        <f t="shared" si="362"/>
        <v>0.15</v>
      </c>
    </row>
    <row r="89" spans="1:136" x14ac:dyDescent="0.2">
      <c r="B89" s="22" t="s">
        <v>370</v>
      </c>
      <c r="C89" s="38"/>
      <c r="D89" s="38"/>
      <c r="E89" s="38"/>
      <c r="F89" s="38"/>
      <c r="G89" s="38"/>
      <c r="H89" s="38"/>
      <c r="I89" s="38"/>
      <c r="J89" s="38"/>
      <c r="K89" s="38">
        <f t="shared" ref="K89:AK89" si="363">+K59/K55</f>
        <v>4.3563068920676205E-2</v>
      </c>
      <c r="L89" s="38">
        <f t="shared" si="363"/>
        <v>5.1896770554223662E-2</v>
      </c>
      <c r="M89" s="38">
        <f t="shared" si="363"/>
        <v>4.4713375796178345E-2</v>
      </c>
      <c r="N89" s="38">
        <f t="shared" si="363"/>
        <v>5.688375927452597E-2</v>
      </c>
      <c r="O89" s="38">
        <f t="shared" si="363"/>
        <v>4.0550503809289755E-2</v>
      </c>
      <c r="P89" s="38">
        <f t="shared" si="363"/>
        <v>4.9893086243763367E-2</v>
      </c>
      <c r="Q89" s="38">
        <f t="shared" si="363"/>
        <v>4.2191142191142193E-2</v>
      </c>
      <c r="R89" s="38">
        <f t="shared" si="363"/>
        <v>4.1951558697415695E-2</v>
      </c>
      <c r="S89" s="38">
        <f t="shared" si="363"/>
        <v>3.9059674502712478E-2</v>
      </c>
      <c r="T89" s="38">
        <f t="shared" si="363"/>
        <v>4.4928675727282937E-2</v>
      </c>
      <c r="U89" s="38">
        <f t="shared" si="363"/>
        <v>3.9687774846086189E-2</v>
      </c>
      <c r="V89" s="38">
        <f t="shared" si="363"/>
        <v>3.7723063022362772E-2</v>
      </c>
      <c r="W89" s="38">
        <f t="shared" si="363"/>
        <v>4.4102350738506345E-2</v>
      </c>
      <c r="X89" s="38">
        <f t="shared" si="363"/>
        <v>3.103244837758112E-2</v>
      </c>
      <c r="Y89" s="38">
        <f t="shared" si="363"/>
        <v>4.8145060441850768E-2</v>
      </c>
      <c r="Z89" s="38">
        <f t="shared" si="363"/>
        <v>5.3022891801995695E-2</v>
      </c>
      <c r="AA89" s="54">
        <f t="shared" si="363"/>
        <v>4.2706046697266013E-2</v>
      </c>
      <c r="AB89" s="38">
        <f t="shared" si="363"/>
        <v>4.6558704453441298E-2</v>
      </c>
      <c r="AC89" s="38">
        <f t="shared" si="363"/>
        <v>3.8353601496725911E-2</v>
      </c>
      <c r="AD89" s="38">
        <f t="shared" si="363"/>
        <v>5.2255225522552254E-2</v>
      </c>
      <c r="AE89" s="38">
        <f t="shared" si="363"/>
        <v>3.6945343744048752E-2</v>
      </c>
      <c r="AF89" s="38">
        <f t="shared" si="363"/>
        <v>5.0416385325230698E-2</v>
      </c>
      <c r="AG89" s="38">
        <f t="shared" si="363"/>
        <v>4.470021413276231E-2</v>
      </c>
      <c r="AH89" s="38">
        <f t="shared" si="363"/>
        <v>5.0584586017656884E-2</v>
      </c>
      <c r="AI89" s="38">
        <f t="shared" si="363"/>
        <v>4.5118166626879924E-2</v>
      </c>
      <c r="AJ89" s="38">
        <f t="shared" si="363"/>
        <v>5.3853754940711464E-2</v>
      </c>
      <c r="AK89" s="38">
        <f t="shared" si="363"/>
        <v>4.3139871025127861E-2</v>
      </c>
      <c r="AL89" s="38"/>
      <c r="AM89" s="38"/>
      <c r="AN89" s="38"/>
      <c r="AO89" s="38"/>
      <c r="AP89" s="38"/>
      <c r="AQ89" s="38"/>
      <c r="AR89" s="38"/>
      <c r="AS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54">
        <f t="shared" ref="DF89:DV89" si="364">DF59/DF55</f>
        <v>4.0372140662342099E-2</v>
      </c>
      <c r="DG89" s="54">
        <f t="shared" si="364"/>
        <v>4.2128411883920483E-2</v>
      </c>
      <c r="DH89" s="54">
        <f t="shared" si="364"/>
        <v>4.5048013556768969E-2</v>
      </c>
      <c r="DI89" s="38">
        <f t="shared" si="364"/>
        <v>6.0000000000000005E-2</v>
      </c>
      <c r="DJ89" s="38">
        <f t="shared" si="364"/>
        <v>0.06</v>
      </c>
      <c r="DK89" s="38">
        <f t="shared" si="364"/>
        <v>0.06</v>
      </c>
      <c r="DL89" s="38">
        <f t="shared" si="364"/>
        <v>0.06</v>
      </c>
      <c r="DM89" s="38">
        <f t="shared" si="364"/>
        <v>0.06</v>
      </c>
      <c r="DN89" s="38">
        <f t="shared" si="364"/>
        <v>0.06</v>
      </c>
      <c r="DO89" s="38">
        <f t="shared" si="364"/>
        <v>5.9999999999999991E-2</v>
      </c>
      <c r="DP89" s="38">
        <f t="shared" si="364"/>
        <v>6.0000000000000005E-2</v>
      </c>
      <c r="DQ89" s="38">
        <f t="shared" si="364"/>
        <v>0</v>
      </c>
      <c r="DR89" s="38">
        <f t="shared" si="364"/>
        <v>0</v>
      </c>
      <c r="DS89" s="38">
        <f t="shared" si="364"/>
        <v>0</v>
      </c>
      <c r="DT89" s="38">
        <f t="shared" si="364"/>
        <v>0</v>
      </c>
      <c r="DU89" s="38">
        <f t="shared" si="364"/>
        <v>0</v>
      </c>
      <c r="DV89" s="38">
        <f t="shared" si="364"/>
        <v>0</v>
      </c>
      <c r="DW89" s="38">
        <f t="shared" ref="DW89:EF89" si="365">DW59/DW55</f>
        <v>0</v>
      </c>
      <c r="DX89" s="38">
        <f t="shared" si="365"/>
        <v>0</v>
      </c>
      <c r="DY89" s="38">
        <f t="shared" si="365"/>
        <v>0</v>
      </c>
      <c r="DZ89" s="38">
        <f t="shared" si="365"/>
        <v>0</v>
      </c>
      <c r="EA89" s="38">
        <f t="shared" si="365"/>
        <v>0</v>
      </c>
      <c r="EB89" s="38">
        <f t="shared" si="365"/>
        <v>0</v>
      </c>
      <c r="EC89" s="38">
        <f t="shared" si="365"/>
        <v>0</v>
      </c>
      <c r="ED89" s="38">
        <f t="shared" si="365"/>
        <v>0</v>
      </c>
      <c r="EE89" s="38">
        <f t="shared" si="365"/>
        <v>0</v>
      </c>
      <c r="EF89" s="38">
        <f t="shared" si="365"/>
        <v>0</v>
      </c>
    </row>
    <row r="90" spans="1:136" x14ac:dyDescent="0.2">
      <c r="B90" s="22" t="s">
        <v>371</v>
      </c>
      <c r="C90" s="38"/>
      <c r="D90" s="38"/>
      <c r="E90" s="38"/>
      <c r="F90" s="38"/>
      <c r="G90" s="38"/>
      <c r="H90" s="38"/>
      <c r="I90" s="38"/>
      <c r="J90" s="38"/>
      <c r="K90" s="38">
        <f t="shared" ref="K90:AK90" si="366">+K60/K55</f>
        <v>0.12857607282184655</v>
      </c>
      <c r="L90" s="38">
        <f t="shared" si="366"/>
        <v>0.10971654209561416</v>
      </c>
      <c r="M90" s="38">
        <f t="shared" si="366"/>
        <v>0.10535031847133758</v>
      </c>
      <c r="N90" s="38">
        <f t="shared" si="366"/>
        <v>0.10693675656577553</v>
      </c>
      <c r="O90" s="38">
        <f t="shared" si="366"/>
        <v>9.7689850086016217E-2</v>
      </c>
      <c r="P90" s="38">
        <f t="shared" si="366"/>
        <v>9.4440484675694936E-2</v>
      </c>
      <c r="Q90" s="38">
        <f t="shared" si="366"/>
        <v>9.289044289044289E-2</v>
      </c>
      <c r="R90" s="38">
        <f t="shared" si="366"/>
        <v>9.2362962104531238E-2</v>
      </c>
      <c r="S90" s="38">
        <f t="shared" si="366"/>
        <v>0.11127185051235684</v>
      </c>
      <c r="T90" s="38">
        <f t="shared" si="366"/>
        <v>9.3114680444793888E-2</v>
      </c>
      <c r="U90" s="38">
        <f t="shared" si="366"/>
        <v>9.2128408091468772E-2</v>
      </c>
      <c r="V90" s="38">
        <f t="shared" si="366"/>
        <v>0.12514117912807771</v>
      </c>
      <c r="W90" s="38">
        <f t="shared" si="366"/>
        <v>0.18930726024547534</v>
      </c>
      <c r="X90" s="38">
        <f t="shared" si="366"/>
        <v>9.6991150442477872E-2</v>
      </c>
      <c r="Y90" s="38">
        <f t="shared" si="366"/>
        <v>0.17173822426010837</v>
      </c>
      <c r="Z90" s="38">
        <f t="shared" si="366"/>
        <v>0.19761299158677362</v>
      </c>
      <c r="AA90" s="54">
        <f t="shared" si="366"/>
        <v>0.18658950309319497</v>
      </c>
      <c r="AB90" s="38">
        <f t="shared" si="366"/>
        <v>0.16985645933014354</v>
      </c>
      <c r="AC90" s="38">
        <f t="shared" si="366"/>
        <v>0.18203928905519176</v>
      </c>
      <c r="AD90" s="38">
        <f t="shared" si="366"/>
        <v>0.18481848184818481</v>
      </c>
      <c r="AE90" s="38">
        <f t="shared" si="366"/>
        <v>0.1731098838316511</v>
      </c>
      <c r="AF90" s="38">
        <f t="shared" si="366"/>
        <v>0.216520369119964</v>
      </c>
      <c r="AG90" s="38">
        <f t="shared" si="366"/>
        <v>0.25455032119914345</v>
      </c>
      <c r="AH90" s="38">
        <f t="shared" si="366"/>
        <v>0.2581722739203054</v>
      </c>
      <c r="AI90" s="38">
        <f t="shared" si="366"/>
        <v>0.22201002625925043</v>
      </c>
      <c r="AJ90" s="38">
        <f t="shared" si="366"/>
        <v>0.2349308300395257</v>
      </c>
      <c r="AK90" s="38">
        <f t="shared" si="366"/>
        <v>0.19857682899710918</v>
      </c>
      <c r="AL90" s="38"/>
      <c r="AM90" s="38"/>
      <c r="AN90" s="38"/>
      <c r="AO90" s="38"/>
      <c r="AP90" s="38"/>
      <c r="AQ90" s="38"/>
      <c r="AR90" s="38"/>
      <c r="AS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54"/>
      <c r="DG90" s="54"/>
      <c r="DH90" s="54">
        <f t="shared" ref="DH90:DV90" si="367">+DH60/DH55</f>
        <v>0.18070984748634908</v>
      </c>
      <c r="DI90" s="38">
        <f t="shared" si="367"/>
        <v>0</v>
      </c>
      <c r="DJ90" s="38">
        <f t="shared" si="367"/>
        <v>0</v>
      </c>
      <c r="DK90" s="38">
        <f t="shared" si="367"/>
        <v>0</v>
      </c>
      <c r="DL90" s="38">
        <f t="shared" si="367"/>
        <v>0</v>
      </c>
      <c r="DM90" s="38">
        <f t="shared" si="367"/>
        <v>0</v>
      </c>
      <c r="DN90" s="38">
        <f t="shared" si="367"/>
        <v>0</v>
      </c>
      <c r="DO90" s="38">
        <f t="shared" si="367"/>
        <v>0</v>
      </c>
      <c r="DP90" s="38">
        <f t="shared" si="367"/>
        <v>0</v>
      </c>
      <c r="DQ90" s="38">
        <f t="shared" si="367"/>
        <v>0</v>
      </c>
      <c r="DR90" s="38">
        <f t="shared" si="367"/>
        <v>0</v>
      </c>
      <c r="DS90" s="38">
        <f t="shared" si="367"/>
        <v>0.22084533893715202</v>
      </c>
      <c r="DT90" s="38">
        <f t="shared" si="367"/>
        <v>0.22812513887037283</v>
      </c>
      <c r="DU90" s="38">
        <f t="shared" si="367"/>
        <v>0.20248447204968945</v>
      </c>
      <c r="DV90" s="38">
        <f t="shared" si="367"/>
        <v>0.19751948338798916</v>
      </c>
      <c r="DW90" s="38">
        <f t="shared" ref="DW90:EF90" si="368">+DW60/DW55</f>
        <v>0</v>
      </c>
      <c r="DX90" s="38">
        <f t="shared" si="368"/>
        <v>0</v>
      </c>
      <c r="DY90" s="38">
        <f t="shared" si="368"/>
        <v>0</v>
      </c>
      <c r="DZ90" s="38">
        <f t="shared" si="368"/>
        <v>0</v>
      </c>
      <c r="EA90" s="38">
        <f t="shared" si="368"/>
        <v>0</v>
      </c>
      <c r="EB90" s="38">
        <f t="shared" si="368"/>
        <v>0</v>
      </c>
      <c r="EC90" s="38">
        <f t="shared" si="368"/>
        <v>0</v>
      </c>
      <c r="ED90" s="38">
        <f t="shared" si="368"/>
        <v>0</v>
      </c>
      <c r="EE90" s="38">
        <f t="shared" si="368"/>
        <v>0</v>
      </c>
      <c r="EF90" s="38">
        <f t="shared" si="368"/>
        <v>0</v>
      </c>
    </row>
    <row r="91" spans="1:136" x14ac:dyDescent="0.2">
      <c r="B91" s="22" t="s">
        <v>390</v>
      </c>
      <c r="C91" s="38"/>
      <c r="D91" s="38"/>
      <c r="E91" s="38"/>
      <c r="F91" s="38"/>
      <c r="G91" s="38"/>
      <c r="H91" s="38"/>
      <c r="I91" s="38"/>
      <c r="J91" s="38"/>
      <c r="K91" s="38">
        <f t="shared" ref="K91:AK91" si="369">+K62/K55</f>
        <v>0.42587776332899868</v>
      </c>
      <c r="L91" s="38">
        <f t="shared" si="369"/>
        <v>0.44944295585954025</v>
      </c>
      <c r="M91" s="38">
        <f t="shared" si="369"/>
        <v>0.48866242038216562</v>
      </c>
      <c r="N91" s="38">
        <f t="shared" si="369"/>
        <v>0.46402072782946652</v>
      </c>
      <c r="O91" s="38">
        <f t="shared" si="369"/>
        <v>0.50786434013271076</v>
      </c>
      <c r="P91" s="38">
        <f t="shared" si="369"/>
        <v>0.5283915419339511</v>
      </c>
      <c r="Q91" s="38">
        <f t="shared" si="369"/>
        <v>0.54417249417249414</v>
      </c>
      <c r="R91" s="38">
        <f t="shared" si="369"/>
        <v>-0.27001970100822809</v>
      </c>
      <c r="S91" s="38">
        <f t="shared" si="369"/>
        <v>0.55105485232067508</v>
      </c>
      <c r="T91" s="38">
        <f t="shared" si="369"/>
        <v>0.57688419633831289</v>
      </c>
      <c r="U91" s="38">
        <f t="shared" si="369"/>
        <v>0.57365875109938436</v>
      </c>
      <c r="V91" s="38">
        <f t="shared" si="369"/>
        <v>0.54314434154054669</v>
      </c>
      <c r="W91" s="38">
        <f t="shared" si="369"/>
        <v>0.30767630538797586</v>
      </c>
      <c r="X91" s="38">
        <f t="shared" si="369"/>
        <v>0.61581120943952805</v>
      </c>
      <c r="Y91" s="38">
        <f t="shared" si="369"/>
        <v>0.32742809503959985</v>
      </c>
      <c r="Z91" s="38">
        <f t="shared" si="369"/>
        <v>0.27704950107611037</v>
      </c>
      <c r="AA91" s="54">
        <f t="shared" si="369"/>
        <v>0.31750149670724409</v>
      </c>
      <c r="AB91" s="38">
        <f t="shared" si="369"/>
        <v>0.31965403018034599</v>
      </c>
      <c r="AC91" s="38">
        <f t="shared" si="369"/>
        <v>0.32572497661365762</v>
      </c>
      <c r="AD91" s="38">
        <f t="shared" si="369"/>
        <v>0.28932893289328931</v>
      </c>
      <c r="AE91" s="38">
        <f t="shared" si="369"/>
        <v>0.35098076556846314</v>
      </c>
      <c r="AF91" s="38">
        <f t="shared" si="369"/>
        <v>0.22687373396353816</v>
      </c>
      <c r="AG91" s="38">
        <f t="shared" si="369"/>
        <v>-0.33993576017130622</v>
      </c>
      <c r="AH91" s="38">
        <f t="shared" si="369"/>
        <v>0.16201383917919351</v>
      </c>
      <c r="AI91" s="38">
        <f t="shared" si="369"/>
        <v>0.24182382430174265</v>
      </c>
      <c r="AJ91" s="38">
        <f t="shared" si="369"/>
        <v>0.1800889328063241</v>
      </c>
      <c r="AK91" s="38">
        <f t="shared" si="369"/>
        <v>0.27907493884812096</v>
      </c>
      <c r="AL91" s="38"/>
      <c r="AM91" s="38"/>
      <c r="AN91" s="38"/>
      <c r="AO91" s="38"/>
      <c r="AP91" s="38"/>
      <c r="AQ91" s="38"/>
      <c r="AR91" s="38"/>
      <c r="AS91" s="38"/>
      <c r="BK91" s="56">
        <f t="shared" ref="BK91:BS91" si="370">+BK62/BK55</f>
        <v>0.42472868936091274</v>
      </c>
      <c r="BL91" s="56">
        <f t="shared" si="370"/>
        <v>0.32382268733339914</v>
      </c>
      <c r="BM91" s="56">
        <f t="shared" si="370"/>
        <v>0.36366223908918405</v>
      </c>
      <c r="BN91" s="56">
        <f t="shared" si="370"/>
        <v>0.34477773762197328</v>
      </c>
      <c r="BO91" s="56">
        <f t="shared" si="370"/>
        <v>0.43023570848008669</v>
      </c>
      <c r="BP91" s="56">
        <f t="shared" si="370"/>
        <v>0.44527044347603179</v>
      </c>
      <c r="BQ91" s="56">
        <f t="shared" si="370"/>
        <v>0.36940812112869925</v>
      </c>
      <c r="BR91" s="56">
        <f t="shared" si="370"/>
        <v>0.38965373383395913</v>
      </c>
      <c r="BS91" s="56">
        <f t="shared" si="370"/>
        <v>0.45218063186813184</v>
      </c>
      <c r="BT91" s="56">
        <f>+BT62/BT55</f>
        <v>0.43989231934045597</v>
      </c>
      <c r="BU91" s="56">
        <f t="shared" ref="BU91:CD91" si="371">+BU62/BU55</f>
        <v>0.33019789623818868</v>
      </c>
      <c r="BV91" s="56">
        <f>+BV62/BV55</f>
        <v>0.35393652463615644</v>
      </c>
      <c r="BW91" s="56">
        <f t="shared" si="371"/>
        <v>0.43999558966216806</v>
      </c>
      <c r="BX91" s="56">
        <f t="shared" si="371"/>
        <v>0.41511847496882243</v>
      </c>
      <c r="BY91" s="56">
        <f t="shared" si="371"/>
        <v>0.32353820900966634</v>
      </c>
      <c r="BZ91" s="56">
        <f t="shared" si="371"/>
        <v>0.40130173390258778</v>
      </c>
      <c r="CA91" s="56">
        <f t="shared" si="371"/>
        <v>0.38938053097345132</v>
      </c>
      <c r="CB91" s="56">
        <f t="shared" si="371"/>
        <v>0.44162657159249247</v>
      </c>
      <c r="CC91" s="56">
        <f t="shared" si="371"/>
        <v>0.43632843928691561</v>
      </c>
      <c r="CD91" s="56">
        <f t="shared" si="371"/>
        <v>0.3432993031923513</v>
      </c>
      <c r="CE91" s="56"/>
      <c r="CF91" s="56"/>
      <c r="CG91" s="56"/>
      <c r="CH91" s="56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54"/>
      <c r="DG91" s="54"/>
      <c r="DH91" s="54">
        <f t="shared" ref="DH91:DV91" si="372">+DH62/DH55</f>
        <v>0.31288834494445489</v>
      </c>
      <c r="DI91" s="38">
        <f t="shared" si="372"/>
        <v>0.4427461582242459</v>
      </c>
      <c r="DJ91" s="38">
        <f t="shared" si="372"/>
        <v>0.41630174596114811</v>
      </c>
      <c r="DK91" s="38">
        <f t="shared" si="372"/>
        <v>0.43296507669740697</v>
      </c>
      <c r="DL91" s="38">
        <f t="shared" si="372"/>
        <v>0.49045256348757427</v>
      </c>
      <c r="DM91" s="38">
        <f t="shared" si="372"/>
        <v>0.54731875309203082</v>
      </c>
      <c r="DN91" s="38">
        <f t="shared" si="372"/>
        <v>0.6281299026192706</v>
      </c>
      <c r="DO91" s="38">
        <f t="shared" si="372"/>
        <v>0.66154905227425087</v>
      </c>
      <c r="DP91" s="38">
        <f t="shared" si="372"/>
        <v>-7.2275422291845956E-2</v>
      </c>
      <c r="DQ91" s="38">
        <f t="shared" si="372"/>
        <v>0</v>
      </c>
      <c r="DR91" s="38">
        <f t="shared" si="372"/>
        <v>0</v>
      </c>
      <c r="DS91" s="38">
        <f t="shared" si="372"/>
        <v>0.39509434779782926</v>
      </c>
      <c r="DT91" s="38">
        <f t="shared" si="372"/>
        <v>0.3955474825578813</v>
      </c>
      <c r="DU91" s="38">
        <f t="shared" si="372"/>
        <v>0.40236239337474122</v>
      </c>
      <c r="DV91" s="38">
        <f t="shared" si="372"/>
        <v>0.44250004312202773</v>
      </c>
      <c r="DW91" s="38">
        <f t="shared" ref="DW91:EF91" si="373">+DW62/DW55</f>
        <v>0.65000000000000013</v>
      </c>
      <c r="DX91" s="38">
        <f t="shared" si="373"/>
        <v>0.65000000000000013</v>
      </c>
      <c r="DY91" s="38">
        <f t="shared" si="373"/>
        <v>0.65</v>
      </c>
      <c r="DZ91" s="38">
        <f t="shared" si="373"/>
        <v>0.65</v>
      </c>
      <c r="EA91" s="38">
        <f t="shared" si="373"/>
        <v>0.65000000000000013</v>
      </c>
      <c r="EB91" s="38">
        <f t="shared" si="373"/>
        <v>0.65</v>
      </c>
      <c r="EC91" s="38">
        <f t="shared" si="373"/>
        <v>0.65000000000000013</v>
      </c>
      <c r="ED91" s="38">
        <f t="shared" si="373"/>
        <v>0.64999999999999991</v>
      </c>
      <c r="EE91" s="38">
        <f t="shared" si="373"/>
        <v>0.65</v>
      </c>
      <c r="EF91" s="38">
        <f t="shared" si="373"/>
        <v>0.65000000000000013</v>
      </c>
    </row>
    <row r="92" spans="1:136" x14ac:dyDescent="0.2">
      <c r="B92" s="22" t="s">
        <v>388</v>
      </c>
      <c r="C92" s="38"/>
      <c r="D92" s="38"/>
      <c r="E92" s="38"/>
      <c r="F92" s="38"/>
      <c r="G92" s="38"/>
      <c r="H92" s="38"/>
      <c r="I92" s="38"/>
      <c r="J92" s="38"/>
      <c r="K92" s="38">
        <f t="shared" ref="K92:U92" si="374">K65/K64</f>
        <v>2.4963289280469897E-2</v>
      </c>
      <c r="L92" s="38">
        <f t="shared" si="374"/>
        <v>7.7526395173453999E-2</v>
      </c>
      <c r="M92" s="38">
        <f t="shared" si="374"/>
        <v>8.6276488395560041E-2</v>
      </c>
      <c r="N92" s="38">
        <f t="shared" si="374"/>
        <v>4.7326203208556149E-2</v>
      </c>
      <c r="O92" s="38">
        <f t="shared" si="374"/>
        <v>8.431188351338656E-2</v>
      </c>
      <c r="P92" s="38">
        <f t="shared" si="374"/>
        <v>6.3354306791060966E-2</v>
      </c>
      <c r="Q92" s="38">
        <f t="shared" si="374"/>
        <v>8.0777096114519428E-2</v>
      </c>
      <c r="R92" s="38">
        <f t="shared" si="374"/>
        <v>0.25</v>
      </c>
      <c r="S92" s="38">
        <f t="shared" si="374"/>
        <v>9.6558915537017731E-2</v>
      </c>
      <c r="T92" s="38">
        <f t="shared" si="374"/>
        <v>8.3458929917106253E-2</v>
      </c>
      <c r="U92" s="38">
        <f t="shared" si="374"/>
        <v>8.0564321514757745E-2</v>
      </c>
      <c r="V92" s="38">
        <f t="shared" ref="V92:AA92" si="375">V65/V64</f>
        <v>3.6237471087124135E-2</v>
      </c>
      <c r="W92" s="38">
        <f t="shared" si="375"/>
        <v>0.23991797676008203</v>
      </c>
      <c r="X92" s="38">
        <f t="shared" si="375"/>
        <v>6.0867931617508926E-2</v>
      </c>
      <c r="Y92" s="38">
        <f t="shared" si="375"/>
        <v>0.1889763779527559</v>
      </c>
      <c r="Z92" s="38">
        <f t="shared" si="375"/>
        <v>0.3979094076655052</v>
      </c>
      <c r="AA92" s="54">
        <f t="shared" si="375"/>
        <v>0.22087244616234125</v>
      </c>
      <c r="AB92" s="38">
        <f t="shared" ref="AB92:AH92" si="376">AB65/AB64</f>
        <v>0.26393442622950819</v>
      </c>
      <c r="AC92" s="38">
        <f t="shared" si="376"/>
        <v>0.2584330794341676</v>
      </c>
      <c r="AD92" s="38">
        <f t="shared" si="376"/>
        <v>0.22435105067985167</v>
      </c>
      <c r="AE92" s="38">
        <f t="shared" si="376"/>
        <v>0.29035695258391048</v>
      </c>
      <c r="AF92" s="38">
        <f>AF65/AF64</f>
        <v>0.23262279888785914</v>
      </c>
      <c r="AG92" s="38">
        <f t="shared" si="376"/>
        <v>0</v>
      </c>
      <c r="AH92" s="38">
        <f t="shared" si="376"/>
        <v>-0.26878130217028379</v>
      </c>
      <c r="AI92" s="38">
        <f>AI65/AI64</f>
        <v>4.9418604651162788E-2</v>
      </c>
      <c r="AJ92" s="38">
        <f>AJ65/AJ64</f>
        <v>0</v>
      </c>
      <c r="AK92" s="38">
        <f>AK65/AK64</f>
        <v>0.1008</v>
      </c>
      <c r="AL92" s="38"/>
      <c r="AM92" s="38"/>
      <c r="AN92" s="38"/>
      <c r="AO92" s="38"/>
      <c r="AP92" s="38"/>
      <c r="AQ92" s="38"/>
      <c r="AR92" s="38"/>
      <c r="AS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54"/>
      <c r="DG92" s="54"/>
      <c r="DH92" s="54">
        <f t="shared" ref="DH92:DN92" si="377">DH65/DH64</f>
        <v>0.24249682964632943</v>
      </c>
      <c r="DI92" s="38">
        <f t="shared" si="377"/>
        <v>0.28999999999999998</v>
      </c>
      <c r="DJ92" s="38">
        <f t="shared" si="377"/>
        <v>0.28000000000000003</v>
      </c>
      <c r="DK92" s="38">
        <f t="shared" si="377"/>
        <v>0.28000000000000003</v>
      </c>
      <c r="DL92" s="38">
        <f t="shared" si="377"/>
        <v>0.28000000000000003</v>
      </c>
      <c r="DM92" s="38">
        <f t="shared" si="377"/>
        <v>0.28000000000000003</v>
      </c>
      <c r="DN92" s="38">
        <f t="shared" si="377"/>
        <v>0.28000000000000003</v>
      </c>
      <c r="DO92" s="38">
        <f t="shared" ref="DO92:DV92" si="378">DO65/DO64</f>
        <v>0.27999999999999997</v>
      </c>
      <c r="DP92" s="38">
        <f t="shared" si="378"/>
        <v>0.28000000000000008</v>
      </c>
      <c r="DQ92" s="38" t="e">
        <f t="shared" si="378"/>
        <v>#DIV/0!</v>
      </c>
      <c r="DR92" s="38" t="e">
        <f t="shared" si="378"/>
        <v>#DIV/0!</v>
      </c>
      <c r="DS92" s="38">
        <f t="shared" si="378"/>
        <v>0.12811857681559366</v>
      </c>
      <c r="DT92" s="38">
        <f t="shared" si="378"/>
        <v>0.19999999999999996</v>
      </c>
      <c r="DU92" s="38">
        <f t="shared" si="378"/>
        <v>0.18814730553124315</v>
      </c>
      <c r="DV92" s="38">
        <f t="shared" si="378"/>
        <v>0.17921288461286478</v>
      </c>
      <c r="DW92" s="38">
        <f t="shared" ref="DW92:EF92" si="379">DW65/DW64</f>
        <v>0.2</v>
      </c>
      <c r="DX92" s="38">
        <f t="shared" si="379"/>
        <v>0.2</v>
      </c>
      <c r="DY92" s="38">
        <f t="shared" si="379"/>
        <v>0.2</v>
      </c>
      <c r="DZ92" s="38">
        <f t="shared" si="379"/>
        <v>0.2</v>
      </c>
      <c r="EA92" s="38">
        <f t="shared" si="379"/>
        <v>0.20000000000000004</v>
      </c>
      <c r="EB92" s="38">
        <f t="shared" si="379"/>
        <v>0.2</v>
      </c>
      <c r="EC92" s="38">
        <f t="shared" si="379"/>
        <v>0.20000000000000004</v>
      </c>
      <c r="ED92" s="38">
        <f t="shared" si="379"/>
        <v>0.2</v>
      </c>
      <c r="EE92" s="38">
        <f t="shared" si="379"/>
        <v>0.2</v>
      </c>
      <c r="EF92" s="38">
        <f t="shared" si="379"/>
        <v>0.19999999999999998</v>
      </c>
    </row>
    <row r="93" spans="1:136" s="18" customFormat="1" x14ac:dyDescent="0.2">
      <c r="C93" s="36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52"/>
      <c r="Z93" s="52"/>
      <c r="AA93" s="52"/>
      <c r="AB93" s="52"/>
      <c r="AC93" s="52"/>
      <c r="AD93" s="52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9"/>
      <c r="DE93" s="36"/>
      <c r="DF93" s="55"/>
      <c r="DG93" s="55"/>
      <c r="DH93" s="55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</row>
    <row r="94" spans="1:136" s="18" customFormat="1" x14ac:dyDescent="0.2">
      <c r="A94" s="22"/>
      <c r="B94" s="22" t="s">
        <v>393</v>
      </c>
      <c r="C94" s="3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34">
        <f>Main!K5-Main!K6</f>
        <v>-45379</v>
      </c>
      <c r="P94" s="34">
        <f>O94+P67</f>
        <v>-41303</v>
      </c>
      <c r="Q94" s="34">
        <f>Q95-Q106</f>
        <v>1176</v>
      </c>
      <c r="R94" s="34">
        <f>Q94+R67</f>
        <v>-681.5</v>
      </c>
      <c r="S94" s="34"/>
      <c r="T94" s="34">
        <f>7507+613+983-124-6235</f>
        <v>2744</v>
      </c>
      <c r="U94" s="34"/>
      <c r="V94" s="34"/>
      <c r="W94" s="34"/>
      <c r="X94" s="34">
        <f>+X95-X106</f>
        <v>3711</v>
      </c>
      <c r="Y94" s="34">
        <f t="shared" ref="Y94:AF94" si="380">+Y95-Y106</f>
        <v>0</v>
      </c>
      <c r="Z94" s="34">
        <f t="shared" si="380"/>
        <v>0</v>
      </c>
      <c r="AA94" s="34">
        <f t="shared" si="380"/>
        <v>4447</v>
      </c>
      <c r="AB94" s="34">
        <f t="shared" si="380"/>
        <v>0</v>
      </c>
      <c r="AC94" s="34">
        <f t="shared" si="380"/>
        <v>0</v>
      </c>
      <c r="AD94" s="34">
        <f t="shared" si="380"/>
        <v>0</v>
      </c>
      <c r="AE94" s="34">
        <f t="shared" si="380"/>
        <v>3199</v>
      </c>
      <c r="AF94" s="34">
        <f t="shared" si="380"/>
        <v>3324</v>
      </c>
      <c r="AG94" s="34"/>
      <c r="AH94" s="34"/>
      <c r="AI94" s="34"/>
      <c r="AJ94" s="34"/>
      <c r="AK94" s="34">
        <f>AK95-AK106</f>
        <v>2919</v>
      </c>
      <c r="AL94" s="34"/>
      <c r="AM94" s="34"/>
      <c r="AN94" s="34"/>
      <c r="AO94" s="34"/>
      <c r="AP94" s="34"/>
      <c r="AQ94" s="34"/>
      <c r="AR94" s="34"/>
      <c r="AS94" s="34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4">
        <f>+BT95-BT106</f>
        <v>-28832</v>
      </c>
      <c r="BU94" s="34">
        <f>+BU95-BU106</f>
        <v>0</v>
      </c>
      <c r="BV94" s="34">
        <f>+BV95-BV106</f>
        <v>0</v>
      </c>
      <c r="BW94" s="34">
        <f>+BW95-BW106</f>
        <v>-28561</v>
      </c>
      <c r="BX94" s="34">
        <f>+BX95-BX106</f>
        <v>-28946</v>
      </c>
      <c r="BY94" s="34">
        <f>+BY95-BY106</f>
        <v>-29594</v>
      </c>
      <c r="BZ94" s="34">
        <f>+BZ95-BZ106</f>
        <v>0</v>
      </c>
      <c r="CA94" s="34">
        <f>+CA95-CA106</f>
        <v>-45640</v>
      </c>
      <c r="CB94" s="34">
        <f>+CB95-CB106</f>
        <v>-45379</v>
      </c>
      <c r="CC94" s="34">
        <f>+CC95-CC106</f>
        <v>-41334</v>
      </c>
      <c r="CD94" s="34">
        <f>+CD95-CD106</f>
        <v>-38470</v>
      </c>
      <c r="CE94" s="34">
        <f t="shared" ref="CE94:CH94" si="381">+CD94+CE67</f>
        <v>-34534.381280000001</v>
      </c>
      <c r="CF94" s="34">
        <f t="shared" si="381"/>
        <v>-30365.803393599999</v>
      </c>
      <c r="CG94" s="34">
        <f t="shared" si="381"/>
        <v>-26340.115683199998</v>
      </c>
      <c r="CH94" s="34">
        <f t="shared" si="381"/>
        <v>-22606.725969599996</v>
      </c>
      <c r="CI94" s="34"/>
      <c r="CJ94" s="32"/>
      <c r="CK94" s="32"/>
      <c r="CL94" s="32"/>
      <c r="CM94" s="32"/>
      <c r="CN94" s="32"/>
      <c r="CO94" s="32"/>
      <c r="CP94" s="34">
        <f>2421+308-177-588</f>
        <v>1964</v>
      </c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40"/>
      <c r="DE94" s="34"/>
      <c r="DF94" s="53"/>
      <c r="DG94" s="53"/>
      <c r="DH94" s="53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>
        <f>+CH94</f>
        <v>-22606.725969599996</v>
      </c>
      <c r="DW94" s="43">
        <f t="shared" ref="DW94:EF94" si="382">+DV94+DW67</f>
        <v>3091.4967104000025</v>
      </c>
      <c r="DX94" s="43">
        <f t="shared" si="382"/>
        <v>29895.57720572321</v>
      </c>
      <c r="DY94" s="43">
        <f t="shared" si="382"/>
        <v>54330.937537521801</v>
      </c>
      <c r="DZ94" s="43">
        <f t="shared" si="382"/>
        <v>76038.604325337816</v>
      </c>
      <c r="EA94" s="43">
        <f t="shared" si="382"/>
        <v>98137.881911657198</v>
      </c>
      <c r="EB94" s="43">
        <f t="shared" si="382"/>
        <v>120777.03227319219</v>
      </c>
      <c r="EC94" s="43">
        <f t="shared" si="382"/>
        <v>143800.76388525916</v>
      </c>
      <c r="ED94" s="43">
        <f t="shared" si="382"/>
        <v>158403.76884751226</v>
      </c>
      <c r="EE94" s="43">
        <f t="shared" si="382"/>
        <v>170628.92364794016</v>
      </c>
      <c r="EF94" s="43">
        <f t="shared" si="382"/>
        <v>179825.00005383571</v>
      </c>
    </row>
    <row r="95" spans="1:136" x14ac:dyDescent="0.2">
      <c r="A95" s="24"/>
      <c r="B95" s="24" t="s">
        <v>191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34">
        <f>7173+258</f>
        <v>7431</v>
      </c>
      <c r="R95" s="29"/>
      <c r="S95" s="29"/>
      <c r="T95" s="29"/>
      <c r="U95" s="29"/>
      <c r="V95" s="29"/>
      <c r="W95" s="29"/>
      <c r="X95" s="29">
        <f>5918+1536+2795</f>
        <v>10249</v>
      </c>
      <c r="Y95" s="49"/>
      <c r="Z95" s="49"/>
      <c r="AA95" s="49">
        <f>3405+3388+3065</f>
        <v>9858</v>
      </c>
      <c r="AB95" s="49"/>
      <c r="AC95" s="49"/>
      <c r="AD95" s="49"/>
      <c r="AE95" s="29">
        <f>2307+2722+3585</f>
        <v>8614</v>
      </c>
      <c r="AF95" s="29">
        <f>2801+2236+3732</f>
        <v>8769</v>
      </c>
      <c r="AG95" s="29"/>
      <c r="AH95" s="29"/>
      <c r="AI95" s="29"/>
      <c r="AJ95" s="29"/>
      <c r="AK95" s="29">
        <f>1771+2036</f>
        <v>3807</v>
      </c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>
        <f>10750+2478</f>
        <v>13228</v>
      </c>
      <c r="BU95" s="29"/>
      <c r="BV95" s="29"/>
      <c r="BW95" s="29">
        <f>8995+274</f>
        <v>9269</v>
      </c>
      <c r="BX95" s="29">
        <f>8372+358</f>
        <v>8730</v>
      </c>
      <c r="BY95" s="29">
        <f>7514+171+325</f>
        <v>8010</v>
      </c>
      <c r="BZ95" s="29"/>
      <c r="CA95" s="29">
        <f>9330+340+367</f>
        <v>10037</v>
      </c>
      <c r="CB95" s="29">
        <f>6293+360+357</f>
        <v>7010</v>
      </c>
      <c r="CC95" s="29">
        <f>7890+204+324</f>
        <v>8418</v>
      </c>
      <c r="CD95" s="29">
        <f>10346+513+320</f>
        <v>11179</v>
      </c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49"/>
      <c r="DG95" s="49"/>
      <c r="DH95" s="49"/>
      <c r="DI95" s="29"/>
      <c r="DJ95" s="29"/>
      <c r="DK95" s="29"/>
      <c r="DL95" s="29"/>
      <c r="DM95" s="29"/>
      <c r="DN95" s="29"/>
      <c r="DO95" s="24"/>
      <c r="DU95" s="24">
        <f>+CD95</f>
        <v>11179</v>
      </c>
    </row>
    <row r="96" spans="1:136" s="24" customFormat="1" x14ac:dyDescent="0.2">
      <c r="B96" s="24" t="s">
        <v>324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>
        <v>4224</v>
      </c>
      <c r="R96" s="29"/>
      <c r="S96" s="29"/>
      <c r="T96" s="29"/>
      <c r="U96" s="29"/>
      <c r="V96" s="29"/>
      <c r="W96" s="29"/>
      <c r="X96" s="29">
        <v>3172</v>
      </c>
      <c r="Y96" s="49"/>
      <c r="Z96" s="49"/>
      <c r="AA96" s="49">
        <v>3587</v>
      </c>
      <c r="AB96" s="49"/>
      <c r="AC96" s="49"/>
      <c r="AD96" s="49"/>
      <c r="AE96" s="29">
        <v>3613</v>
      </c>
      <c r="AF96" s="29">
        <v>2825</v>
      </c>
      <c r="AG96" s="29"/>
      <c r="AH96" s="29"/>
      <c r="AI96" s="29"/>
      <c r="AJ96" s="29"/>
      <c r="AK96" s="29">
        <v>3673</v>
      </c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>
        <v>9054</v>
      </c>
      <c r="BU96" s="29"/>
      <c r="BV96" s="29"/>
      <c r="BW96" s="29">
        <v>10054</v>
      </c>
      <c r="BX96" s="29">
        <v>10112</v>
      </c>
      <c r="BY96" s="29">
        <v>10304</v>
      </c>
      <c r="BZ96" s="29"/>
      <c r="CA96" s="29">
        <v>10447</v>
      </c>
      <c r="CB96" s="29">
        <v>11423</v>
      </c>
      <c r="CC96" s="29">
        <v>11026</v>
      </c>
      <c r="CD96" s="29">
        <v>10747</v>
      </c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49"/>
      <c r="DG96" s="49"/>
      <c r="DH96" s="49"/>
      <c r="DI96" s="29"/>
      <c r="DJ96" s="29"/>
      <c r="DK96" s="29"/>
      <c r="DL96" s="29"/>
      <c r="DM96" s="29"/>
      <c r="DN96" s="29"/>
      <c r="DU96" s="24">
        <f t="shared" ref="DU96:DU103" si="383">+CD96</f>
        <v>10747</v>
      </c>
    </row>
    <row r="97" spans="2:125" s="24" customFormat="1" x14ac:dyDescent="0.2">
      <c r="B97" s="24" t="s">
        <v>325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>
        <v>2055</v>
      </c>
      <c r="R97" s="29"/>
      <c r="S97" s="29"/>
      <c r="T97" s="29"/>
      <c r="U97" s="29"/>
      <c r="V97" s="29"/>
      <c r="W97" s="29"/>
      <c r="X97" s="29">
        <v>1265</v>
      </c>
      <c r="Y97" s="49"/>
      <c r="Z97" s="49"/>
      <c r="AA97" s="49">
        <v>1322</v>
      </c>
      <c r="AB97" s="49"/>
      <c r="AC97" s="49"/>
      <c r="AD97" s="49"/>
      <c r="AE97" s="29">
        <v>1463</v>
      </c>
      <c r="AF97" s="29">
        <v>1521</v>
      </c>
      <c r="AG97" s="29"/>
      <c r="AH97" s="29"/>
      <c r="AI97" s="29"/>
      <c r="AJ97" s="29"/>
      <c r="AK97" s="29">
        <v>1640</v>
      </c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>
        <v>2142</v>
      </c>
      <c r="BU97" s="29"/>
      <c r="BV97" s="29"/>
      <c r="BW97" s="29">
        <v>2605</v>
      </c>
      <c r="BX97" s="29">
        <v>2364</v>
      </c>
      <c r="BY97" s="29">
        <v>2436</v>
      </c>
      <c r="BZ97" s="29"/>
      <c r="CA97" s="29">
        <v>2985</v>
      </c>
      <c r="CB97" s="29">
        <v>3077</v>
      </c>
      <c r="CC97" s="29">
        <v>3332</v>
      </c>
      <c r="CD97" s="29">
        <v>2557</v>
      </c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49"/>
      <c r="DG97" s="49"/>
      <c r="DH97" s="49"/>
      <c r="DI97" s="29"/>
      <c r="DJ97" s="29"/>
      <c r="DK97" s="29"/>
      <c r="DL97" s="29"/>
      <c r="DM97" s="29"/>
      <c r="DN97" s="29"/>
      <c r="DU97" s="24">
        <f t="shared" si="383"/>
        <v>2557</v>
      </c>
    </row>
    <row r="98" spans="2:125" s="24" customFormat="1" x14ac:dyDescent="0.2">
      <c r="B98" s="24" t="s">
        <v>326</v>
      </c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>
        <v>691</v>
      </c>
      <c r="R98" s="29"/>
      <c r="S98" s="29"/>
      <c r="T98" s="29"/>
      <c r="U98" s="29"/>
      <c r="V98" s="29"/>
      <c r="W98" s="29"/>
      <c r="X98" s="29">
        <v>796</v>
      </c>
      <c r="Y98" s="49"/>
      <c r="Z98" s="49"/>
      <c r="AA98" s="49">
        <v>1143</v>
      </c>
      <c r="AB98" s="49"/>
      <c r="AC98" s="49"/>
      <c r="AD98" s="49"/>
      <c r="AE98" s="29">
        <v>1160</v>
      </c>
      <c r="AF98" s="29">
        <v>1175</v>
      </c>
      <c r="AG98" s="29"/>
      <c r="AH98" s="29"/>
      <c r="AI98" s="29"/>
      <c r="AJ98" s="29"/>
      <c r="AK98" s="29">
        <v>2036</v>
      </c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>
        <v>0</v>
      </c>
      <c r="BU98" s="29"/>
      <c r="BV98" s="29"/>
      <c r="BW98" s="29">
        <v>0</v>
      </c>
      <c r="BX98" s="29">
        <v>0</v>
      </c>
      <c r="BY98" s="29">
        <v>0</v>
      </c>
      <c r="BZ98" s="29"/>
      <c r="CA98" s="29">
        <v>0</v>
      </c>
      <c r="CB98" s="29">
        <v>0</v>
      </c>
      <c r="CC98" s="29">
        <v>0</v>
      </c>
      <c r="CD98" s="29">
        <v>0</v>
      </c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49"/>
      <c r="DG98" s="49"/>
      <c r="DH98" s="49"/>
      <c r="DI98" s="29"/>
      <c r="DJ98" s="29"/>
      <c r="DK98" s="29"/>
      <c r="DL98" s="29"/>
      <c r="DM98" s="29"/>
      <c r="DN98" s="29"/>
      <c r="DU98" s="24">
        <f t="shared" si="383"/>
        <v>0</v>
      </c>
    </row>
    <row r="99" spans="2:125" s="24" customFormat="1" x14ac:dyDescent="0.2">
      <c r="B99" s="24" t="s">
        <v>327</v>
      </c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>
        <v>378</v>
      </c>
      <c r="R99" s="29"/>
      <c r="S99" s="29"/>
      <c r="T99" s="29"/>
      <c r="U99" s="29"/>
      <c r="V99" s="29"/>
      <c r="W99" s="29"/>
      <c r="X99" s="29">
        <v>296</v>
      </c>
      <c r="Y99" s="49"/>
      <c r="Z99" s="49"/>
      <c r="AA99" s="49">
        <v>451</v>
      </c>
      <c r="AB99" s="49"/>
      <c r="AC99" s="49"/>
      <c r="AD99" s="49"/>
      <c r="AE99" s="29">
        <v>500</v>
      </c>
      <c r="AF99" s="29">
        <v>455</v>
      </c>
      <c r="AG99" s="29"/>
      <c r="AH99" s="29"/>
      <c r="AI99" s="29"/>
      <c r="AJ99" s="29"/>
      <c r="AK99" s="29">
        <v>556</v>
      </c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>
        <v>5762</v>
      </c>
      <c r="BU99" s="29"/>
      <c r="BV99" s="29"/>
      <c r="BW99" s="29">
        <v>5158</v>
      </c>
      <c r="BX99" s="29">
        <v>6868</v>
      </c>
      <c r="BY99" s="29">
        <v>7207</v>
      </c>
      <c r="BZ99" s="29"/>
      <c r="CA99" s="29">
        <v>0</v>
      </c>
      <c r="CB99" s="29">
        <v>0</v>
      </c>
      <c r="CC99" s="29">
        <v>0</v>
      </c>
      <c r="CD99" s="29">
        <v>0</v>
      </c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49"/>
      <c r="DG99" s="49"/>
      <c r="DH99" s="49"/>
      <c r="DI99" s="29"/>
      <c r="DJ99" s="29"/>
      <c r="DK99" s="29"/>
      <c r="DL99" s="29"/>
      <c r="DM99" s="29"/>
      <c r="DN99" s="29"/>
      <c r="DU99" s="24">
        <f t="shared" si="383"/>
        <v>0</v>
      </c>
    </row>
    <row r="100" spans="2:125" s="24" customFormat="1" x14ac:dyDescent="0.2">
      <c r="B100" s="24" t="s">
        <v>328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>
        <v>5360</v>
      </c>
      <c r="R100" s="29"/>
      <c r="S100" s="29"/>
      <c r="T100" s="29"/>
      <c r="U100" s="29"/>
      <c r="V100" s="29"/>
      <c r="W100" s="29"/>
      <c r="X100" s="29">
        <v>4745</v>
      </c>
      <c r="Y100" s="49"/>
      <c r="Z100" s="49"/>
      <c r="AA100" s="49">
        <v>4604</v>
      </c>
      <c r="AB100" s="49"/>
      <c r="AC100" s="49"/>
      <c r="AD100" s="49"/>
      <c r="AE100" s="29">
        <v>4512</v>
      </c>
      <c r="AF100" s="29">
        <v>4478</v>
      </c>
      <c r="AG100" s="29"/>
      <c r="AH100" s="29"/>
      <c r="AI100" s="29"/>
      <c r="AJ100" s="29"/>
      <c r="AK100" s="29">
        <v>5236</v>
      </c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>
        <v>5970</v>
      </c>
      <c r="BU100" s="29"/>
      <c r="BV100" s="29"/>
      <c r="BW100" s="29">
        <v>6279</v>
      </c>
      <c r="BX100" s="29">
        <v>6355</v>
      </c>
      <c r="BY100" s="29">
        <v>6481</v>
      </c>
      <c r="BZ100" s="29"/>
      <c r="CA100" s="29">
        <v>6750</v>
      </c>
      <c r="CB100" s="29">
        <v>6845</v>
      </c>
      <c r="CC100" s="29">
        <v>6903</v>
      </c>
      <c r="CD100" s="29">
        <v>7136</v>
      </c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49"/>
      <c r="DG100" s="49"/>
      <c r="DH100" s="49"/>
      <c r="DI100" s="29"/>
      <c r="DJ100" s="29"/>
      <c r="DK100" s="29"/>
      <c r="DL100" s="29"/>
      <c r="DM100" s="29"/>
      <c r="DN100" s="29"/>
      <c r="DU100" s="24">
        <f t="shared" si="383"/>
        <v>7136</v>
      </c>
    </row>
    <row r="101" spans="2:125" s="24" customFormat="1" x14ac:dyDescent="0.2">
      <c r="B101" s="24" t="s">
        <v>329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>
        <f>4841+1212</f>
        <v>6053</v>
      </c>
      <c r="R101" s="29"/>
      <c r="S101" s="29"/>
      <c r="T101" s="29"/>
      <c r="U101" s="29"/>
      <c r="V101" s="29"/>
      <c r="W101" s="29"/>
      <c r="X101" s="29">
        <f>5218+2763</f>
        <v>7981</v>
      </c>
      <c r="Y101" s="49"/>
      <c r="Z101" s="49"/>
      <c r="AA101" s="49">
        <f>5233+3299</f>
        <v>8532</v>
      </c>
      <c r="AB101" s="49"/>
      <c r="AC101" s="49"/>
      <c r="AD101" s="49"/>
      <c r="AE101" s="29">
        <f>6799+4816</f>
        <v>11615</v>
      </c>
      <c r="AF101" s="29">
        <f>6799+4569</f>
        <v>11368</v>
      </c>
      <c r="AG101" s="29"/>
      <c r="AH101" s="29"/>
      <c r="AI101" s="29"/>
      <c r="AJ101" s="29"/>
      <c r="AK101" s="29">
        <f>7646+8176</f>
        <v>15822</v>
      </c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>
        <f>20446+37690</f>
        <v>58136</v>
      </c>
      <c r="BU101" s="29"/>
      <c r="BV101" s="29"/>
      <c r="BW101" s="29">
        <f>33569+21162</f>
        <v>54731</v>
      </c>
      <c r="BX101" s="29">
        <f>21163+31303</f>
        <v>52466</v>
      </c>
      <c r="BY101" s="29">
        <f>21147+28950</f>
        <v>50097</v>
      </c>
      <c r="BZ101" s="29"/>
      <c r="CA101" s="29">
        <f>21738+32760</f>
        <v>54498</v>
      </c>
      <c r="CB101" s="29">
        <f>21732+29428</f>
        <v>51160</v>
      </c>
      <c r="CC101" s="29">
        <f>21751+26964</f>
        <v>48715</v>
      </c>
      <c r="CD101" s="29">
        <f>21719+23307</f>
        <v>45026</v>
      </c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49"/>
      <c r="DG101" s="49"/>
      <c r="DH101" s="49"/>
      <c r="DI101" s="29"/>
      <c r="DJ101" s="29"/>
      <c r="DK101" s="29"/>
      <c r="DL101" s="29"/>
      <c r="DM101" s="29"/>
      <c r="DN101" s="29"/>
      <c r="DU101" s="24">
        <f t="shared" si="383"/>
        <v>45026</v>
      </c>
    </row>
    <row r="102" spans="2:125" s="24" customFormat="1" x14ac:dyDescent="0.2">
      <c r="B102" s="24" t="s">
        <v>326</v>
      </c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>
        <v>1119</v>
      </c>
      <c r="R102" s="29"/>
      <c r="S102" s="29"/>
      <c r="T102" s="29"/>
      <c r="U102" s="29"/>
      <c r="V102" s="29"/>
      <c r="W102" s="29"/>
      <c r="X102" s="29">
        <v>1331</v>
      </c>
      <c r="Y102" s="49"/>
      <c r="Z102" s="49"/>
      <c r="AA102" s="49">
        <v>587</v>
      </c>
      <c r="AB102" s="49"/>
      <c r="AC102" s="49"/>
      <c r="AD102" s="49"/>
      <c r="AE102" s="29">
        <v>108</v>
      </c>
      <c r="AF102" s="29">
        <v>201</v>
      </c>
      <c r="AG102" s="29"/>
      <c r="AH102" s="29"/>
      <c r="AI102" s="29"/>
      <c r="AJ102" s="29"/>
      <c r="AK102" s="29">
        <v>195</v>
      </c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>
        <v>1337</v>
      </c>
      <c r="BU102" s="29"/>
      <c r="BV102" s="29"/>
      <c r="BW102" s="29">
        <v>1317</v>
      </c>
      <c r="BX102" s="29">
        <v>1572</v>
      </c>
      <c r="BY102" s="29">
        <v>1514</v>
      </c>
      <c r="BZ102" s="29"/>
      <c r="CA102" s="29">
        <v>2723</v>
      </c>
      <c r="CB102" s="29">
        <v>3323</v>
      </c>
      <c r="CC102" s="29">
        <v>3609</v>
      </c>
      <c r="CD102" s="29">
        <v>4236</v>
      </c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49"/>
      <c r="DG102" s="49"/>
      <c r="DH102" s="49"/>
      <c r="DI102" s="29"/>
      <c r="DJ102" s="29"/>
      <c r="DK102" s="29"/>
      <c r="DL102" s="29"/>
      <c r="DM102" s="29"/>
      <c r="DN102" s="29"/>
      <c r="DU102" s="24">
        <f t="shared" si="383"/>
        <v>4236</v>
      </c>
    </row>
    <row r="103" spans="2:125" s="24" customFormat="1" x14ac:dyDescent="0.2">
      <c r="B103" s="24" t="s">
        <v>330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>
        <v>1165</v>
      </c>
      <c r="R103" s="29"/>
      <c r="S103" s="29"/>
      <c r="T103" s="29"/>
      <c r="U103" s="29"/>
      <c r="V103" s="29"/>
      <c r="W103" s="29"/>
      <c r="X103" s="29">
        <v>1216</v>
      </c>
      <c r="Y103" s="49"/>
      <c r="Z103" s="49"/>
      <c r="AA103" s="49">
        <v>767</v>
      </c>
      <c r="AB103" s="49"/>
      <c r="AC103" s="49"/>
      <c r="AD103" s="49"/>
      <c r="AE103" s="29">
        <v>823</v>
      </c>
      <c r="AF103" s="29">
        <v>875</v>
      </c>
      <c r="AG103" s="29"/>
      <c r="AH103" s="29"/>
      <c r="AI103" s="29"/>
      <c r="AJ103" s="29"/>
      <c r="AK103" s="29">
        <v>1301</v>
      </c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>
        <v>4728</v>
      </c>
      <c r="BU103" s="29"/>
      <c r="BV103" s="29"/>
      <c r="BW103" s="29">
        <v>4868</v>
      </c>
      <c r="BX103" s="29">
        <v>5022</v>
      </c>
      <c r="BY103" s="29">
        <v>5214</v>
      </c>
      <c r="BZ103" s="29"/>
      <c r="CA103" s="29">
        <f>5567+6024</f>
        <v>11591</v>
      </c>
      <c r="CB103" s="29">
        <f>5737+6071</f>
        <v>11808</v>
      </c>
      <c r="CC103" s="29">
        <f>5623+6044</f>
        <v>11667</v>
      </c>
      <c r="CD103" s="29">
        <f>6105+5617</f>
        <v>11722</v>
      </c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49"/>
      <c r="DG103" s="49"/>
      <c r="DH103" s="49"/>
      <c r="DI103" s="29"/>
      <c r="DJ103" s="29"/>
      <c r="DK103" s="29"/>
      <c r="DL103" s="29"/>
      <c r="DM103" s="29"/>
      <c r="DN103" s="29"/>
      <c r="DU103" s="24">
        <f t="shared" si="383"/>
        <v>11722</v>
      </c>
    </row>
    <row r="104" spans="2:125" s="24" customFormat="1" x14ac:dyDescent="0.2">
      <c r="B104" s="24" t="s">
        <v>331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>
        <f>SUM(Q95:Q103)</f>
        <v>28476</v>
      </c>
      <c r="R104" s="29"/>
      <c r="S104" s="29"/>
      <c r="T104" s="29"/>
      <c r="U104" s="29"/>
      <c r="V104" s="29"/>
      <c r="W104" s="29"/>
      <c r="X104" s="29">
        <f>SUM(X95:X103)</f>
        <v>31051</v>
      </c>
      <c r="Y104" s="49"/>
      <c r="Z104" s="49"/>
      <c r="AA104" s="49">
        <f>SUM(AA95:AA103)</f>
        <v>30851</v>
      </c>
      <c r="AB104" s="49"/>
      <c r="AC104" s="49"/>
      <c r="AD104" s="49"/>
      <c r="AE104" s="49">
        <f>SUM(AE95:AE103)</f>
        <v>32408</v>
      </c>
      <c r="AF104" s="49">
        <f>SUM(AF95:AF103)</f>
        <v>31667</v>
      </c>
      <c r="AG104" s="29"/>
      <c r="AH104" s="29"/>
      <c r="AI104" s="29"/>
      <c r="AJ104" s="29"/>
      <c r="AK104" s="29">
        <f>SUM(AK94:AK103)</f>
        <v>37185</v>
      </c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>
        <f>SUM(BT95:BT103)</f>
        <v>100357</v>
      </c>
      <c r="BU104" s="29">
        <f>SUM(BU95:BU103)</f>
        <v>0</v>
      </c>
      <c r="BV104" s="29">
        <f>SUM(BV95:BV103)</f>
        <v>0</v>
      </c>
      <c r="BW104" s="29">
        <f>SUM(BW95:BW103)</f>
        <v>94281</v>
      </c>
      <c r="BX104" s="29">
        <f>SUM(BX95:BX103)</f>
        <v>93489</v>
      </c>
      <c r="BY104" s="29">
        <f>SUM(BY95:BY103)</f>
        <v>91263</v>
      </c>
      <c r="BZ104" s="29">
        <f>SUM(BZ95:BZ103)</f>
        <v>0</v>
      </c>
      <c r="CA104" s="29">
        <f>SUM(CA95:CA103)</f>
        <v>99031</v>
      </c>
      <c r="CB104" s="29">
        <f>SUM(CB95:CB103)</f>
        <v>94646</v>
      </c>
      <c r="CC104" s="29">
        <f>SUM(CC95:CC103)</f>
        <v>93670</v>
      </c>
      <c r="CD104" s="29">
        <f>SUM(CD95:CD103)</f>
        <v>92603</v>
      </c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49"/>
      <c r="DG104" s="49"/>
      <c r="DH104" s="49"/>
      <c r="DI104" s="29"/>
      <c r="DJ104" s="29"/>
      <c r="DK104" s="29"/>
      <c r="DL104" s="29"/>
      <c r="DM104" s="29"/>
      <c r="DN104" s="29"/>
      <c r="DU104" s="29">
        <f>SUM(DU95:DU103)</f>
        <v>92603</v>
      </c>
    </row>
    <row r="105" spans="2:125" s="24" customFormat="1" x14ac:dyDescent="0.2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49"/>
      <c r="Z105" s="49"/>
      <c r="AA105" s="49"/>
      <c r="AB105" s="49"/>
      <c r="AC105" s="49"/>
      <c r="AD105" s="49"/>
      <c r="AE105" s="4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49"/>
      <c r="DG105" s="49"/>
      <c r="DH105" s="49"/>
      <c r="DI105" s="29"/>
      <c r="DJ105" s="29"/>
      <c r="DK105" s="29"/>
      <c r="DL105" s="29"/>
      <c r="DM105" s="29"/>
      <c r="DN105" s="29"/>
    </row>
    <row r="106" spans="2:125" s="24" customFormat="1" x14ac:dyDescent="0.2">
      <c r="B106" s="24" t="s">
        <v>192</v>
      </c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>
        <f>135+6120</f>
        <v>6255</v>
      </c>
      <c r="R106" s="29"/>
      <c r="S106" s="29"/>
      <c r="T106" s="29"/>
      <c r="U106" s="29"/>
      <c r="V106" s="29"/>
      <c r="W106" s="29"/>
      <c r="X106" s="29">
        <f>290+6248</f>
        <v>6538</v>
      </c>
      <c r="Y106" s="49"/>
      <c r="Z106" s="49"/>
      <c r="AA106" s="49">
        <f>135+5276</f>
        <v>5411</v>
      </c>
      <c r="AB106" s="49"/>
      <c r="AC106" s="49"/>
      <c r="AD106" s="49"/>
      <c r="AE106" s="49">
        <f>145+5270</f>
        <v>5415</v>
      </c>
      <c r="AF106" s="29">
        <f>236+5209</f>
        <v>5445</v>
      </c>
      <c r="AG106" s="29"/>
      <c r="AH106" s="29"/>
      <c r="AI106" s="29"/>
      <c r="AJ106" s="29"/>
      <c r="AK106" s="29">
        <f>208+680</f>
        <v>888</v>
      </c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>
        <f>37107+4953</f>
        <v>42060</v>
      </c>
      <c r="BU106" s="29"/>
      <c r="BV106" s="29"/>
      <c r="BW106" s="29">
        <f>2752+35078</f>
        <v>37830</v>
      </c>
      <c r="BX106" s="29">
        <f>3020+34656</f>
        <v>37676</v>
      </c>
      <c r="BY106" s="29">
        <f>5467+32137</f>
        <v>37604</v>
      </c>
      <c r="BZ106" s="29"/>
      <c r="CA106" s="29">
        <f>6190+49487</f>
        <v>55677</v>
      </c>
      <c r="CB106" s="29">
        <f>3531+48858</f>
        <v>52389</v>
      </c>
      <c r="CC106" s="29">
        <f>1078+48674</f>
        <v>49752</v>
      </c>
      <c r="CD106" s="29">
        <f>47603+2046</f>
        <v>49649</v>
      </c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49"/>
      <c r="DG106" s="49"/>
      <c r="DH106" s="49"/>
      <c r="DI106" s="29"/>
      <c r="DJ106" s="29"/>
      <c r="DK106" s="29"/>
      <c r="DL106" s="29"/>
      <c r="DM106" s="29"/>
      <c r="DN106" s="29"/>
      <c r="DU106" s="24">
        <f t="shared" ref="DU106:DU117" si="384">+CD106</f>
        <v>49649</v>
      </c>
    </row>
    <row r="107" spans="2:125" s="24" customFormat="1" x14ac:dyDescent="0.2">
      <c r="B107" s="24" t="s">
        <v>332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>
        <v>1441</v>
      </c>
      <c r="R107" s="29"/>
      <c r="S107" s="29"/>
      <c r="T107" s="29"/>
      <c r="U107" s="29"/>
      <c r="V107" s="29"/>
      <c r="W107" s="29"/>
      <c r="X107" s="29">
        <v>1681</v>
      </c>
      <c r="Y107" s="49"/>
      <c r="Z107" s="49"/>
      <c r="AA107" s="49">
        <v>2036</v>
      </c>
      <c r="AB107" s="49"/>
      <c r="AC107" s="49"/>
      <c r="AD107" s="49"/>
      <c r="AE107" s="49">
        <v>2385</v>
      </c>
      <c r="AF107" s="29">
        <v>2134</v>
      </c>
      <c r="AG107" s="29"/>
      <c r="AH107" s="29"/>
      <c r="AI107" s="29"/>
      <c r="AJ107" s="29"/>
      <c r="AK107" s="29">
        <v>2466</v>
      </c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>
        <v>2882</v>
      </c>
      <c r="BU107" s="29"/>
      <c r="BV107" s="29"/>
      <c r="BW107" s="29">
        <v>3194</v>
      </c>
      <c r="BX107" s="29">
        <v>3069</v>
      </c>
      <c r="BY107" s="29">
        <v>2813</v>
      </c>
      <c r="BZ107" s="29"/>
      <c r="CA107" s="29">
        <v>3539</v>
      </c>
      <c r="CB107" s="29">
        <v>3751</v>
      </c>
      <c r="CC107" s="29">
        <v>3469</v>
      </c>
      <c r="CD107" s="29">
        <v>3602</v>
      </c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49"/>
      <c r="DG107" s="49"/>
      <c r="DH107" s="49"/>
      <c r="DI107" s="29"/>
      <c r="DJ107" s="29"/>
      <c r="DK107" s="29"/>
      <c r="DL107" s="29"/>
      <c r="DM107" s="29"/>
      <c r="DN107" s="29"/>
      <c r="DU107" s="24">
        <f t="shared" si="384"/>
        <v>3602</v>
      </c>
    </row>
    <row r="108" spans="2:125" s="24" customFormat="1" x14ac:dyDescent="0.2">
      <c r="B108" s="24" t="s">
        <v>333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>
        <v>2897</v>
      </c>
      <c r="R108" s="29"/>
      <c r="S108" s="29"/>
      <c r="T108" s="29"/>
      <c r="U108" s="29"/>
      <c r="V108" s="29"/>
      <c r="W108" s="29"/>
      <c r="X108" s="29">
        <v>2386</v>
      </c>
      <c r="Y108" s="49"/>
      <c r="Z108" s="49"/>
      <c r="AA108" s="49">
        <v>2661</v>
      </c>
      <c r="AB108" s="49"/>
      <c r="AC108" s="49"/>
      <c r="AD108" s="49"/>
      <c r="AE108" s="49">
        <v>2566</v>
      </c>
      <c r="AF108" s="29">
        <v>2467</v>
      </c>
      <c r="AG108" s="29"/>
      <c r="AH108" s="29"/>
      <c r="AI108" s="29"/>
      <c r="AJ108" s="29"/>
      <c r="AK108" s="29">
        <v>2277</v>
      </c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>
        <v>13080</v>
      </c>
      <c r="BU108" s="29"/>
      <c r="BV108" s="29"/>
      <c r="BW108" s="29">
        <v>13139</v>
      </c>
      <c r="BX108" s="29">
        <v>14061</v>
      </c>
      <c r="BY108" s="29">
        <v>15182</v>
      </c>
      <c r="BZ108" s="29"/>
      <c r="CA108" s="29">
        <v>0</v>
      </c>
      <c r="CB108" s="29">
        <v>0</v>
      </c>
      <c r="CC108" s="29">
        <v>0</v>
      </c>
      <c r="CD108" s="29">
        <v>0</v>
      </c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49"/>
      <c r="DG108" s="49"/>
      <c r="DH108" s="49"/>
      <c r="DI108" s="29"/>
      <c r="DJ108" s="29"/>
      <c r="DK108" s="29"/>
      <c r="DL108" s="29"/>
      <c r="DM108" s="29"/>
      <c r="DN108" s="29"/>
      <c r="DU108" s="24">
        <f t="shared" si="384"/>
        <v>0</v>
      </c>
    </row>
    <row r="109" spans="2:125" s="24" customFormat="1" x14ac:dyDescent="0.2">
      <c r="B109" s="43" t="s">
        <v>734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>
        <f>832+809</f>
        <v>1641</v>
      </c>
      <c r="R109" s="29"/>
      <c r="S109" s="29"/>
      <c r="T109" s="29"/>
      <c r="U109" s="29"/>
      <c r="V109" s="29"/>
      <c r="W109" s="29"/>
      <c r="X109" s="29">
        <v>275</v>
      </c>
      <c r="Y109" s="49"/>
      <c r="Z109" s="49"/>
      <c r="AA109" s="49">
        <f>347+899</f>
        <v>1246</v>
      </c>
      <c r="AB109" s="49"/>
      <c r="AC109" s="49"/>
      <c r="AD109" s="49"/>
      <c r="AE109" s="49">
        <f>287+836</f>
        <v>1123</v>
      </c>
      <c r="AF109" s="29">
        <f>357+805</f>
        <v>1162</v>
      </c>
      <c r="AG109" s="29"/>
      <c r="AH109" s="29"/>
      <c r="AI109" s="29"/>
      <c r="AJ109" s="29"/>
      <c r="AK109" s="29">
        <v>4198</v>
      </c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>
        <v>1568</v>
      </c>
      <c r="BX109" s="29">
        <v>751</v>
      </c>
      <c r="BY109" s="29">
        <v>399</v>
      </c>
      <c r="BZ109" s="29"/>
      <c r="CA109" s="29">
        <v>442</v>
      </c>
      <c r="CB109" s="29">
        <v>461</v>
      </c>
      <c r="CC109" s="29">
        <v>430</v>
      </c>
      <c r="CD109" s="29">
        <v>369</v>
      </c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49"/>
      <c r="DG109" s="49"/>
      <c r="DH109" s="49"/>
      <c r="DI109" s="29"/>
      <c r="DJ109" s="29"/>
      <c r="DK109" s="29"/>
      <c r="DL109" s="29"/>
      <c r="DM109" s="29"/>
      <c r="DN109" s="29"/>
      <c r="DU109" s="24">
        <f t="shared" si="384"/>
        <v>369</v>
      </c>
    </row>
    <row r="110" spans="2:125" s="24" customFormat="1" x14ac:dyDescent="0.2">
      <c r="B110" s="24" t="s">
        <v>334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>
        <v>769</v>
      </c>
      <c r="R110" s="29"/>
      <c r="S110" s="29"/>
      <c r="T110" s="29"/>
      <c r="U110" s="29"/>
      <c r="V110" s="29"/>
      <c r="W110" s="29"/>
      <c r="X110" s="29">
        <v>671</v>
      </c>
      <c r="Y110" s="49"/>
      <c r="Z110" s="49"/>
      <c r="AA110" s="49">
        <v>935</v>
      </c>
      <c r="AB110" s="49"/>
      <c r="AC110" s="49"/>
      <c r="AD110" s="49"/>
      <c r="AE110" s="49">
        <v>1073</v>
      </c>
      <c r="AF110" s="29">
        <v>1061</v>
      </c>
      <c r="AG110" s="29"/>
      <c r="AH110" s="29"/>
      <c r="AI110" s="29"/>
      <c r="AJ110" s="29"/>
      <c r="AK110" s="29">
        <v>1034</v>
      </c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>
        <v>0</v>
      </c>
      <c r="CB110" s="29">
        <v>0</v>
      </c>
      <c r="CC110" s="29">
        <v>0</v>
      </c>
      <c r="CD110" s="29">
        <v>0</v>
      </c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49"/>
      <c r="DG110" s="49"/>
      <c r="DH110" s="49"/>
      <c r="DI110" s="29"/>
      <c r="DJ110" s="29"/>
      <c r="DK110" s="29"/>
      <c r="DL110" s="29"/>
      <c r="DM110" s="29"/>
      <c r="DN110" s="29"/>
      <c r="DU110" s="24">
        <f t="shared" si="384"/>
        <v>0</v>
      </c>
    </row>
    <row r="111" spans="2:125" s="24" customFormat="1" x14ac:dyDescent="0.2">
      <c r="B111" s="24" t="s">
        <v>105</v>
      </c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>
        <f>199+455</f>
        <v>654</v>
      </c>
      <c r="R111" s="29"/>
      <c r="S111" s="29"/>
      <c r="T111" s="29"/>
      <c r="U111" s="29"/>
      <c r="V111" s="29"/>
      <c r="W111" s="29"/>
      <c r="X111" s="29">
        <f>49+749</f>
        <v>798</v>
      </c>
      <c r="Y111" s="49"/>
      <c r="Z111" s="49"/>
      <c r="AA111" s="49">
        <f>63+660</f>
        <v>723</v>
      </c>
      <c r="AB111" s="49"/>
      <c r="AC111" s="49"/>
      <c r="AD111" s="49"/>
      <c r="AE111" s="49">
        <f>162+573</f>
        <v>735</v>
      </c>
      <c r="AF111" s="29">
        <f>138+604</f>
        <v>742</v>
      </c>
      <c r="AG111" s="29"/>
      <c r="AH111" s="29"/>
      <c r="AI111" s="29"/>
      <c r="AJ111" s="29"/>
      <c r="AK111" s="29">
        <f>739+904+208</f>
        <v>1851</v>
      </c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>
        <v>3034</v>
      </c>
      <c r="BU111" s="29"/>
      <c r="BV111" s="29"/>
      <c r="BW111" s="29"/>
      <c r="BX111" s="29"/>
      <c r="BY111" s="29"/>
      <c r="BZ111" s="29"/>
      <c r="CA111" s="29">
        <v>0</v>
      </c>
      <c r="CB111" s="29">
        <v>0</v>
      </c>
      <c r="CC111" s="29">
        <v>0</v>
      </c>
      <c r="CD111" s="29">
        <v>0</v>
      </c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49"/>
      <c r="DG111" s="49"/>
      <c r="DH111" s="49"/>
      <c r="DI111" s="29"/>
      <c r="DJ111" s="29"/>
      <c r="DK111" s="29"/>
      <c r="DL111" s="29"/>
      <c r="DM111" s="29"/>
      <c r="DN111" s="29"/>
      <c r="DU111" s="24">
        <f t="shared" si="384"/>
        <v>0</v>
      </c>
    </row>
    <row r="112" spans="2:125" s="24" customFormat="1" x14ac:dyDescent="0.2">
      <c r="B112" s="24" t="s">
        <v>335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>
        <v>618</v>
      </c>
      <c r="R112" s="29"/>
      <c r="S112" s="29"/>
      <c r="T112" s="29"/>
      <c r="U112" s="29"/>
      <c r="V112" s="29"/>
      <c r="W112" s="29"/>
      <c r="X112" s="29">
        <v>556</v>
      </c>
      <c r="Y112" s="49"/>
      <c r="Z112" s="49"/>
      <c r="AA112" s="49">
        <v>578</v>
      </c>
      <c r="AB112" s="49"/>
      <c r="AC112" s="49"/>
      <c r="AD112" s="49"/>
      <c r="AE112" s="49">
        <v>593</v>
      </c>
      <c r="AF112" s="29">
        <v>598</v>
      </c>
      <c r="AG112" s="29"/>
      <c r="AH112" s="29"/>
      <c r="AI112" s="29"/>
      <c r="AJ112" s="29"/>
      <c r="AK112" s="29">
        <v>611</v>
      </c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>
        <v>0</v>
      </c>
      <c r="CB112" s="29">
        <v>0</v>
      </c>
      <c r="CC112" s="29">
        <v>0</v>
      </c>
      <c r="CD112" s="29">
        <v>0</v>
      </c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49"/>
      <c r="DG112" s="49"/>
      <c r="DH112" s="49"/>
      <c r="DI112" s="29"/>
      <c r="DJ112" s="29"/>
      <c r="DK112" s="29"/>
      <c r="DL112" s="29"/>
      <c r="DM112" s="29"/>
      <c r="DN112" s="29"/>
      <c r="DU112" s="24">
        <f t="shared" si="384"/>
        <v>0</v>
      </c>
    </row>
    <row r="113" spans="1:125" s="24" customFormat="1" x14ac:dyDescent="0.2">
      <c r="B113" s="24" t="s">
        <v>336</v>
      </c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>
        <v>60</v>
      </c>
      <c r="R113" s="29"/>
      <c r="S113" s="29"/>
      <c r="T113" s="29"/>
      <c r="U113" s="29"/>
      <c r="V113" s="29"/>
      <c r="W113" s="29"/>
      <c r="X113" s="29">
        <v>0</v>
      </c>
      <c r="Y113" s="49"/>
      <c r="Z113" s="49"/>
      <c r="AA113" s="49">
        <v>0</v>
      </c>
      <c r="AB113" s="49"/>
      <c r="AC113" s="49"/>
      <c r="AD113" s="49"/>
      <c r="AE113" s="49">
        <v>0</v>
      </c>
      <c r="AF113" s="29">
        <v>0</v>
      </c>
      <c r="AG113" s="29"/>
      <c r="AH113" s="29"/>
      <c r="AI113" s="29"/>
      <c r="AJ113" s="29"/>
      <c r="AK113" s="29">
        <v>0</v>
      </c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>
        <v>0</v>
      </c>
      <c r="CB113" s="29">
        <v>0</v>
      </c>
      <c r="CC113" s="29">
        <v>0</v>
      </c>
      <c r="CD113" s="29">
        <v>0</v>
      </c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49"/>
      <c r="DG113" s="49"/>
      <c r="DH113" s="49"/>
      <c r="DI113" s="29"/>
      <c r="DJ113" s="29"/>
      <c r="DK113" s="29"/>
      <c r="DL113" s="29"/>
      <c r="DM113" s="29"/>
      <c r="DN113" s="29"/>
      <c r="DU113" s="24">
        <f t="shared" si="384"/>
        <v>0</v>
      </c>
    </row>
    <row r="114" spans="1:125" s="24" customFormat="1" x14ac:dyDescent="0.2">
      <c r="B114" s="24" t="s">
        <v>337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>
        <v>695</v>
      </c>
      <c r="R114" s="29"/>
      <c r="S114" s="29"/>
      <c r="T114" s="29"/>
      <c r="U114" s="29"/>
      <c r="V114" s="29"/>
      <c r="W114" s="29"/>
      <c r="X114" s="29">
        <v>1248</v>
      </c>
      <c r="Y114" s="49"/>
      <c r="Z114" s="49"/>
      <c r="AA114" s="49">
        <v>922</v>
      </c>
      <c r="AB114" s="49"/>
      <c r="AC114" s="49"/>
      <c r="AD114" s="49"/>
      <c r="AE114" s="49">
        <v>1616</v>
      </c>
      <c r="AF114" s="29">
        <v>1543</v>
      </c>
      <c r="AG114" s="29"/>
      <c r="AH114" s="29"/>
      <c r="AI114" s="29"/>
      <c r="AJ114" s="29"/>
      <c r="AK114" s="29">
        <v>773</v>
      </c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>
        <v>0</v>
      </c>
      <c r="CB114" s="29">
        <v>0</v>
      </c>
      <c r="CC114" s="29">
        <v>0</v>
      </c>
      <c r="CD114" s="29">
        <v>0</v>
      </c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49"/>
      <c r="DG114" s="49"/>
      <c r="DH114" s="49"/>
      <c r="DI114" s="29"/>
      <c r="DJ114" s="29"/>
      <c r="DK114" s="29"/>
      <c r="DL114" s="29"/>
      <c r="DM114" s="29"/>
      <c r="DN114" s="29"/>
      <c r="DU114" s="24">
        <f t="shared" si="384"/>
        <v>0</v>
      </c>
    </row>
    <row r="115" spans="1:125" s="24" customFormat="1" x14ac:dyDescent="0.2">
      <c r="B115" s="24" t="s">
        <v>103</v>
      </c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>
        <v>508</v>
      </c>
      <c r="R115" s="29"/>
      <c r="S115" s="29"/>
      <c r="T115" s="29"/>
      <c r="U115" s="29"/>
      <c r="V115" s="29"/>
      <c r="W115" s="29"/>
      <c r="X115" s="29">
        <f>915+409</f>
        <v>1324</v>
      </c>
      <c r="Y115" s="49"/>
      <c r="Z115" s="49"/>
      <c r="AA115" s="49">
        <v>438</v>
      </c>
      <c r="AB115" s="49"/>
      <c r="AC115" s="49"/>
      <c r="AD115" s="49"/>
      <c r="AE115" s="49">
        <v>656</v>
      </c>
      <c r="AF115" s="29">
        <v>703</v>
      </c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>
        <v>6640</v>
      </c>
      <c r="BU115" s="29"/>
      <c r="BV115" s="29"/>
      <c r="BW115" s="29">
        <v>6664</v>
      </c>
      <c r="BX115" s="29">
        <v>5902</v>
      </c>
      <c r="BY115" s="29">
        <v>6203</v>
      </c>
      <c r="BZ115" s="29"/>
      <c r="CA115" s="29">
        <f>16093+6732</f>
        <v>22825</v>
      </c>
      <c r="CB115" s="29">
        <f>15983+4993</f>
        <v>20976</v>
      </c>
      <c r="CC115" s="29">
        <f>18091+4728</f>
        <v>22819</v>
      </c>
      <c r="CD115" s="29">
        <f>4469+18126</f>
        <v>22595</v>
      </c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49"/>
      <c r="DG115" s="49"/>
      <c r="DH115" s="49"/>
      <c r="DI115" s="29"/>
      <c r="DJ115" s="29"/>
      <c r="DK115" s="29"/>
      <c r="DL115" s="29"/>
      <c r="DM115" s="29"/>
      <c r="DN115" s="29"/>
      <c r="DU115" s="24">
        <f t="shared" si="384"/>
        <v>22595</v>
      </c>
    </row>
    <row r="116" spans="1:125" s="24" customFormat="1" x14ac:dyDescent="0.2">
      <c r="B116" s="43" t="s">
        <v>392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>
        <f>SUM(Q106:Q115)</f>
        <v>15538</v>
      </c>
      <c r="R116" s="29"/>
      <c r="S116" s="29"/>
      <c r="T116" s="29"/>
      <c r="U116" s="29"/>
      <c r="V116" s="29"/>
      <c r="W116" s="29"/>
      <c r="X116" s="29">
        <f>SUM(X106:X115)</f>
        <v>15477</v>
      </c>
      <c r="Y116" s="49"/>
      <c r="Z116" s="49"/>
      <c r="AA116" s="49">
        <f>SUM(AA106:AA115)</f>
        <v>14950</v>
      </c>
      <c r="AB116" s="49"/>
      <c r="AC116" s="49"/>
      <c r="AD116" s="49"/>
      <c r="AE116" s="49">
        <f>SUM(AE106:AE115)</f>
        <v>16162</v>
      </c>
      <c r="AF116" s="49">
        <f>SUM(AF106:AF115)</f>
        <v>15855</v>
      </c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>
        <f>SUM(BW106:BW115)</f>
        <v>62395</v>
      </c>
      <c r="BX116" s="29">
        <f>SUM(BX106:BX115)</f>
        <v>61459</v>
      </c>
      <c r="BY116" s="29">
        <f>SUM(BY106:BY115)</f>
        <v>62201</v>
      </c>
      <c r="BZ116" s="29"/>
      <c r="CA116" s="29">
        <f>SUM(CA106:CA115)</f>
        <v>82483</v>
      </c>
      <c r="CB116" s="29">
        <f>SUM(CB106:CB115)</f>
        <v>77577</v>
      </c>
      <c r="CC116" s="29">
        <f>SUM(CC106:CC115)</f>
        <v>76470</v>
      </c>
      <c r="CD116" s="29">
        <f>SUM(CD106:CD115)</f>
        <v>76215</v>
      </c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49"/>
      <c r="DG116" s="49"/>
      <c r="DH116" s="49"/>
      <c r="DI116" s="29"/>
      <c r="DJ116" s="29"/>
      <c r="DK116" s="29"/>
      <c r="DL116" s="29"/>
      <c r="DM116" s="29"/>
      <c r="DN116" s="29"/>
      <c r="DU116" s="29">
        <f>SUM(DU106:DU115)</f>
        <v>76215</v>
      </c>
    </row>
    <row r="117" spans="1:125" s="24" customFormat="1" x14ac:dyDescent="0.2">
      <c r="B117" s="24" t="s">
        <v>338</v>
      </c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>
        <f>Q104-Q116</f>
        <v>12938</v>
      </c>
      <c r="R117" s="29"/>
      <c r="S117" s="29"/>
      <c r="T117" s="29"/>
      <c r="U117" s="29"/>
      <c r="V117" s="29"/>
      <c r="W117" s="29"/>
      <c r="X117" s="29">
        <v>15574</v>
      </c>
      <c r="Y117" s="49"/>
      <c r="Z117" s="49"/>
      <c r="AA117" s="49">
        <v>15901</v>
      </c>
      <c r="AB117" s="49"/>
      <c r="AC117" s="49"/>
      <c r="AD117" s="49"/>
      <c r="AE117" s="49">
        <v>16246</v>
      </c>
      <c r="AF117" s="29">
        <v>15812</v>
      </c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>
        <v>32661</v>
      </c>
      <c r="BU117" s="29"/>
      <c r="BV117" s="29"/>
      <c r="BW117" s="29">
        <v>31886</v>
      </c>
      <c r="BX117" s="29">
        <v>32030</v>
      </c>
      <c r="BY117" s="29">
        <v>29062</v>
      </c>
      <c r="BZ117" s="29"/>
      <c r="CA117" s="29">
        <v>16548</v>
      </c>
      <c r="CB117" s="29">
        <v>17069</v>
      </c>
      <c r="CC117" s="29">
        <v>17200</v>
      </c>
      <c r="CD117" s="29">
        <v>16388</v>
      </c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49"/>
      <c r="DG117" s="49"/>
      <c r="DH117" s="49"/>
      <c r="DI117" s="29"/>
      <c r="DJ117" s="29"/>
      <c r="DK117" s="29"/>
      <c r="DL117" s="29"/>
      <c r="DM117" s="29"/>
      <c r="DN117" s="29"/>
      <c r="DU117" s="24">
        <f t="shared" si="384"/>
        <v>16388</v>
      </c>
    </row>
    <row r="118" spans="1:125" s="24" customFormat="1" x14ac:dyDescent="0.2">
      <c r="B118" s="43" t="s">
        <v>391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>
        <f>+Q117+Q116</f>
        <v>28476</v>
      </c>
      <c r="R118" s="29"/>
      <c r="S118" s="29"/>
      <c r="T118" s="29"/>
      <c r="U118" s="29"/>
      <c r="V118" s="29"/>
      <c r="W118" s="29"/>
      <c r="X118" s="29">
        <f>+X117+X116</f>
        <v>31051</v>
      </c>
      <c r="Y118" s="49"/>
      <c r="Z118" s="49"/>
      <c r="AA118" s="49">
        <f>+AA117+AA116</f>
        <v>30851</v>
      </c>
      <c r="AB118" s="49"/>
      <c r="AC118" s="49"/>
      <c r="AD118" s="49"/>
      <c r="AE118" s="49">
        <f>+AE117+AE116</f>
        <v>32408</v>
      </c>
      <c r="AF118" s="49">
        <f>+AF117+AF116</f>
        <v>31667</v>
      </c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>
        <f>SUM(BT106:BT117)</f>
        <v>100357</v>
      </c>
      <c r="BU118" s="29"/>
      <c r="BV118" s="29"/>
      <c r="BW118" s="29">
        <f>+BW117+BW116</f>
        <v>94281</v>
      </c>
      <c r="BX118" s="29">
        <f>+BX117+BX116</f>
        <v>93489</v>
      </c>
      <c r="BY118" s="29">
        <f>+BY117+BY116</f>
        <v>91263</v>
      </c>
      <c r="BZ118" s="29"/>
      <c r="CA118" s="29">
        <f>+CA117+CA116</f>
        <v>99031</v>
      </c>
      <c r="CB118" s="29">
        <f>+CB117+CB116</f>
        <v>94646</v>
      </c>
      <c r="CC118" s="29">
        <f>+CC117+CC116</f>
        <v>93670</v>
      </c>
      <c r="CD118" s="29">
        <f>+CD117+CD116</f>
        <v>92603</v>
      </c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49"/>
      <c r="DG118" s="49"/>
      <c r="DH118" s="49"/>
      <c r="DI118" s="29"/>
      <c r="DJ118" s="29"/>
      <c r="DK118" s="29"/>
      <c r="DL118" s="29"/>
      <c r="DM118" s="29"/>
      <c r="DN118" s="29"/>
      <c r="DU118" s="29">
        <f>+DU117+DU116</f>
        <v>92603</v>
      </c>
    </row>
    <row r="119" spans="1:125" s="24" customFormat="1" x14ac:dyDescent="0.2">
      <c r="B119" s="24" t="s">
        <v>339</v>
      </c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>
        <f>Q104-Q116-Q101</f>
        <v>6885</v>
      </c>
      <c r="R119" s="29"/>
      <c r="S119" s="29"/>
      <c r="T119" s="29"/>
      <c r="U119" s="29"/>
      <c r="V119" s="29"/>
      <c r="W119" s="29"/>
      <c r="X119" s="29">
        <f>X104-X116-X101</f>
        <v>7593</v>
      </c>
      <c r="Y119" s="49"/>
      <c r="Z119" s="49"/>
      <c r="AA119" s="49">
        <f>AA104-AA116-AA101</f>
        <v>7369</v>
      </c>
      <c r="AB119" s="49"/>
      <c r="AC119" s="49"/>
      <c r="AD119" s="49"/>
      <c r="AE119" s="49">
        <f>AE104-AE116-AE101</f>
        <v>4631</v>
      </c>
      <c r="AF119" s="49">
        <f>AF104-AF116-AF101</f>
        <v>4444</v>
      </c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49"/>
      <c r="DG119" s="49"/>
      <c r="DH119" s="49"/>
      <c r="DI119" s="29"/>
      <c r="DJ119" s="29"/>
      <c r="DK119" s="29"/>
      <c r="DL119" s="29"/>
      <c r="DM119" s="29"/>
      <c r="DN119" s="29"/>
    </row>
    <row r="120" spans="1:125" s="24" customFormat="1" x14ac:dyDescent="0.2">
      <c r="A120" s="1"/>
      <c r="B120" s="1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47"/>
      <c r="Z120" s="47"/>
      <c r="AA120" s="47"/>
      <c r="AB120" s="47"/>
      <c r="AC120" s="47"/>
      <c r="AD120" s="4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47"/>
      <c r="DG120" s="47"/>
      <c r="DH120" s="47"/>
      <c r="DI120" s="27"/>
      <c r="DJ120" s="27"/>
      <c r="DK120" s="27"/>
      <c r="DL120" s="27"/>
      <c r="DM120" s="27"/>
      <c r="DN120" s="27"/>
      <c r="DO120" s="1"/>
    </row>
    <row r="121" spans="1:125" x14ac:dyDescent="0.2">
      <c r="B121" s="22" t="s">
        <v>730</v>
      </c>
      <c r="BW121" s="29">
        <f t="shared" ref="BW121:CA121" si="385">+BW67</f>
        <v>4116.0464999999995</v>
      </c>
      <c r="BX121" s="29">
        <f t="shared" si="385"/>
        <v>3862.3741250000007</v>
      </c>
      <c r="BY121" s="29">
        <f t="shared" si="385"/>
        <v>2972.383656250001</v>
      </c>
      <c r="BZ121" s="29">
        <f t="shared" si="385"/>
        <v>3826.4390703125</v>
      </c>
      <c r="CA121" s="29">
        <f>+CA67</f>
        <v>4039</v>
      </c>
      <c r="CB121" s="29">
        <f>+CB67</f>
        <v>4310.6286400000008</v>
      </c>
      <c r="CC121" s="29">
        <f>+CC67</f>
        <v>4151.0542400000004</v>
      </c>
      <c r="CD121" s="29">
        <f>+CD67</f>
        <v>3442</v>
      </c>
      <c r="DU121" s="24">
        <f>SUM(CA121:CD121)</f>
        <v>15942.68288</v>
      </c>
    </row>
    <row r="122" spans="1:125" x14ac:dyDescent="0.2">
      <c r="B122" s="22" t="s">
        <v>731</v>
      </c>
      <c r="BW122" s="29">
        <v>2267</v>
      </c>
      <c r="BX122" s="29">
        <f>4344-BW122</f>
        <v>2077</v>
      </c>
      <c r="BY122" s="29">
        <f>6278-BX122-BW122</f>
        <v>1934</v>
      </c>
      <c r="CA122" s="29">
        <v>-11908</v>
      </c>
      <c r="CB122" s="29">
        <f>-10224-CA122</f>
        <v>1684</v>
      </c>
      <c r="CC122" s="29">
        <f>-9009-CB122-CA122</f>
        <v>1215</v>
      </c>
      <c r="CD122" s="29">
        <f>-8933-CC122-CB122-CA122</f>
        <v>76</v>
      </c>
      <c r="DU122" s="24">
        <f>SUM(CA122:CD122)</f>
        <v>-8933</v>
      </c>
    </row>
    <row r="123" spans="1:125" x14ac:dyDescent="0.2">
      <c r="B123" s="22" t="s">
        <v>733</v>
      </c>
      <c r="BW123" s="29">
        <v>2429</v>
      </c>
      <c r="BX123" s="29">
        <f>4861-BW123</f>
        <v>2432</v>
      </c>
      <c r="BY123" s="29">
        <f>7296-BX123-BW123</f>
        <v>2435</v>
      </c>
      <c r="CA123" s="29">
        <v>2532</v>
      </c>
      <c r="CB123" s="29">
        <f>5128-CA123</f>
        <v>2596</v>
      </c>
      <c r="CC123" s="29">
        <f>7720-CB123-CA123</f>
        <v>2592</v>
      </c>
      <c r="CD123" s="29">
        <f>9600-CC123-CB123-CA123</f>
        <v>1880</v>
      </c>
      <c r="DU123" s="24">
        <f>SUM(CA123:CD123)</f>
        <v>9600</v>
      </c>
    </row>
    <row r="124" spans="1:125" x14ac:dyDescent="0.2">
      <c r="B124" s="22" t="s">
        <v>734</v>
      </c>
      <c r="BW124" s="29">
        <v>-548</v>
      </c>
      <c r="BX124" s="29">
        <f>-1634-BW124</f>
        <v>-1086</v>
      </c>
      <c r="BY124" s="29">
        <f>-1961-BX124-BW124</f>
        <v>-327</v>
      </c>
      <c r="CA124" s="29">
        <v>-711</v>
      </c>
      <c r="CB124" s="29">
        <f>-1042-CA124</f>
        <v>-331</v>
      </c>
      <c r="CC124" s="29">
        <f>-1298-CB124-CA124</f>
        <v>-256</v>
      </c>
      <c r="CD124" s="29">
        <f>-2089-CC124-CB124-CA124</f>
        <v>-791</v>
      </c>
      <c r="DU124" s="24">
        <f>SUM(CA124:CD124)</f>
        <v>-2089</v>
      </c>
    </row>
    <row r="125" spans="1:125" x14ac:dyDescent="0.2">
      <c r="B125" s="22" t="s">
        <v>735</v>
      </c>
      <c r="BW125" s="29">
        <v>122</v>
      </c>
      <c r="BX125" s="29">
        <f>259-BW125</f>
        <v>137</v>
      </c>
      <c r="BY125" s="29">
        <f>391-BX125-BW125</f>
        <v>132</v>
      </c>
      <c r="CA125" s="29">
        <v>133</v>
      </c>
      <c r="CB125" s="29">
        <f>258-CA125</f>
        <v>125</v>
      </c>
      <c r="CC125" s="29">
        <f>387-CB125-CA125</f>
        <v>129</v>
      </c>
      <c r="CD125" s="29">
        <f>507-CC125-CB125-CA125</f>
        <v>120</v>
      </c>
      <c r="DU125" s="24">
        <f>SUM(CA125:CD125)</f>
        <v>507</v>
      </c>
    </row>
    <row r="126" spans="1:125" x14ac:dyDescent="0.2">
      <c r="B126" s="22" t="s">
        <v>736</v>
      </c>
      <c r="BW126" s="29">
        <f>20+75</f>
        <v>95</v>
      </c>
      <c r="BX126" s="29">
        <f>67-BW126+233</f>
        <v>205</v>
      </c>
      <c r="BY126" s="29">
        <f>226+313-BX126-BW126</f>
        <v>239</v>
      </c>
      <c r="CA126" s="29">
        <f>1+12949</f>
        <v>12950</v>
      </c>
      <c r="CB126" s="29">
        <f>871+13081-CA126</f>
        <v>1002</v>
      </c>
      <c r="CC126" s="29">
        <f>1010-CB126-CA126+13343</f>
        <v>401</v>
      </c>
      <c r="CD126" s="29">
        <f>2963+13373-CC126-CB126-CA126</f>
        <v>1983</v>
      </c>
      <c r="DU126" s="24">
        <f>SUM(CA126:CD126)</f>
        <v>16336</v>
      </c>
    </row>
    <row r="127" spans="1:125" x14ac:dyDescent="0.2">
      <c r="B127" s="22" t="s">
        <v>737</v>
      </c>
      <c r="BW127" s="29">
        <f>-194+155</f>
        <v>-39</v>
      </c>
      <c r="BX127" s="29">
        <f>-417+213-BW127</f>
        <v>-165</v>
      </c>
      <c r="BY127" s="29">
        <f>-639+213-BX127-BW127</f>
        <v>-222</v>
      </c>
      <c r="CA127" s="29">
        <f>-280-102</f>
        <v>-382</v>
      </c>
      <c r="CB127" s="29">
        <f>-550-CA127-209</f>
        <v>-377</v>
      </c>
      <c r="CC127" s="29">
        <f>-838-CB127-CA127</f>
        <v>-79</v>
      </c>
      <c r="CD127" s="29">
        <f>-16-1119-CC127-CB127-CA127</f>
        <v>-297</v>
      </c>
      <c r="DU127" s="24">
        <f>SUM(CA127:CD127)</f>
        <v>-1135</v>
      </c>
    </row>
    <row r="128" spans="1:125" x14ac:dyDescent="0.2">
      <c r="B128" s="22" t="s">
        <v>103</v>
      </c>
      <c r="BW128" s="29">
        <v>4</v>
      </c>
      <c r="BX128" s="29">
        <f>-9-BW128</f>
        <v>-13</v>
      </c>
      <c r="BY128" s="29">
        <f>260-BX128-BW128</f>
        <v>269</v>
      </c>
      <c r="CA128" s="29">
        <v>22</v>
      </c>
      <c r="CB128" s="29">
        <f>20-CA128</f>
        <v>-2</v>
      </c>
      <c r="CC128" s="29">
        <f>-221+123-CB128-CA128</f>
        <v>-118</v>
      </c>
      <c r="CD128" s="29">
        <f>94-CC128-CB128-CA128</f>
        <v>192</v>
      </c>
      <c r="DU128" s="24">
        <f>SUM(CA128:CD128)</f>
        <v>94</v>
      </c>
    </row>
    <row r="129" spans="2:125" x14ac:dyDescent="0.2">
      <c r="B129" s="22" t="s">
        <v>738</v>
      </c>
      <c r="BW129" s="29">
        <f>-175-282+187-910+884-1064</f>
        <v>-1360</v>
      </c>
      <c r="BX129" s="29">
        <f>-240-298+22-418-1235-891-BW129</f>
        <v>-1700</v>
      </c>
      <c r="BY129" s="29">
        <f>-487-554-246+1115-1647-950-BX129-BW129</f>
        <v>291</v>
      </c>
      <c r="CA129" s="29">
        <f>479-218+300-665+910-608</f>
        <v>198</v>
      </c>
      <c r="CB129" s="29">
        <f>-540-443+41+70-1033-268-CA129</f>
        <v>-2371</v>
      </c>
      <c r="CC129" s="29">
        <f>121-661-333+1889-1381-101-CB129-CA129</f>
        <v>1707</v>
      </c>
      <c r="CD129" s="29">
        <f>264-486+184+1484-1260+624-CC129-CB129-CA129</f>
        <v>1276</v>
      </c>
      <c r="DU129" s="24">
        <f>SUM(CA129:CD129)</f>
        <v>810</v>
      </c>
    </row>
    <row r="130" spans="2:125" x14ac:dyDescent="0.2">
      <c r="B130" s="22" t="s">
        <v>732</v>
      </c>
      <c r="BW130" s="29">
        <f t="shared" ref="BW130:BZ130" si="386">SUM(BW122:BW129)</f>
        <v>2970</v>
      </c>
      <c r="BX130" s="29">
        <f t="shared" si="386"/>
        <v>1887</v>
      </c>
      <c r="BY130" s="29">
        <f t="shared" si="386"/>
        <v>4751</v>
      </c>
      <c r="BZ130" s="29">
        <f t="shared" si="386"/>
        <v>0</v>
      </c>
      <c r="CA130" s="29">
        <f>SUM(CA122:CA129)</f>
        <v>2834</v>
      </c>
      <c r="CB130" s="29">
        <f>SUM(CB122:CB129)</f>
        <v>2326</v>
      </c>
      <c r="CC130" s="29">
        <f>SUM(CC122:CC129)</f>
        <v>5591</v>
      </c>
      <c r="CD130" s="29">
        <f>SUM(CD122:CD129)</f>
        <v>4439</v>
      </c>
      <c r="DU130" s="24">
        <f>SUM(DU122:DU129)</f>
        <v>15190</v>
      </c>
    </row>
    <row r="131" spans="2:125" x14ac:dyDescent="0.2">
      <c r="BW131" s="29"/>
    </row>
    <row r="132" spans="2:125" x14ac:dyDescent="0.2">
      <c r="B132" s="22" t="s">
        <v>742</v>
      </c>
      <c r="BW132" s="29">
        <f>57-200+62</f>
        <v>-81</v>
      </c>
      <c r="BX132" s="29">
        <f>327-555+67-BW132</f>
        <v>-80</v>
      </c>
      <c r="BY132" s="29">
        <f>692-1057+215-BX132-BW132</f>
        <v>11</v>
      </c>
      <c r="CA132" s="29">
        <f>747-274+5</f>
        <v>478</v>
      </c>
      <c r="CB132" s="29">
        <f>822-358+60-CA132</f>
        <v>46</v>
      </c>
      <c r="CC132" s="29">
        <f>1060-398+60-CB132-CA132</f>
        <v>198</v>
      </c>
      <c r="CD132" s="29">
        <f>1122-769+265-CC132-CB132-CA132</f>
        <v>-104</v>
      </c>
      <c r="DU132" s="24">
        <f t="shared" ref="DU132:DU135" si="387">SUM(CA132:CD132)</f>
        <v>618</v>
      </c>
    </row>
    <row r="133" spans="2:125" x14ac:dyDescent="0.2">
      <c r="B133" s="22" t="s">
        <v>741</v>
      </c>
      <c r="BW133" s="29">
        <v>-278</v>
      </c>
      <c r="BX133" s="29">
        <f>-537-BW133</f>
        <v>-259</v>
      </c>
      <c r="BY133" s="29">
        <f>-879-BX133-BW133</f>
        <v>-342</v>
      </c>
      <c r="CA133" s="29">
        <v>-284</v>
      </c>
      <c r="CB133" s="29">
        <f>-546-CA133</f>
        <v>-262</v>
      </c>
      <c r="CC133" s="29">
        <f>-870-CB133-CA133</f>
        <v>-324</v>
      </c>
      <c r="CD133" s="29">
        <f>-1248-CC133-CB133-CA133</f>
        <v>-378</v>
      </c>
      <c r="DU133" s="24">
        <f t="shared" si="387"/>
        <v>-1248</v>
      </c>
    </row>
    <row r="134" spans="2:125" x14ac:dyDescent="0.2">
      <c r="B134" s="22" t="s">
        <v>740</v>
      </c>
      <c r="BW134" s="29">
        <v>227</v>
      </c>
      <c r="BX134" s="29">
        <f>421-BW134</f>
        <v>194</v>
      </c>
      <c r="BY134" s="29">
        <f>668-BX134-BW134</f>
        <v>247</v>
      </c>
      <c r="CA134" s="29">
        <v>241</v>
      </c>
      <c r="CB134" s="29">
        <f>511-CA134</f>
        <v>270</v>
      </c>
      <c r="CC134" s="29">
        <f>766-CB134-CA134</f>
        <v>255</v>
      </c>
      <c r="CD134" s="29">
        <f>1099-CC134-CB134-CA134</f>
        <v>333</v>
      </c>
      <c r="DU134" s="24">
        <f t="shared" si="387"/>
        <v>1099</v>
      </c>
    </row>
    <row r="135" spans="2:125" x14ac:dyDescent="0.2">
      <c r="B135" s="22" t="s">
        <v>739</v>
      </c>
      <c r="BW135" s="29">
        <v>-78</v>
      </c>
      <c r="BX135" s="29">
        <f>-262-BW135</f>
        <v>-184</v>
      </c>
      <c r="BY135" s="29">
        <f>-588-BX135-BW135</f>
        <v>-326</v>
      </c>
      <c r="CA135" s="29">
        <v>-20053</v>
      </c>
      <c r="CB135" s="29">
        <f>-21426-CA135</f>
        <v>-1373</v>
      </c>
      <c r="CC135" s="29">
        <f>-21774-CB135-CA135</f>
        <v>-348</v>
      </c>
      <c r="CD135" s="29">
        <f>-21821-CC135-CB135-CA135</f>
        <v>-47</v>
      </c>
      <c r="DU135" s="24">
        <f t="shared" si="387"/>
        <v>-21821</v>
      </c>
    </row>
    <row r="136" spans="2:125" x14ac:dyDescent="0.2">
      <c r="B136" s="22" t="s">
        <v>732</v>
      </c>
      <c r="BW136" s="29">
        <f t="shared" ref="BW136:BZ136" si="388">SUM(BW132:BW135)</f>
        <v>-210</v>
      </c>
      <c r="BX136" s="29">
        <f t="shared" si="388"/>
        <v>-329</v>
      </c>
      <c r="BY136" s="29">
        <f t="shared" si="388"/>
        <v>-410</v>
      </c>
      <c r="BZ136" s="29">
        <f t="shared" si="388"/>
        <v>0</v>
      </c>
      <c r="CA136" s="29">
        <f>SUM(CA132:CA135)</f>
        <v>-19618</v>
      </c>
      <c r="CB136" s="29">
        <f>SUM(CB132:CB135)</f>
        <v>-1319</v>
      </c>
      <c r="CC136" s="29">
        <f>SUM(CC132:CC135)</f>
        <v>-219</v>
      </c>
      <c r="CD136" s="29">
        <f>SUM(CD132:CD135)</f>
        <v>-196</v>
      </c>
      <c r="DU136" s="29">
        <f>SUM(DU132:DU135)</f>
        <v>-21352</v>
      </c>
    </row>
    <row r="137" spans="2:125" x14ac:dyDescent="0.2">
      <c r="BW137" s="29"/>
    </row>
    <row r="138" spans="2:125" x14ac:dyDescent="0.2">
      <c r="B138" s="22" t="s">
        <v>192</v>
      </c>
      <c r="BW138" s="29">
        <f>128-1640</f>
        <v>-1512</v>
      </c>
      <c r="BX138" s="29">
        <f>243-1879-BW138</f>
        <v>-124</v>
      </c>
      <c r="BY138" s="29">
        <f>233-1879-BX138-BW138</f>
        <v>-10</v>
      </c>
      <c r="CA138" s="29">
        <f>3070+12883</f>
        <v>15953</v>
      </c>
      <c r="CB138" s="29">
        <f>2987-2731+409-CA138+12883-395</f>
        <v>-2800</v>
      </c>
      <c r="CC138" s="29">
        <f>2987-3000-CB138-CA138+504+12883-2873</f>
        <v>-2652</v>
      </c>
      <c r="CD138" s="29">
        <f>2987-3000+99+12883-2873-CC138-CB138-CA138</f>
        <v>-405</v>
      </c>
      <c r="DU138" s="24">
        <f t="shared" ref="DU138:DU141" si="389">SUM(CA138:CD138)</f>
        <v>10096</v>
      </c>
    </row>
    <row r="139" spans="2:125" x14ac:dyDescent="0.2">
      <c r="B139" s="22" t="s">
        <v>829</v>
      </c>
      <c r="BW139" s="29">
        <v>-250</v>
      </c>
      <c r="BX139" s="29">
        <f>-1155-BW139</f>
        <v>-905</v>
      </c>
      <c r="BY139" s="29">
        <f>-5155-BX139-BW139</f>
        <v>-4000</v>
      </c>
      <c r="BZ139" s="27">
        <v>0</v>
      </c>
      <c r="CA139" s="29">
        <v>0</v>
      </c>
      <c r="CB139" s="29">
        <v>0</v>
      </c>
      <c r="CC139" s="29">
        <v>0</v>
      </c>
      <c r="CD139" s="29">
        <v>0</v>
      </c>
      <c r="DU139" s="24"/>
    </row>
    <row r="140" spans="2:125" x14ac:dyDescent="0.2">
      <c r="B140" s="22" t="s">
        <v>335</v>
      </c>
      <c r="BW140" s="29">
        <v>-1196</v>
      </c>
      <c r="BX140" s="29">
        <f>-2393-BW140</f>
        <v>-1197</v>
      </c>
      <c r="BY140" s="29">
        <f>-3584-BX140-BW140</f>
        <v>-1191</v>
      </c>
      <c r="CA140" s="29">
        <v>-1212</v>
      </c>
      <c r="CB140" s="29">
        <f>-2429-CA140</f>
        <v>-1217</v>
      </c>
      <c r="CC140" s="29">
        <f>-3645-CB140-CA140</f>
        <v>-1216</v>
      </c>
      <c r="CD140" s="34">
        <f>-4863-CC140-CB140-CA140</f>
        <v>-1218</v>
      </c>
      <c r="DU140" s="24">
        <f t="shared" si="389"/>
        <v>-4863</v>
      </c>
    </row>
    <row r="141" spans="2:125" x14ac:dyDescent="0.2">
      <c r="B141" s="22" t="s">
        <v>744</v>
      </c>
      <c r="BW141" s="29">
        <v>-92</v>
      </c>
      <c r="BX141" s="29">
        <f>-39-BW141</f>
        <v>53</v>
      </c>
      <c r="BY141" s="29">
        <f>2-BX141-BW141</f>
        <v>41</v>
      </c>
      <c r="CA141" s="29">
        <v>-97</v>
      </c>
      <c r="CB141" s="29">
        <f>-103-CA141</f>
        <v>-6</v>
      </c>
      <c r="CC141" s="29">
        <f>-87-CB141-CA141</f>
        <v>16</v>
      </c>
      <c r="CD141" s="29">
        <f>-106-CC141-CB141-CA141</f>
        <v>-19</v>
      </c>
      <c r="DU141" s="24">
        <f t="shared" si="389"/>
        <v>-106</v>
      </c>
    </row>
    <row r="142" spans="2:125" x14ac:dyDescent="0.2">
      <c r="B142" s="22" t="s">
        <v>743</v>
      </c>
      <c r="BW142" s="29">
        <f>SUM(BW138:BW141)</f>
        <v>-3050</v>
      </c>
      <c r="BX142" s="29">
        <f>SUM(BX138:BX141)</f>
        <v>-2173</v>
      </c>
      <c r="BY142" s="29">
        <f>SUM(BY138:BY141)</f>
        <v>-5160</v>
      </c>
      <c r="CA142" s="29">
        <f>SUM(CA138:CA141)</f>
        <v>14644</v>
      </c>
      <c r="CB142" s="29">
        <f>SUM(CB138:CB141)</f>
        <v>-4023</v>
      </c>
      <c r="CC142" s="29">
        <f>SUM(CC138:CC141)</f>
        <v>-3852</v>
      </c>
      <c r="CD142" s="29">
        <f>SUM(CD138:CD141)</f>
        <v>-1642</v>
      </c>
      <c r="DU142" s="29">
        <f>SUM(DU138:DU141)</f>
        <v>5127</v>
      </c>
    </row>
    <row r="143" spans="2:125" x14ac:dyDescent="0.2">
      <c r="CA143" s="29"/>
    </row>
    <row r="144" spans="2:125" x14ac:dyDescent="0.2">
      <c r="B144" s="22" t="s">
        <v>745</v>
      </c>
      <c r="BW144" s="27">
        <v>13</v>
      </c>
      <c r="BX144" s="27">
        <f>5-BW144</f>
        <v>-8</v>
      </c>
      <c r="BY144" s="27">
        <f>-33-BX144-BW144</f>
        <v>-38</v>
      </c>
      <c r="CA144" s="27">
        <v>-45</v>
      </c>
      <c r="CB144" s="27">
        <f>-67-CA144</f>
        <v>-22</v>
      </c>
      <c r="CC144" s="27">
        <f>10-CB144-CA144</f>
        <v>77</v>
      </c>
      <c r="CD144" s="27">
        <f>-137-CC144-CB144-CA144</f>
        <v>-147</v>
      </c>
      <c r="DU144" s="24">
        <f t="shared" ref="DU144" si="390">SUM(CA144:CD144)</f>
        <v>-137</v>
      </c>
    </row>
    <row r="145" spans="2:125" x14ac:dyDescent="0.2">
      <c r="B145" s="22" t="s">
        <v>746</v>
      </c>
      <c r="BW145" s="29">
        <f t="shared" ref="BW145:BZ145" si="391">+BW144+BW142+BW136+BW130</f>
        <v>-277</v>
      </c>
      <c r="BX145" s="29">
        <f t="shared" si="391"/>
        <v>-623</v>
      </c>
      <c r="BY145" s="29">
        <f t="shared" si="391"/>
        <v>-857</v>
      </c>
      <c r="BZ145" s="29">
        <f t="shared" si="391"/>
        <v>0</v>
      </c>
      <c r="CA145" s="29">
        <f>+CA144+CA142+CA136+CA130</f>
        <v>-2185</v>
      </c>
      <c r="CB145" s="29">
        <f>+CB144+CB142+CB136+CB130</f>
        <v>-3038</v>
      </c>
      <c r="CC145" s="29">
        <f>+CC144+CC142+CC136+CC130</f>
        <v>1597</v>
      </c>
      <c r="CD145" s="29">
        <f>+CD144+CD142+CD136+CD130</f>
        <v>2454</v>
      </c>
      <c r="DU145" s="29">
        <f>+DU144+DU142+DU136+DU130</f>
        <v>-1172</v>
      </c>
    </row>
    <row r="148" spans="2:125" x14ac:dyDescent="0.2">
      <c r="B148" s="1" t="s">
        <v>319</v>
      </c>
      <c r="CO148" s="38">
        <f>CO55/CN55-1</f>
        <v>5.5340081354649406E-2</v>
      </c>
      <c r="CP148" s="38">
        <f>CP55/CO55-1</f>
        <v>2.3036930799569699E-2</v>
      </c>
    </row>
    <row r="149" spans="2:125" x14ac:dyDescent="0.2">
      <c r="B149" s="1" t="s">
        <v>320</v>
      </c>
      <c r="CO149" s="38">
        <v>0.01</v>
      </c>
      <c r="CP149" s="38">
        <v>0.03</v>
      </c>
    </row>
    <row r="150" spans="2:125" x14ac:dyDescent="0.2">
      <c r="B150" s="1" t="s">
        <v>321</v>
      </c>
      <c r="CO150" s="38">
        <v>0.04</v>
      </c>
      <c r="CP150" s="38">
        <v>0.02</v>
      </c>
    </row>
    <row r="151" spans="2:125" x14ac:dyDescent="0.2">
      <c r="B151" s="1" t="s">
        <v>322</v>
      </c>
      <c r="CO151" s="38">
        <v>0.01</v>
      </c>
      <c r="CP151" s="38">
        <v>-0.03</v>
      </c>
    </row>
    <row r="153" spans="2:125" s="24" customFormat="1" x14ac:dyDescent="0.2">
      <c r="B153" s="43" t="s">
        <v>821</v>
      </c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49"/>
      <c r="Z153" s="49"/>
      <c r="AA153" s="49"/>
      <c r="AB153" s="49"/>
      <c r="AC153" s="49"/>
      <c r="AD153" s="4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49"/>
      <c r="DG153" s="49"/>
      <c r="DH153" s="49"/>
      <c r="DI153" s="29"/>
      <c r="DJ153" s="29"/>
      <c r="DK153" s="29"/>
      <c r="DL153" s="29"/>
      <c r="DM153" s="29"/>
      <c r="DN153" s="29"/>
      <c r="DS153" s="24">
        <v>69633</v>
      </c>
      <c r="DT153" s="24">
        <v>73679</v>
      </c>
      <c r="DU153" s="24">
        <v>83671</v>
      </c>
    </row>
    <row r="154" spans="2:125" s="24" customFormat="1" x14ac:dyDescent="0.2">
      <c r="B154" s="43" t="s">
        <v>820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49"/>
      <c r="Z154" s="49"/>
      <c r="AA154" s="49"/>
      <c r="AB154" s="49"/>
      <c r="AC154" s="49"/>
      <c r="AD154" s="4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49"/>
      <c r="DG154" s="49"/>
      <c r="DH154" s="49"/>
      <c r="DI154" s="29"/>
      <c r="DJ154" s="29"/>
      <c r="DK154" s="29"/>
      <c r="DL154" s="29"/>
      <c r="DM154" s="29"/>
      <c r="DN154" s="29"/>
      <c r="DS154" s="24">
        <v>-7469</v>
      </c>
      <c r="DT154" s="24">
        <v>-9144</v>
      </c>
      <c r="DU154" s="24">
        <v>-11510</v>
      </c>
    </row>
    <row r="155" spans="2:125" s="24" customFormat="1" x14ac:dyDescent="0.2">
      <c r="B155" s="43" t="s">
        <v>819</v>
      </c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49"/>
      <c r="Z155" s="49"/>
      <c r="AA155" s="49"/>
      <c r="AB155" s="49"/>
      <c r="AC155" s="49"/>
      <c r="AD155" s="4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49"/>
      <c r="DG155" s="49"/>
      <c r="DH155" s="49"/>
      <c r="DI155" s="29"/>
      <c r="DJ155" s="29"/>
      <c r="DK155" s="29"/>
      <c r="DL155" s="29"/>
      <c r="DM155" s="29"/>
      <c r="DN155" s="29"/>
      <c r="DS155" s="24">
        <v>-11362</v>
      </c>
      <c r="DT155" s="24">
        <v>-13411</v>
      </c>
      <c r="DU155" s="24">
        <v>-16551</v>
      </c>
    </row>
    <row r="156" spans="2:125" s="24" customFormat="1" x14ac:dyDescent="0.2">
      <c r="B156" s="43" t="s">
        <v>103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49"/>
      <c r="Z156" s="49"/>
      <c r="AA156" s="49"/>
      <c r="AB156" s="49"/>
      <c r="AC156" s="49"/>
      <c r="AD156" s="4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49"/>
      <c r="DG156" s="49"/>
      <c r="DH156" s="49"/>
      <c r="DI156" s="29"/>
      <c r="DJ156" s="29"/>
      <c r="DK156" s="29"/>
      <c r="DL156" s="29"/>
      <c r="DM156" s="29"/>
      <c r="DN156" s="29"/>
      <c r="DS156" s="24">
        <v>-6131</v>
      </c>
      <c r="DT156" s="24">
        <v>-7346</v>
      </c>
      <c r="DU156" s="24">
        <v>-8832</v>
      </c>
    </row>
    <row r="157" spans="2:125" s="24" customFormat="1" x14ac:dyDescent="0.2">
      <c r="B157" s="43" t="s">
        <v>822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49"/>
      <c r="Z157" s="49"/>
      <c r="AA157" s="49"/>
      <c r="AB157" s="49"/>
      <c r="AC157" s="49"/>
      <c r="AD157" s="4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49"/>
      <c r="DG157" s="49"/>
      <c r="DH157" s="49"/>
      <c r="DI157" s="29"/>
      <c r="DJ157" s="29"/>
      <c r="DK157" s="29"/>
      <c r="DL157" s="29"/>
      <c r="DM157" s="29"/>
      <c r="DN157" s="29"/>
      <c r="DS157" s="24">
        <f>SUM(DS154:DS156)</f>
        <v>-24962</v>
      </c>
      <c r="DT157" s="24">
        <f>SUM(DT154:DT156)</f>
        <v>-29901</v>
      </c>
      <c r="DU157" s="24">
        <f>SUM(DU154:DU156)</f>
        <v>-36893</v>
      </c>
    </row>
    <row r="158" spans="2:125" s="24" customFormat="1" x14ac:dyDescent="0.2">
      <c r="B158" s="43" t="s">
        <v>823</v>
      </c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49"/>
      <c r="Z158" s="49"/>
      <c r="AA158" s="49"/>
      <c r="AB158" s="49"/>
      <c r="AC158" s="49"/>
      <c r="AD158" s="4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49"/>
      <c r="DG158" s="49"/>
      <c r="DH158" s="49"/>
      <c r="DI158" s="29"/>
      <c r="DJ158" s="29"/>
      <c r="DK158" s="29"/>
      <c r="DL158" s="29"/>
      <c r="DM158" s="29"/>
      <c r="DN158" s="29"/>
      <c r="DS158" s="24">
        <f>+DS153+DS157</f>
        <v>44671</v>
      </c>
      <c r="DT158" s="24">
        <f>+DT153+DT157</f>
        <v>43778</v>
      </c>
      <c r="DU158" s="24">
        <f>+DU153+DU157</f>
        <v>46778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C3" sqref="C3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8" t="s">
        <v>63</v>
      </c>
    </row>
    <row r="2" spans="1:3" x14ac:dyDescent="0.2">
      <c r="B2" s="31" t="s">
        <v>719</v>
      </c>
      <c r="C2" s="31" t="s">
        <v>750</v>
      </c>
    </row>
    <row r="3" spans="1:3" x14ac:dyDescent="0.2">
      <c r="B3" s="31" t="s">
        <v>720</v>
      </c>
      <c r="C3" s="31" t="s">
        <v>722</v>
      </c>
    </row>
    <row r="4" spans="1:3" x14ac:dyDescent="0.2">
      <c r="B4" s="31" t="s">
        <v>1</v>
      </c>
      <c r="C4" s="31" t="s">
        <v>33</v>
      </c>
    </row>
    <row r="5" spans="1:3" x14ac:dyDescent="0.2">
      <c r="B5" s="31" t="s">
        <v>721</v>
      </c>
      <c r="C5" s="31" t="s">
        <v>723</v>
      </c>
    </row>
    <row r="6" spans="1:3" x14ac:dyDescent="0.2">
      <c r="B6" s="31" t="s">
        <v>4</v>
      </c>
    </row>
    <row r="7" spans="1:3" x14ac:dyDescent="0.2">
      <c r="B7" s="31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63</v>
      </c>
    </row>
    <row r="2" spans="1:3" x14ac:dyDescent="0.2">
      <c r="B2" s="31" t="s">
        <v>64</v>
      </c>
      <c r="C2" s="31" t="s">
        <v>626</v>
      </c>
    </row>
    <row r="3" spans="1:3" x14ac:dyDescent="0.2">
      <c r="B3" s="31" t="s">
        <v>65</v>
      </c>
    </row>
    <row r="4" spans="1:3" x14ac:dyDescent="0.2">
      <c r="B4" s="31" t="s">
        <v>1</v>
      </c>
      <c r="C4" s="31" t="s">
        <v>173</v>
      </c>
    </row>
    <row r="5" spans="1:3" x14ac:dyDescent="0.2">
      <c r="B5" s="31" t="s">
        <v>140</v>
      </c>
      <c r="C5" s="31" t="s">
        <v>405</v>
      </c>
    </row>
    <row r="6" spans="1:3" x14ac:dyDescent="0.2">
      <c r="B6" s="31" t="s">
        <v>704</v>
      </c>
      <c r="C6" s="31" t="s">
        <v>705</v>
      </c>
    </row>
    <row r="7" spans="1:3" x14ac:dyDescent="0.2">
      <c r="B7" s="31" t="s">
        <v>149</v>
      </c>
      <c r="C7" s="31" t="s">
        <v>406</v>
      </c>
    </row>
    <row r="8" spans="1:3" x14ac:dyDescent="0.2">
      <c r="B8" s="31" t="s">
        <v>139</v>
      </c>
    </row>
    <row r="9" spans="1:3" x14ac:dyDescent="0.2">
      <c r="B9" s="31"/>
      <c r="C9" s="46" t="s">
        <v>409</v>
      </c>
    </row>
    <row r="10" spans="1:3" x14ac:dyDescent="0.2">
      <c r="B10" s="31"/>
      <c r="C10" s="31" t="s">
        <v>410</v>
      </c>
    </row>
    <row r="11" spans="1:3" x14ac:dyDescent="0.2">
      <c r="B11" s="31"/>
    </row>
    <row r="12" spans="1:3" x14ac:dyDescent="0.2">
      <c r="C12" s="46" t="s">
        <v>407</v>
      </c>
    </row>
    <row r="13" spans="1:3" x14ac:dyDescent="0.2">
      <c r="C13" s="31" t="s">
        <v>408</v>
      </c>
    </row>
    <row r="14" spans="1:3" x14ac:dyDescent="0.2">
      <c r="C14" s="31" t="s">
        <v>480</v>
      </c>
    </row>
    <row r="15" spans="1:3" x14ac:dyDescent="0.2">
      <c r="C15" s="31" t="s">
        <v>475</v>
      </c>
    </row>
    <row r="16" spans="1:3" x14ac:dyDescent="0.2">
      <c r="C16" s="31" t="s">
        <v>476</v>
      </c>
    </row>
    <row r="17" spans="3:3" x14ac:dyDescent="0.2">
      <c r="C17" s="31" t="s">
        <v>477</v>
      </c>
    </row>
    <row r="18" spans="3:3" x14ac:dyDescent="0.2">
      <c r="C18" s="31" t="s">
        <v>478</v>
      </c>
    </row>
    <row r="19" spans="3:3" x14ac:dyDescent="0.2">
      <c r="C19" s="31" t="s">
        <v>479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517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2" t="s">
        <v>716</v>
      </c>
    </row>
    <row r="5" spans="1:3" x14ac:dyDescent="0.2">
      <c r="A5" s="14"/>
      <c r="C5" s="22" t="s">
        <v>714</v>
      </c>
    </row>
    <row r="6" spans="1:3" x14ac:dyDescent="0.2">
      <c r="A6" s="14"/>
      <c r="C6" s="22" t="s">
        <v>715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2" t="s">
        <v>77</v>
      </c>
      <c r="C10" s="22" t="s">
        <v>709</v>
      </c>
    </row>
    <row r="11" spans="1:3" x14ac:dyDescent="0.2">
      <c r="B11" s="22" t="s">
        <v>140</v>
      </c>
      <c r="C11" s="22" t="s">
        <v>711</v>
      </c>
    </row>
    <row r="12" spans="1:3" x14ac:dyDescent="0.2">
      <c r="B12" s="22"/>
      <c r="C12" s="22" t="s">
        <v>710</v>
      </c>
    </row>
    <row r="13" spans="1:3" x14ac:dyDescent="0.2">
      <c r="B13" s="22"/>
      <c r="C13" s="22" t="s">
        <v>717</v>
      </c>
    </row>
    <row r="14" spans="1:3" x14ac:dyDescent="0.2">
      <c r="B14" s="22" t="s">
        <v>4</v>
      </c>
      <c r="C14" s="22" t="s">
        <v>712</v>
      </c>
    </row>
    <row r="15" spans="1:3" x14ac:dyDescent="0.2">
      <c r="B15" s="22"/>
      <c r="C15" s="22" t="s">
        <v>713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458</v>
      </c>
    </row>
    <row r="22" spans="3:3" x14ac:dyDescent="0.2">
      <c r="C22" s="22" t="s">
        <v>459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380</v>
      </c>
    </row>
    <row r="11" spans="1:3" x14ac:dyDescent="0.2">
      <c r="C11" s="17" t="s">
        <v>381</v>
      </c>
    </row>
    <row r="12" spans="1:3" x14ac:dyDescent="0.2">
      <c r="C12" s="22" t="s">
        <v>382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7" sqref="C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2" t="s">
        <v>511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2" t="s">
        <v>701</v>
      </c>
    </row>
    <row r="8" spans="1:3" x14ac:dyDescent="0.2">
      <c r="B8" s="22" t="s">
        <v>4</v>
      </c>
      <c r="C8" s="22" t="s">
        <v>698</v>
      </c>
    </row>
    <row r="9" spans="1:3" x14ac:dyDescent="0.2">
      <c r="B9" s="22"/>
      <c r="C9" s="22" t="s">
        <v>696</v>
      </c>
    </row>
    <row r="10" spans="1:3" x14ac:dyDescent="0.2">
      <c r="B10" s="22"/>
      <c r="C10" s="22" t="s">
        <v>697</v>
      </c>
    </row>
    <row r="11" spans="1:3" x14ac:dyDescent="0.2">
      <c r="B11" s="22" t="s">
        <v>699</v>
      </c>
      <c r="C11" s="22" t="s">
        <v>700</v>
      </c>
    </row>
    <row r="12" spans="1:3" x14ac:dyDescent="0.2">
      <c r="B12" s="1" t="s">
        <v>3</v>
      </c>
      <c r="C12" s="22" t="s">
        <v>702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8" t="s">
        <v>170</v>
      </c>
    </row>
    <row r="33" spans="3:3" x14ac:dyDescent="0.2">
      <c r="C33" s="17" t="s">
        <v>169</v>
      </c>
    </row>
    <row r="35" spans="3:3" x14ac:dyDescent="0.2">
      <c r="C35" s="17" t="s">
        <v>386</v>
      </c>
    </row>
    <row r="36" spans="3:3" x14ac:dyDescent="0.2">
      <c r="C36" s="22" t="s">
        <v>387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C8E4-D96F-4D90-9C99-AC25C6D81FAF}">
  <dimension ref="A1:C5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9" bestFit="1" customWidth="1"/>
  </cols>
  <sheetData>
    <row r="1" spans="1:3" x14ac:dyDescent="0.2">
      <c r="A1" s="28" t="s">
        <v>63</v>
      </c>
    </row>
    <row r="2" spans="1:3" x14ac:dyDescent="0.2">
      <c r="B2" s="31" t="s">
        <v>719</v>
      </c>
      <c r="C2" s="31" t="s">
        <v>640</v>
      </c>
    </row>
    <row r="3" spans="1:3" x14ac:dyDescent="0.2">
      <c r="B3" s="31" t="s">
        <v>720</v>
      </c>
      <c r="C3" s="31" t="s">
        <v>747</v>
      </c>
    </row>
    <row r="4" spans="1:3" x14ac:dyDescent="0.2">
      <c r="B4" s="31" t="s">
        <v>1</v>
      </c>
      <c r="C4" s="31" t="s">
        <v>748</v>
      </c>
    </row>
    <row r="5" spans="1:3" x14ac:dyDescent="0.2">
      <c r="B5" s="31" t="s">
        <v>77</v>
      </c>
      <c r="C5" s="31" t="s">
        <v>749</v>
      </c>
    </row>
  </sheetData>
  <hyperlinks>
    <hyperlink ref="A1" location="Main!A1" display="Main" xr:uid="{F761E86A-7BD3-4B57-906F-46A3F70A70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</vt:lpstr>
      <vt:lpstr>Main</vt:lpstr>
      <vt:lpstr>Model</vt:lpstr>
      <vt:lpstr>Cobenfy</vt:lpstr>
      <vt:lpstr>Opdivo</vt:lpstr>
      <vt:lpstr>Orencia</vt:lpstr>
      <vt:lpstr>Yervoy</vt:lpstr>
      <vt:lpstr>Eliquis</vt:lpstr>
      <vt:lpstr>Camzyos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2025-04-22T04:10:15Z</dcterms:modified>
</cp:coreProperties>
</file>