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codeName="ThisWorkbook"/>
  <mc:AlternateContent xmlns:mc="http://schemas.openxmlformats.org/markup-compatibility/2006">
    <mc:Choice Requires="x15">
      <x15ac:absPath xmlns:x15ac="http://schemas.microsoft.com/office/spreadsheetml/2010/11/ac" url="C:\Users\shkre\code\models\"/>
    </mc:Choice>
  </mc:AlternateContent>
  <xr:revisionPtr revIDLastSave="0" documentId="13_ncr:1_{C3865812-0B62-4FE1-9CAC-37D9DA7F1A32}" xr6:coauthVersionLast="47" xr6:coauthVersionMax="47" xr10:uidLastSave="{00000000-0000-0000-0000-000000000000}"/>
  <bookViews>
    <workbookView xWindow="-26220" yWindow="2025" windowWidth="26085" windowHeight="17160" tabRatio="566" firstSheet="5" activeTab="7" xr2:uid="{00000000-000D-0000-FFFF-FFFF00000000}"/>
  </bookViews>
  <sheets>
    <sheet name="Management" sheetId="67" r:id="rId1"/>
    <sheet name="Markets" sheetId="66" r:id="rId2"/>
    <sheet name="Debt" sheetId="74" r:id="rId3"/>
    <sheet name="IMS" sheetId="78" r:id="rId4"/>
    <sheet name="IP" sheetId="80" r:id="rId5"/>
    <sheet name="Master Pipeline" sheetId="77" r:id="rId6"/>
    <sheet name="Main" sheetId="3" r:id="rId7"/>
    <sheet name="Model" sheetId="71" r:id="rId8"/>
    <sheet name="Stelara" sheetId="25" r:id="rId9"/>
    <sheet name="Remicade" sheetId="9" r:id="rId10"/>
    <sheet name="Imbruvica" sheetId="83" r:id="rId11"/>
    <sheet name="Darzalex" sheetId="82" r:id="rId12"/>
    <sheet name="Carvykti" sheetId="88" r:id="rId13"/>
    <sheet name="Talvey" sheetId="90" r:id="rId14"/>
    <sheet name="Tremfya" sheetId="89" r:id="rId15"/>
    <sheet name="Xarelto" sheetId="35" r:id="rId16"/>
    <sheet name="Tecvayli" sheetId="84" r:id="rId17"/>
    <sheet name="TAR-200" sheetId="85" r:id="rId18"/>
    <sheet name="icotrokinra" sheetId="91" r:id="rId19"/>
    <sheet name="Ponvory" sheetId="81" r:id="rId20"/>
    <sheet name="nipocalimab" sheetId="87" r:id="rId21"/>
    <sheet name="Invega" sheetId="19" r:id="rId22"/>
    <sheet name="Sustenna" sheetId="34" r:id="rId23"/>
    <sheet name="Simponi" sheetId="29" r:id="rId24"/>
    <sheet name="Consta" sheetId="20" r:id="rId25"/>
    <sheet name="Procrit" sheetId="5" r:id="rId26"/>
    <sheet name="Velcade" sheetId="15" r:id="rId27"/>
    <sheet name="Topamax" sheetId="10" r:id="rId28"/>
    <sheet name="Prezista" sheetId="28" r:id="rId29"/>
    <sheet name="Rybrevant" sheetId="86" r:id="rId30"/>
    <sheet name="Intelence" sheetId="33" r:id="rId31"/>
    <sheet name="Concerta" sheetId="14" r:id="rId32"/>
    <sheet name="Contraceptives" sheetId="24" r:id="rId33"/>
    <sheet name="riplivirine" sheetId="65" r:id="rId34"/>
    <sheet name="canagliflozin" sheetId="73" r:id="rId35"/>
    <sheet name="abiraterone" sheetId="72" r:id="rId36"/>
    <sheet name="Consumer" sheetId="68" r:id="rId37"/>
    <sheet name="telaprevir" sheetId="75" r:id="rId38"/>
    <sheet name="Consumer Model" sheetId="22" r:id="rId39"/>
    <sheet name="MD&amp;D" sheetId="40" r:id="rId40"/>
    <sheet name="DePuy" sheetId="69" r:id="rId41"/>
    <sheet name="DePuy Model" sheetId="43" r:id="rId42"/>
    <sheet name="LifeScan" sheetId="37" r:id="rId43"/>
    <sheet name="Vision" sheetId="38" r:id="rId44"/>
    <sheet name="Cardiovascular" sheetId="42" r:id="rId45"/>
    <sheet name="EndoSurgery" sheetId="44" r:id="rId46"/>
    <sheet name="Ethicon" sheetId="45" r:id="rId47"/>
    <sheet name="Ultram" sheetId="17" r:id="rId48"/>
    <sheet name="Acquisitions" sheetId="46" r:id="rId49"/>
    <sheet name="Levaquin" sheetId="12" r:id="rId50"/>
    <sheet name="Aciphex" sheetId="11" r:id="rId51"/>
    <sheet name="Doripenem" sheetId="27" r:id="rId52"/>
    <sheet name="Tapentadol" sheetId="64" r:id="rId53"/>
    <sheet name="Comfyde" sheetId="26" r:id="rId54"/>
    <sheet name="Natrecor" sheetId="18" r:id="rId55"/>
    <sheet name="Diagnostics" sheetId="36" r:id="rId56"/>
    <sheet name="Risperdal" sheetId="6" r:id="rId57"/>
    <sheet name="Duragesic" sheetId="13" r:id="rId58"/>
  </sheets>
  <externalReferences>
    <externalReference r:id="rId59"/>
    <externalReference r:id="rId60"/>
    <externalReference r:id="rId61"/>
    <externalReference r:id="rId62"/>
    <externalReference r:id="rId63"/>
    <externalReference r:id="rId64"/>
  </externalReferences>
  <definedNames>
    <definedName name="__BEC2005">[1]Revenue!#REF!</definedName>
    <definedName name="_1991QTR">'[2]HDTC __ Rev'!#REF!</definedName>
    <definedName name="_1992QTR">'[2]HDTC __ Rev'!#REF!</definedName>
    <definedName name="_1993QTR">'[2]HDTC __ Rev'!#REF!</definedName>
    <definedName name="_1994">#REF!</definedName>
    <definedName name="_1994QTR">'[2]HDTC __ Rev'!#REF!</definedName>
    <definedName name="_1995">#REF!</definedName>
    <definedName name="_1995QTR">'[2]HDTC __ Rev'!#REF!</definedName>
    <definedName name="_1996">#REF!</definedName>
    <definedName name="_1997">#REF!</definedName>
    <definedName name="_1998">#REF!</definedName>
    <definedName name="_1999">#REF!</definedName>
    <definedName name="_1Q94">#REF!</definedName>
    <definedName name="_1Q95">#REF!</definedName>
    <definedName name="_2Q94">#REF!</definedName>
    <definedName name="_2Q95">#REF!</definedName>
    <definedName name="_3Q94">#REF!</definedName>
    <definedName name="_3Q95">#REF!</definedName>
    <definedName name="_4Q94">#REF!</definedName>
    <definedName name="_4Q95">#REF!</definedName>
    <definedName name="_a">[3]OLDwork!#REF!</definedName>
    <definedName name="_b">[3]OLDwork!#REF!</definedName>
    <definedName name="_BEC2005">[1]Revenue!#REF!</definedName>
    <definedName name="_c">[3]OLDwork!#REF!</definedName>
    <definedName name="a">[4]QTLY!#REF!</definedName>
    <definedName name="aaa">#REF!</definedName>
    <definedName name="Abbott">#REF!</definedName>
    <definedName name="AbbSales">#REF!</definedName>
    <definedName name="Alcon">#REF!</definedName>
    <definedName name="AllSegments">#REF!</definedName>
    <definedName name="AllSegSales">#REF!</definedName>
    <definedName name="Analyst">#REF!</definedName>
    <definedName name="Analyst_Email">#REF!</definedName>
    <definedName name="Analyst_Phone">#REF!</definedName>
    <definedName name="AnlPL">'[2]HDTC __ Rev'!#REF!</definedName>
    <definedName name="As_of">#REF!</definedName>
    <definedName name="Bal_Sheet">#REF!</definedName>
    <definedName name="BAL_SHT">#REF!</definedName>
    <definedName name="BalanceSheet">#REF!</definedName>
    <definedName name="BalSheet">#REF!</definedName>
    <definedName name="Baxter">#REF!</definedName>
    <definedName name="Cap_Struc">#REF!</definedName>
    <definedName name="capstruc">#REF!</definedName>
    <definedName name="cash">#REF!</definedName>
    <definedName name="cash_Flow">#REF!</definedName>
    <definedName name="CashFlow">#REF!</definedName>
    <definedName name="CASHFLOW_WC">[5]QTLY!#REF!</definedName>
    <definedName name="CFPS_Curr_Yr">#REF!</definedName>
    <definedName name="CFPS_Lst_Yr">#REF!</definedName>
    <definedName name="CFPS_Next_Yr">#REF!</definedName>
    <definedName name="ConsumerSeg">#REF!</definedName>
    <definedName name="CytoSales">#REF!</definedName>
    <definedName name="Debt_Interest">#REF!</definedName>
    <definedName name="DomIntHandout">#REF!</definedName>
    <definedName name="DPS_Curr_Yr">#REF!</definedName>
    <definedName name="DPS_Lst_Yr">#REF!</definedName>
    <definedName name="DPS_Next_Yr">#REF!</definedName>
    <definedName name="DRAFT_RCnum">#REF!</definedName>
    <definedName name="ELSACalculateMode">#REF!</definedName>
    <definedName name="EPS_Curr_Qtr">#REF!</definedName>
    <definedName name="EPS_Curr_Yr">#REF!</definedName>
    <definedName name="EPS_Growth_Rate">#REF!</definedName>
    <definedName name="EPS_Lst_Yr">#REF!</definedName>
    <definedName name="EPS_Next_Yr">#REF!</definedName>
    <definedName name="EPS_Qtr_Date">#REF!</definedName>
    <definedName name="EPSContribution">#REF!</definedName>
    <definedName name="Equity_Ticker">#REF!</definedName>
    <definedName name="ExogProj">[6]P_L!#REF!</definedName>
    <definedName name="FootnoteDrop">#REF!</definedName>
    <definedName name="FootnoteDrop1">#REF!</definedName>
    <definedName name="FootnoteDrop10">#REF!</definedName>
    <definedName name="FootnoteDrop100">#REF!</definedName>
    <definedName name="FootnoteDrop11">#REF!</definedName>
    <definedName name="FootnoteDrop12">#REF!</definedName>
    <definedName name="FootnoteDrop13">#REF!</definedName>
    <definedName name="FootnoteDrop14">#REF!</definedName>
    <definedName name="FootnoteDrop15">#REF!</definedName>
    <definedName name="FootnoteDrop16">#REF!</definedName>
    <definedName name="FootnoteDrop17">#REF!</definedName>
    <definedName name="FootnoteDrop18">#REF!</definedName>
    <definedName name="FootnoteDrop19">#REF!</definedName>
    <definedName name="FootnoteDrop2">#REF!</definedName>
    <definedName name="FootnoteDrop20">#REF!</definedName>
    <definedName name="FootnoteDrop21">#REF!</definedName>
    <definedName name="FootnoteDrop22">#REF!</definedName>
    <definedName name="FootnoteDrop23">#REF!</definedName>
    <definedName name="FootnoteDrop24">#REF!</definedName>
    <definedName name="FootnoteDrop25">#REF!</definedName>
    <definedName name="FootnoteDrop26">#REF!</definedName>
    <definedName name="FootnoteDrop27">#REF!</definedName>
    <definedName name="FootnoteDrop28">#REF!</definedName>
    <definedName name="FootnoteDrop29">#REF!</definedName>
    <definedName name="FootnoteDrop3">#REF!</definedName>
    <definedName name="FootnoteDrop30">#REF!</definedName>
    <definedName name="FootnoteDrop31">#REF!</definedName>
    <definedName name="FootnoteDrop32">#REF!</definedName>
    <definedName name="FootnoteDrop33">#REF!</definedName>
    <definedName name="FootnoteDrop34">#REF!</definedName>
    <definedName name="FootnoteDrop35">#REF!</definedName>
    <definedName name="FootnoteDrop36">#REF!</definedName>
    <definedName name="FootnoteDrop37">#REF!</definedName>
    <definedName name="FootnoteDrop38">#REF!</definedName>
    <definedName name="FootnoteDrop39">#REF!</definedName>
    <definedName name="FootnoteDrop4">#REF!</definedName>
    <definedName name="FootnoteDrop40">#REF!</definedName>
    <definedName name="FootnoteDrop41">#REF!</definedName>
    <definedName name="FootnoteDrop42">#REF!</definedName>
    <definedName name="FootnoteDrop43">#REF!</definedName>
    <definedName name="FootnoteDrop44">#REF!</definedName>
    <definedName name="FootnoteDrop45">#REF!</definedName>
    <definedName name="FootnoteDrop46">#REF!</definedName>
    <definedName name="FootnoteDrop47">#REF!</definedName>
    <definedName name="FootnoteDrop48">#REF!</definedName>
    <definedName name="FootnoteDrop49">#REF!</definedName>
    <definedName name="FootnoteDrop5">#REF!</definedName>
    <definedName name="FootnoteDrop50">#REF!</definedName>
    <definedName name="FootnoteDrop51">#REF!</definedName>
    <definedName name="FootnoteDrop52">#REF!</definedName>
    <definedName name="FootnoteDrop53">#REF!</definedName>
    <definedName name="FootnoteDrop54">#REF!</definedName>
    <definedName name="FootnoteDrop55">#REF!</definedName>
    <definedName name="FootnoteDrop56">#REF!</definedName>
    <definedName name="FootnoteDrop57">#REF!</definedName>
    <definedName name="FootnoteDrop58">#REF!</definedName>
    <definedName name="FootnoteDrop59">#REF!</definedName>
    <definedName name="FootnoteDrop6">#REF!</definedName>
    <definedName name="FootnoteDrop60">#REF!</definedName>
    <definedName name="FootnoteDrop61">#REF!</definedName>
    <definedName name="FootnoteDrop62">#REF!</definedName>
    <definedName name="FootnoteDrop63">#REF!</definedName>
    <definedName name="FootnoteDrop64">#REF!</definedName>
    <definedName name="FootnoteDrop65">#REF!</definedName>
    <definedName name="FootnoteDrop66">#REF!</definedName>
    <definedName name="FootnoteDrop67">#REF!</definedName>
    <definedName name="FootnoteDrop68">#REF!</definedName>
    <definedName name="FootnoteDrop69">#REF!</definedName>
    <definedName name="FootnoteDrop7">#REF!</definedName>
    <definedName name="FootnoteDrop70">#REF!</definedName>
    <definedName name="FootnoteDrop71">#REF!</definedName>
    <definedName name="FootnoteDrop72">#REF!</definedName>
    <definedName name="FootnoteDrop73">#REF!</definedName>
    <definedName name="FootnoteDrop74">#REF!</definedName>
    <definedName name="FootnoteDrop75">#REF!</definedName>
    <definedName name="FootnoteDrop76">#REF!</definedName>
    <definedName name="FootnoteDrop77">#REF!</definedName>
    <definedName name="FootnoteDrop78">#REF!</definedName>
    <definedName name="FootnoteDrop79">#REF!</definedName>
    <definedName name="FootnoteDrop8">#REF!</definedName>
    <definedName name="FootnoteDrop80">#REF!</definedName>
    <definedName name="FootnoteDrop81">#REF!</definedName>
    <definedName name="FootnoteDrop82">#REF!</definedName>
    <definedName name="FootnoteDrop83">#REF!</definedName>
    <definedName name="FootnoteDrop84">#REF!</definedName>
    <definedName name="FootnoteDrop85">#REF!</definedName>
    <definedName name="FootnoteDrop86">#REF!</definedName>
    <definedName name="FootnoteDrop87">#REF!</definedName>
    <definedName name="FootnoteDrop88">#REF!</definedName>
    <definedName name="FootnoteDrop89">#REF!</definedName>
    <definedName name="FootnoteDrop9">#REF!</definedName>
    <definedName name="FootnoteDrop90">#REF!</definedName>
    <definedName name="FootnoteDrop91">#REF!</definedName>
    <definedName name="FootnoteDrop92">#REF!</definedName>
    <definedName name="FootnoteDrop93">#REF!</definedName>
    <definedName name="FootnoteDrop94">#REF!</definedName>
    <definedName name="FootnoteDrop95">#REF!</definedName>
    <definedName name="FootnoteDrop96">#REF!</definedName>
    <definedName name="FootnoteDrop97">#REF!</definedName>
    <definedName name="FootnoteDrop98">#REF!</definedName>
    <definedName name="FootnoteDrop99">#REF!</definedName>
    <definedName name="FY">#REF!</definedName>
    <definedName name="GeoSales">#REF!</definedName>
    <definedName name="Handout">#REF!</definedName>
    <definedName name="IMxAxSYM">#REF!</definedName>
    <definedName name="IntlAnnualSegs">#REF!</definedName>
    <definedName name="IntlQuartSegs">#REF!</definedName>
    <definedName name="LastListUpdate">0</definedName>
    <definedName name="LionADRShares">#REF!</definedName>
    <definedName name="LionADRStkId">#REF!</definedName>
    <definedName name="LionBasicData">#REF!</definedName>
    <definedName name="LionBD5YrEPSGrowth">#REF!</definedName>
    <definedName name="LionBDAction">#REF!</definedName>
    <definedName name="LionBDActionLookUp">#REF!</definedName>
    <definedName name="LionBDADRAction">#REF!</definedName>
    <definedName name="LionBDADRCurrency">#REF!</definedName>
    <definedName name="LionBDADRInvOpinion1">#REF!</definedName>
    <definedName name="LionBDADRInvOpinion2">#REF!</definedName>
    <definedName name="LionBDADRInvOpinion3">#REF!</definedName>
    <definedName name="LionBDADRInvOpinion4">#REF!</definedName>
    <definedName name="LionBDADROpinionDate">#REF!</definedName>
    <definedName name="LionBDADRPrcObjCurrency">#REF!</definedName>
    <definedName name="LionBDADRPrice">#REF!</definedName>
    <definedName name="LionBDADRPriceObj">#REF!</definedName>
    <definedName name="LionBDADRSharesCells">#REF!</definedName>
    <definedName name="LionBDADRSymbolExch">#REF!</definedName>
    <definedName name="LionBDBookValuePerShare">#REF!</definedName>
    <definedName name="LionBDBooKValueTitle">#REF!</definedName>
    <definedName name="LionBDChangeReason">#REF!</definedName>
    <definedName name="LionBDChangeReasonLookUp">#REF!</definedName>
    <definedName name="LionBDCompanyName">#REF!</definedName>
    <definedName name="LionBDCurrency">#REF!</definedName>
    <definedName name="LionBDExchRate">#REF!</definedName>
    <definedName name="LionBDExchRateUnits">#REF!</definedName>
    <definedName name="LionBDFreeFloat">#REF!</definedName>
    <definedName name="LionBDInvCharacteristics">#REF!</definedName>
    <definedName name="LionBDInvCharLookUp">#REF!</definedName>
    <definedName name="LionBDInvOpinion1">#REF!</definedName>
    <definedName name="LionBDInvOpinion1LookUp">#REF!</definedName>
    <definedName name="LionBDInvOpinion2">#REF!</definedName>
    <definedName name="LionBDInvOpinion2LookUp">#REF!</definedName>
    <definedName name="LionBDInvOpinion3">#REF!</definedName>
    <definedName name="LionBDInvOpinion3LookUp">#REF!</definedName>
    <definedName name="LionBDInvOpinion4">#REF!</definedName>
    <definedName name="LionBDInvOpinion4LookUp">#REF!</definedName>
    <definedName name="LionBDInvOpinionLookUp">#REF!</definedName>
    <definedName name="LionBDLatestActual">#REF!</definedName>
    <definedName name="LionBDLinkedStk">#REF!</definedName>
    <definedName name="LionBDLocalPrice">#REF!</definedName>
    <definedName name="LionBDMarketCap">#REF!</definedName>
    <definedName name="LionBDMarketCapUnits">#REF!</definedName>
    <definedName name="LionBDNetDebtEquity">#REF!</definedName>
    <definedName name="LionBDOpinionDate">#REF!</definedName>
    <definedName name="LionBDPERelHomeMkt">#REF!</definedName>
    <definedName name="LionBDPERelHomeMktTitle">#REF!</definedName>
    <definedName name="LionBDPrcObjCurrency">#REF!</definedName>
    <definedName name="LionBDPriceBookRatio">#REF!</definedName>
    <definedName name="LionBDPriceObj">#REF!</definedName>
    <definedName name="LionBDQRQAdd">#REF!</definedName>
    <definedName name="LionBDQRQChange">#REF!</definedName>
    <definedName name="LionBDQRQRestriction">#REF!</definedName>
    <definedName name="LionBDQRQReview">#REF!</definedName>
    <definedName name="LionBDROEAverage">#REF!</definedName>
    <definedName name="LionBDROETitle">#REF!</definedName>
    <definedName name="LionBDSharesInIssue">#REF!</definedName>
    <definedName name="LionBDSharesToADR">#REF!</definedName>
    <definedName name="LionBDSplitFactor">#REF!</definedName>
    <definedName name="LionBDStockCode">#REF!</definedName>
    <definedName name="LionBDStockCodesLookUp">#REF!</definedName>
    <definedName name="LionBDSymbolExch">#REF!</definedName>
    <definedName name="LionBDWorksheetName">#REF!</definedName>
    <definedName name="LionBDYearEnd">#REF!</definedName>
    <definedName name="LionDataSheetRange">#REF!,#REF!,#REF!</definedName>
    <definedName name="LionKDAGMDate">#REF!</definedName>
    <definedName name="LionKDNetDivQ1">#REF!</definedName>
    <definedName name="LionKDNetDivQ2">#REF!</definedName>
    <definedName name="LionKDNetDivQ3">#REF!</definedName>
    <definedName name="LionKDNetDivQ4">#REF!</definedName>
    <definedName name="LionKDPaidDateQ1">#REF!</definedName>
    <definedName name="LionKDPaidDateQ2">#REF!</definedName>
    <definedName name="LionKDPaidDateQ3">#REF!</definedName>
    <definedName name="LionKDPaidDateQ4">#REF!</definedName>
    <definedName name="LionKDQ1">#REF!</definedName>
    <definedName name="LionKDQ1Row">#REF!</definedName>
    <definedName name="LionKDQ2">#REF!</definedName>
    <definedName name="LionKDQ3">#REF!</definedName>
    <definedName name="LionKDQ3Row">#REF!</definedName>
    <definedName name="LionKDQ4">#REF!</definedName>
    <definedName name="LionKDRAPubDate">#REF!</definedName>
    <definedName name="LionKDResultsDateSection">#REF!</definedName>
    <definedName name="LionKDWorksheetName">#REF!</definedName>
    <definedName name="LionKDXdDateQ1">#REF!</definedName>
    <definedName name="LionKDXdDateQ2">#REF!</definedName>
    <definedName name="LionKDXdDateQ3">#REF!</definedName>
    <definedName name="LionKDXdDateQ4">#REF!</definedName>
    <definedName name="LionKeyDates">#REF!</definedName>
    <definedName name="LionKeyDatesScreen">#REF!,#REF!</definedName>
    <definedName name="LionPCWorksheetName">#REF!</definedName>
    <definedName name="LionPieChart1Data">#REF!</definedName>
    <definedName name="LionPieChart1Title">#REF!</definedName>
    <definedName name="LionPieChart2Data">#REF!</definedName>
    <definedName name="LionPieChart2Title">#REF!</definedName>
    <definedName name="LionPieChartOldRevNo1">#REF!</definedName>
    <definedName name="LionPieChartOldRevNo2">#REF!</definedName>
    <definedName name="LionPieCharts">#REF!</definedName>
    <definedName name="LionStkResearchOldRevNo1">#REF!</definedName>
    <definedName name="LionStkResearchOldRevNo2">#REF!</definedName>
    <definedName name="Long_Term_Rate">#REF!</definedName>
    <definedName name="MarginAnalysis">#REF!</definedName>
    <definedName name="Model_Name">#REF!</definedName>
    <definedName name="NetDebt">#REF!</definedName>
    <definedName name="NewProducts">#REF!</definedName>
    <definedName name="Novacor">#REF!</definedName>
    <definedName name="Other">#REF!</definedName>
    <definedName name="PharmRx">#REF!</definedName>
    <definedName name="PharmSeg">#REF!</definedName>
    <definedName name="Pipeline">#REF!</definedName>
    <definedName name="PLReport">#REF!</definedName>
    <definedName name="PLReport_39">#REF!</definedName>
    <definedName name="PLrpt">#REF!</definedName>
    <definedName name="pQuarterly">#REF!</definedName>
    <definedName name="_xlnm.Print_Area" localSheetId="38">'Consumer Model'!$B$1:$BI$21</definedName>
    <definedName name="_xlnm.Print_Area" localSheetId="41">'DePuy Model'!$B$1:$AS$20</definedName>
    <definedName name="_xlnm.Print_Area" localSheetId="39">'MD&amp;D'!$B$1:$AI$36</definedName>
    <definedName name="SALESSUMMARY">[5]QTLY!#REF!</definedName>
    <definedName name="SegGeoSales">#REF!</definedName>
    <definedName name="SegmentSales">#REF!</definedName>
    <definedName name="SegmentSummary">#REF!</definedName>
    <definedName name="SegSales">#REF!</definedName>
    <definedName name="Shares">#REF!</definedName>
    <definedName name="Short_Term_Rate">#REF!</definedName>
    <definedName name="Summary_Date">#REF!</definedName>
    <definedName name="SumSales">#REF!</definedName>
    <definedName name="USAnnualSegs">#REF!</definedName>
    <definedName name="USQuartSegs">#REF!</definedName>
    <definedName name="Working_Capital_Analysis">#REF!</definedName>
    <definedName name="workingcap">#REF!</definedName>
    <definedName name="WWAnnualSegs">#REF!</definedName>
    <definedName name="WWQuartSeg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N220" i="71" l="1"/>
  <c r="DM220" i="71"/>
  <c r="DL220" i="71"/>
  <c r="DK220" i="71"/>
  <c r="DN218" i="71"/>
  <c r="DM218" i="71"/>
  <c r="DL218" i="71"/>
  <c r="DK218" i="71"/>
  <c r="DN212" i="71"/>
  <c r="DM212" i="71"/>
  <c r="DL212" i="71"/>
  <c r="DK212" i="71"/>
  <c r="DN204" i="71"/>
  <c r="DM204" i="71"/>
  <c r="DL204" i="71"/>
  <c r="DK204" i="71"/>
  <c r="DN191" i="71"/>
  <c r="DM191" i="71"/>
  <c r="DL191" i="71"/>
  <c r="DK191" i="71"/>
  <c r="R6" i="3"/>
  <c r="DJ219" i="71"/>
  <c r="DJ217" i="71"/>
  <c r="DJ216" i="71"/>
  <c r="DJ215" i="71"/>
  <c r="DJ214" i="71"/>
  <c r="DJ208" i="71"/>
  <c r="DJ211" i="71"/>
  <c r="DJ210" i="71"/>
  <c r="DJ209" i="71"/>
  <c r="DJ207" i="71"/>
  <c r="DJ206" i="71"/>
  <c r="DJ218" i="71"/>
  <c r="DJ212" i="71"/>
  <c r="DJ195" i="71"/>
  <c r="DJ198" i="71"/>
  <c r="DJ203" i="71"/>
  <c r="DJ202" i="71"/>
  <c r="DJ201" i="71"/>
  <c r="DJ200" i="71"/>
  <c r="DJ199" i="71"/>
  <c r="DJ197" i="71"/>
  <c r="DJ196" i="71"/>
  <c r="DJ194" i="71"/>
  <c r="DJ193" i="71"/>
  <c r="DJ192" i="71"/>
  <c r="DJ191" i="71"/>
  <c r="DJ184" i="71"/>
  <c r="DJ180" i="71"/>
  <c r="DJ161" i="71"/>
  <c r="DJ172" i="71" s="1"/>
  <c r="DJ169" i="71"/>
  <c r="DI177" i="71"/>
  <c r="DJ177" i="71"/>
  <c r="DJ159" i="71"/>
  <c r="DJ156" i="71"/>
  <c r="DJ149" i="71"/>
  <c r="FN84" i="71"/>
  <c r="EX148" i="71"/>
  <c r="EZ80" i="71"/>
  <c r="EZ64" i="71"/>
  <c r="FJ80" i="71"/>
  <c r="FI80" i="71"/>
  <c r="FH80" i="71"/>
  <c r="FG80" i="71"/>
  <c r="FF80" i="71"/>
  <c r="ER63" i="71"/>
  <c r="ER62" i="71"/>
  <c r="ER61" i="71"/>
  <c r="ER60" i="71"/>
  <c r="ER59" i="71"/>
  <c r="ER58" i="71"/>
  <c r="ER57" i="71"/>
  <c r="ER56" i="71"/>
  <c r="ER55" i="71"/>
  <c r="ER54" i="71"/>
  <c r="ER53" i="71"/>
  <c r="ER52" i="71"/>
  <c r="ER51" i="71"/>
  <c r="ER50" i="71"/>
  <c r="ER49" i="71"/>
  <c r="ER48" i="71"/>
  <c r="ER47" i="71"/>
  <c r="ER46" i="71"/>
  <c r="ER45" i="71"/>
  <c r="ER44" i="71"/>
  <c r="ER43" i="71"/>
  <c r="ER42" i="71"/>
  <c r="ER41" i="71"/>
  <c r="ER40" i="71"/>
  <c r="ER39" i="71"/>
  <c r="ER38" i="71"/>
  <c r="ER37" i="71"/>
  <c r="ER36" i="71"/>
  <c r="ER35" i="71"/>
  <c r="ER34" i="71"/>
  <c r="ER33" i="71"/>
  <c r="ER32" i="71"/>
  <c r="ER31" i="71"/>
  <c r="ER30" i="71"/>
  <c r="ER29" i="71"/>
  <c r="ER28" i="71"/>
  <c r="ER27" i="71"/>
  <c r="ER26" i="71"/>
  <c r="ER25" i="71"/>
  <c r="ER24" i="71"/>
  <c r="ER23" i="71"/>
  <c r="ER22" i="71"/>
  <c r="ER21" i="71"/>
  <c r="ER20" i="71"/>
  <c r="ER19" i="71"/>
  <c r="ER18" i="71"/>
  <c r="ER17" i="71"/>
  <c r="ER16" i="71"/>
  <c r="ER15" i="71"/>
  <c r="ER14" i="71"/>
  <c r="ER13" i="71"/>
  <c r="ER12" i="71"/>
  <c r="ER11" i="71"/>
  <c r="ER10" i="71"/>
  <c r="ER9" i="71"/>
  <c r="ER8" i="71"/>
  <c r="ER7" i="71"/>
  <c r="ER6" i="71"/>
  <c r="ER5" i="71"/>
  <c r="ER4" i="71"/>
  <c r="ER3" i="71"/>
  <c r="DJ90" i="71"/>
  <c r="DJ66" i="71"/>
  <c r="DK29" i="71"/>
  <c r="DL29" i="71" s="1"/>
  <c r="DM29" i="71" s="1"/>
  <c r="DN29" i="71" s="1"/>
  <c r="DJ220" i="71" l="1"/>
  <c r="DJ204" i="71"/>
  <c r="DJ178" i="71"/>
  <c r="FC21" i="71"/>
  <c r="FD21" i="71" s="1"/>
  <c r="FE21" i="71" s="1"/>
  <c r="FF21" i="71" s="1"/>
  <c r="FG21" i="71" s="1"/>
  <c r="FH21" i="71" s="1"/>
  <c r="FI21" i="71" s="1"/>
  <c r="FJ21" i="71" s="1"/>
  <c r="FA21" i="71" l="1"/>
  <c r="EZ21" i="71"/>
  <c r="DA207" i="71" l="1"/>
  <c r="DA193" i="71"/>
  <c r="DA192" i="71"/>
  <c r="DA184" i="71"/>
  <c r="DA71" i="71"/>
  <c r="DF184" i="71"/>
  <c r="DF177" i="71"/>
  <c r="DF172" i="71"/>
  <c r="DF169" i="71"/>
  <c r="DF156" i="71"/>
  <c r="DF155" i="71"/>
  <c r="DF153" i="71"/>
  <c r="DF151" i="71"/>
  <c r="DF150" i="71"/>
  <c r="DF149" i="71"/>
  <c r="DF159" i="71" s="1"/>
  <c r="DE219" i="71"/>
  <c r="DF219" i="71" s="1"/>
  <c r="DE215" i="71"/>
  <c r="DF215" i="71" s="1"/>
  <c r="DE214" i="71"/>
  <c r="DF214" i="71" s="1"/>
  <c r="DE211" i="71"/>
  <c r="DF211" i="71" s="1"/>
  <c r="DE208" i="71"/>
  <c r="DF208" i="71" s="1"/>
  <c r="DE184" i="71"/>
  <c r="DE177" i="71"/>
  <c r="DE180" i="71" s="1"/>
  <c r="DE169" i="71"/>
  <c r="DE172" i="71" s="1"/>
  <c r="DE156" i="71"/>
  <c r="DE149" i="71"/>
  <c r="DE159" i="71" s="1"/>
  <c r="DI211" i="71"/>
  <c r="DI210" i="71"/>
  <c r="DI201" i="71"/>
  <c r="DI200" i="71"/>
  <c r="DI199" i="71"/>
  <c r="DI198" i="71"/>
  <c r="DI197" i="71"/>
  <c r="DH219" i="71"/>
  <c r="DI219" i="71" s="1"/>
  <c r="DH215" i="71"/>
  <c r="DI215" i="71" s="1"/>
  <c r="DH214" i="71"/>
  <c r="DI214" i="71" s="1"/>
  <c r="DH211" i="71"/>
  <c r="DH210" i="71"/>
  <c r="DH208" i="71"/>
  <c r="DI208" i="71" s="1"/>
  <c r="DH207" i="71"/>
  <c r="DH206" i="71"/>
  <c r="DI206" i="71" s="1"/>
  <c r="DH203" i="71"/>
  <c r="DI203" i="71" s="1"/>
  <c r="DH202" i="71"/>
  <c r="DI202" i="71" s="1"/>
  <c r="DH201" i="71"/>
  <c r="DH200" i="71"/>
  <c r="DH199" i="71"/>
  <c r="DH197" i="71"/>
  <c r="DH196" i="71"/>
  <c r="DI196" i="71" s="1"/>
  <c r="DH195" i="71"/>
  <c r="DI195" i="71" s="1"/>
  <c r="DH194" i="71"/>
  <c r="DI194" i="71" s="1"/>
  <c r="DH193" i="71"/>
  <c r="DI193" i="71" s="1"/>
  <c r="DH192" i="71"/>
  <c r="DI192" i="71" s="1"/>
  <c r="DG172" i="71"/>
  <c r="DG177" i="71"/>
  <c r="DG180" i="71" s="1"/>
  <c r="DH177" i="71"/>
  <c r="DI184" i="71"/>
  <c r="DH184" i="71"/>
  <c r="DI180" i="71"/>
  <c r="DI169" i="71"/>
  <c r="DI172" i="71" s="1"/>
  <c r="DI156" i="71"/>
  <c r="DI149" i="71"/>
  <c r="DI148" i="71" s="1"/>
  <c r="DE71" i="71"/>
  <c r="DI71" i="71"/>
  <c r="FD31" i="71"/>
  <c r="FE31" i="71" s="1"/>
  <c r="FF31" i="71" s="1"/>
  <c r="FG31" i="71" s="1"/>
  <c r="FH31" i="71" s="1"/>
  <c r="FI31" i="71" s="1"/>
  <c r="FJ31" i="71" s="1"/>
  <c r="DK6" i="71"/>
  <c r="DK87" i="71" s="1"/>
  <c r="DL6" i="71"/>
  <c r="DL5" i="71"/>
  <c r="DM6" i="71"/>
  <c r="DM87" i="71" s="1"/>
  <c r="EZ47" i="71"/>
  <c r="EY36" i="71"/>
  <c r="EY35" i="71"/>
  <c r="EY20" i="71"/>
  <c r="DE32" i="71"/>
  <c r="DH71" i="71"/>
  <c r="DH53" i="71"/>
  <c r="DL53" i="71" s="1"/>
  <c r="DH171" i="71"/>
  <c r="DH172" i="71" s="1"/>
  <c r="DH156" i="71"/>
  <c r="DH149" i="71"/>
  <c r="DH148" i="71" s="1"/>
  <c r="DG217" i="71"/>
  <c r="DH217" i="71" s="1"/>
  <c r="DI217" i="71" s="1"/>
  <c r="DG216" i="71"/>
  <c r="DG218" i="71" s="1"/>
  <c r="DG209" i="71"/>
  <c r="DG212" i="71" s="1"/>
  <c r="DG204" i="71"/>
  <c r="DG184" i="71"/>
  <c r="DF180" i="71"/>
  <c r="DG169" i="71"/>
  <c r="DG156" i="71"/>
  <c r="DG149" i="71"/>
  <c r="DG148" i="71" s="1"/>
  <c r="DN148" i="71"/>
  <c r="DM148" i="71"/>
  <c r="DL148" i="71"/>
  <c r="DK148" i="71"/>
  <c r="DJ148" i="71"/>
  <c r="DI95" i="71"/>
  <c r="DH95" i="71"/>
  <c r="DI94" i="71"/>
  <c r="DH94" i="71"/>
  <c r="DI93" i="71"/>
  <c r="DM92" i="71"/>
  <c r="DI90" i="71"/>
  <c r="DH90" i="71"/>
  <c r="DI89" i="71"/>
  <c r="DH89" i="71"/>
  <c r="DI88" i="71"/>
  <c r="DH88" i="71"/>
  <c r="DI87" i="71"/>
  <c r="DH87" i="71"/>
  <c r="DI86" i="71"/>
  <c r="DH86" i="71"/>
  <c r="DI85" i="71"/>
  <c r="DH85" i="71"/>
  <c r="DM38" i="71"/>
  <c r="DL38" i="71"/>
  <c r="DK38" i="71"/>
  <c r="DM37" i="71"/>
  <c r="DL37" i="71"/>
  <c r="DK37" i="71"/>
  <c r="DM33" i="71"/>
  <c r="DL33" i="71"/>
  <c r="DK33" i="71"/>
  <c r="DM28" i="71"/>
  <c r="DM90" i="71" s="1"/>
  <c r="DL28" i="71"/>
  <c r="DL90" i="71" s="1"/>
  <c r="DK28" i="71"/>
  <c r="DK90" i="71" s="1"/>
  <c r="DM27" i="71"/>
  <c r="DL27" i="71"/>
  <c r="DK27" i="71"/>
  <c r="DM19" i="71"/>
  <c r="DL19" i="71"/>
  <c r="DK19" i="71"/>
  <c r="DM18" i="71"/>
  <c r="DL18" i="71"/>
  <c r="DK18" i="71"/>
  <c r="DM14" i="71"/>
  <c r="DL14" i="71"/>
  <c r="DK14" i="71"/>
  <c r="DM12" i="71"/>
  <c r="DL12" i="71"/>
  <c r="DK12" i="71"/>
  <c r="DM11" i="71"/>
  <c r="DM89" i="71" s="1"/>
  <c r="DL11" i="71"/>
  <c r="DL89" i="71" s="1"/>
  <c r="DK11" i="71"/>
  <c r="DK89" i="71" s="1"/>
  <c r="DL87" i="71"/>
  <c r="DM5" i="71"/>
  <c r="DM88" i="71" s="1"/>
  <c r="DL88" i="71"/>
  <c r="DK5" i="71"/>
  <c r="DK88" i="71" s="1"/>
  <c r="DN4" i="71"/>
  <c r="DM4" i="71"/>
  <c r="DM86" i="71" s="1"/>
  <c r="DL4" i="71"/>
  <c r="DL86" i="71" s="1"/>
  <c r="DK4" i="71"/>
  <c r="DK86" i="71" s="1"/>
  <c r="DM3" i="71"/>
  <c r="DM85" i="71" s="1"/>
  <c r="DL3" i="71"/>
  <c r="DL85" i="71" s="1"/>
  <c r="DK3" i="71"/>
  <c r="DK85" i="71" s="1"/>
  <c r="DM49" i="71"/>
  <c r="DL49" i="71"/>
  <c r="DK49" i="71"/>
  <c r="DK53" i="71"/>
  <c r="DN53" i="71"/>
  <c r="DM53" i="71"/>
  <c r="DM51" i="71"/>
  <c r="DK51" i="71"/>
  <c r="DN51" i="71"/>
  <c r="DL51" i="71"/>
  <c r="DL50" i="71"/>
  <c r="DL92" i="71" s="1"/>
  <c r="DK50" i="71"/>
  <c r="DN50" i="71"/>
  <c r="DN92" i="71" s="1"/>
  <c r="DM50" i="71"/>
  <c r="DL54" i="71"/>
  <c r="DL93" i="71" s="1"/>
  <c r="DK54" i="71"/>
  <c r="DK93" i="71" s="1"/>
  <c r="DN54" i="71"/>
  <c r="DN93" i="71" s="1"/>
  <c r="DM54" i="71"/>
  <c r="DM93" i="71" s="1"/>
  <c r="DK61" i="71"/>
  <c r="DN61" i="71"/>
  <c r="DM61" i="71"/>
  <c r="DL61" i="71"/>
  <c r="DK58" i="71"/>
  <c r="DK95" i="71" s="1"/>
  <c r="DN58" i="71"/>
  <c r="DN95" i="71" s="1"/>
  <c r="DM58" i="71"/>
  <c r="DM95" i="71" s="1"/>
  <c r="DL58" i="71"/>
  <c r="DL95" i="71" s="1"/>
  <c r="DL57" i="71"/>
  <c r="DL94" i="71" s="1"/>
  <c r="DK57" i="71"/>
  <c r="DK94" i="71" s="1"/>
  <c r="DN57" i="71"/>
  <c r="DN94" i="71" s="1"/>
  <c r="DM57" i="71"/>
  <c r="DM94" i="71" s="1"/>
  <c r="DN83" i="71"/>
  <c r="DM83" i="71"/>
  <c r="DL83" i="71"/>
  <c r="DK83" i="71"/>
  <c r="DN82" i="71"/>
  <c r="DM82" i="71"/>
  <c r="DL82" i="71"/>
  <c r="DK82" i="71"/>
  <c r="DN69" i="71"/>
  <c r="DM69" i="71"/>
  <c r="DL69" i="71"/>
  <c r="DK69" i="71"/>
  <c r="DJ69" i="71"/>
  <c r="DI69" i="71"/>
  <c r="DH69" i="71"/>
  <c r="DK77" i="71"/>
  <c r="DL77" i="71" s="1"/>
  <c r="DM77" i="71" s="1"/>
  <c r="DN77" i="71" s="1"/>
  <c r="DF71" i="71"/>
  <c r="DF32" i="71"/>
  <c r="DN6" i="71"/>
  <c r="DJ82" i="71"/>
  <c r="DI82" i="71"/>
  <c r="DH82" i="71"/>
  <c r="DG82" i="71"/>
  <c r="DF82" i="71"/>
  <c r="DE82" i="71"/>
  <c r="DD82" i="71"/>
  <c r="DC82" i="71"/>
  <c r="DG71" i="71"/>
  <c r="DI83" i="71"/>
  <c r="DH83" i="71"/>
  <c r="DG64" i="71"/>
  <c r="DG100" i="71" s="1"/>
  <c r="DG94" i="71"/>
  <c r="DG95" i="71"/>
  <c r="DG93" i="71"/>
  <c r="DG92" i="71"/>
  <c r="DG90" i="71"/>
  <c r="DG89" i="71"/>
  <c r="DG88" i="71"/>
  <c r="DG87" i="71"/>
  <c r="DG86" i="71"/>
  <c r="DG85" i="71"/>
  <c r="DG83" i="71"/>
  <c r="DG69" i="71"/>
  <c r="DK34" i="71"/>
  <c r="DL34" i="71" s="1"/>
  <c r="DM34" i="71" s="1"/>
  <c r="DN34" i="71" s="1"/>
  <c r="CZ219" i="71"/>
  <c r="DA219" i="71" s="1"/>
  <c r="CZ215" i="71"/>
  <c r="CZ214" i="71"/>
  <c r="CZ211" i="71"/>
  <c r="DA211" i="71" s="1"/>
  <c r="CZ210" i="71"/>
  <c r="DA210" i="71" s="1"/>
  <c r="CZ206" i="71"/>
  <c r="CZ203" i="71"/>
  <c r="DA203" i="71" s="1"/>
  <c r="CZ202" i="71"/>
  <c r="DA202" i="71" s="1"/>
  <c r="CZ201" i="71"/>
  <c r="DA201" i="71" s="1"/>
  <c r="CZ200" i="71"/>
  <c r="CZ199" i="71"/>
  <c r="CZ198" i="71"/>
  <c r="CZ197" i="71"/>
  <c r="CZ196" i="71"/>
  <c r="DA196" i="71" s="1"/>
  <c r="CZ195" i="71"/>
  <c r="DA195" i="71" s="1"/>
  <c r="CZ194" i="71"/>
  <c r="DA194" i="71" s="1"/>
  <c r="CZ193" i="71"/>
  <c r="CZ192" i="71"/>
  <c r="DD219" i="71"/>
  <c r="DD215" i="71"/>
  <c r="DD214" i="71"/>
  <c r="DC207" i="71"/>
  <c r="DD207" i="71" s="1"/>
  <c r="DE207" i="71" s="1"/>
  <c r="DD211" i="71"/>
  <c r="DD210" i="71"/>
  <c r="DE210" i="71" s="1"/>
  <c r="DF210" i="71" s="1"/>
  <c r="DD206" i="71"/>
  <c r="DE206" i="71" s="1"/>
  <c r="DF206" i="71" s="1"/>
  <c r="DD203" i="71"/>
  <c r="DE203" i="71" s="1"/>
  <c r="DF203" i="71" s="1"/>
  <c r="DD202" i="71"/>
  <c r="DE202" i="71" s="1"/>
  <c r="DF202" i="71" s="1"/>
  <c r="DD201" i="71"/>
  <c r="DE201" i="71" s="1"/>
  <c r="DF201" i="71" s="1"/>
  <c r="DD200" i="71"/>
  <c r="DE200" i="71" s="1"/>
  <c r="DF200" i="71" s="1"/>
  <c r="DD199" i="71"/>
  <c r="DE199" i="71" s="1"/>
  <c r="DF199" i="71" s="1"/>
  <c r="DD198" i="71"/>
  <c r="DE198" i="71" s="1"/>
  <c r="DD197" i="71"/>
  <c r="DE197" i="71" s="1"/>
  <c r="DF197" i="71" s="1"/>
  <c r="DD196" i="71"/>
  <c r="DE196" i="71" s="1"/>
  <c r="DF196" i="71" s="1"/>
  <c r="DD195" i="71"/>
  <c r="DE195" i="71" s="1"/>
  <c r="DF195" i="71" s="1"/>
  <c r="DD194" i="71"/>
  <c r="DE194" i="71" s="1"/>
  <c r="DF194" i="71" s="1"/>
  <c r="DD193" i="71"/>
  <c r="DE193" i="71" s="1"/>
  <c r="DF193" i="71" s="1"/>
  <c r="DD192" i="71"/>
  <c r="DE192" i="71" s="1"/>
  <c r="DD149" i="71"/>
  <c r="DD154" i="71" s="1"/>
  <c r="DD184" i="71"/>
  <c r="DD177" i="71"/>
  <c r="DD169" i="71"/>
  <c r="DD167" i="71"/>
  <c r="DD156" i="71"/>
  <c r="DD71" i="71"/>
  <c r="DD54" i="71"/>
  <c r="DH93" i="71" s="1"/>
  <c r="DD50" i="71"/>
  <c r="DH92" i="71" s="1"/>
  <c r="DE69" i="71"/>
  <c r="DI92" i="71"/>
  <c r="BS49" i="71"/>
  <c r="BX69" i="71"/>
  <c r="BT71" i="71"/>
  <c r="BS71" i="71"/>
  <c r="BT69" i="71"/>
  <c r="BS69" i="71"/>
  <c r="BW69" i="71"/>
  <c r="BT26" i="71"/>
  <c r="BU69" i="71"/>
  <c r="BU11" i="71"/>
  <c r="BV69" i="71"/>
  <c r="BV57" i="71"/>
  <c r="BV11" i="71"/>
  <c r="CI90" i="71"/>
  <c r="CH90" i="71"/>
  <c r="CG90" i="71"/>
  <c r="CF90" i="71"/>
  <c r="CI89" i="71"/>
  <c r="CL90" i="71"/>
  <c r="CK90" i="71"/>
  <c r="CJ90" i="71"/>
  <c r="CL89" i="71"/>
  <c r="CK89" i="71"/>
  <c r="CJ89" i="71"/>
  <c r="CL88" i="71"/>
  <c r="CL91" i="71"/>
  <c r="CK91" i="71"/>
  <c r="CJ91" i="71"/>
  <c r="CI91" i="71"/>
  <c r="CH91" i="71"/>
  <c r="CG91" i="71"/>
  <c r="CF91" i="71"/>
  <c r="CL87" i="71"/>
  <c r="CK87" i="71"/>
  <c r="CJ87" i="71"/>
  <c r="CI87" i="71"/>
  <c r="CH87" i="71"/>
  <c r="CG87" i="71"/>
  <c r="CF87" i="71"/>
  <c r="CE87" i="71"/>
  <c r="CD87" i="71"/>
  <c r="CC87" i="71"/>
  <c r="CB87" i="71"/>
  <c r="CA87" i="71"/>
  <c r="CL86" i="71"/>
  <c r="CK86" i="71"/>
  <c r="CJ86" i="71"/>
  <c r="CI86" i="71"/>
  <c r="CH86" i="71"/>
  <c r="CG86" i="71"/>
  <c r="CF86" i="71"/>
  <c r="CE86" i="71"/>
  <c r="CD86" i="71"/>
  <c r="CC86" i="71"/>
  <c r="CB86" i="71"/>
  <c r="CA86" i="71"/>
  <c r="CL85" i="71"/>
  <c r="CK85" i="71"/>
  <c r="CJ85" i="71"/>
  <c r="CI85" i="71"/>
  <c r="CH85" i="71"/>
  <c r="CG85" i="71"/>
  <c r="CF85" i="71"/>
  <c r="CE85" i="71"/>
  <c r="CD85" i="71"/>
  <c r="CC85" i="71"/>
  <c r="CB85" i="71"/>
  <c r="CA85" i="71"/>
  <c r="CJ83" i="71"/>
  <c r="CI83" i="71"/>
  <c r="CH83" i="71"/>
  <c r="CG83" i="71"/>
  <c r="CF83" i="71"/>
  <c r="CE83" i="71"/>
  <c r="CD83" i="71"/>
  <c r="CC83" i="71"/>
  <c r="CB83" i="71"/>
  <c r="CA83" i="71"/>
  <c r="CL82" i="71"/>
  <c r="CK82" i="71"/>
  <c r="CJ82" i="71"/>
  <c r="CI82" i="71"/>
  <c r="CH82" i="71"/>
  <c r="CG82" i="71"/>
  <c r="CF82" i="71"/>
  <c r="CE82" i="71"/>
  <c r="CC82" i="71"/>
  <c r="CB82" i="71"/>
  <c r="CA82" i="71"/>
  <c r="CA26" i="71"/>
  <c r="BW57" i="71"/>
  <c r="CA11" i="71"/>
  <c r="BW11" i="71"/>
  <c r="BX11" i="71"/>
  <c r="CB11" i="71"/>
  <c r="CF89" i="71" s="1"/>
  <c r="BY69" i="71"/>
  <c r="CC71" i="71"/>
  <c r="CC69" i="71"/>
  <c r="BY57" i="71"/>
  <c r="CC57" i="71"/>
  <c r="CC11" i="71"/>
  <c r="CG89" i="71" s="1"/>
  <c r="BY11" i="71"/>
  <c r="BZ57" i="71"/>
  <c r="BZ11" i="71"/>
  <c r="CD11" i="71"/>
  <c r="CA71" i="71"/>
  <c r="CA69" i="71"/>
  <c r="CE71" i="71"/>
  <c r="CE69" i="71"/>
  <c r="CA57" i="71"/>
  <c r="CE57" i="71"/>
  <c r="CE64" i="71" s="1"/>
  <c r="CE66" i="71" s="1"/>
  <c r="CB69" i="71"/>
  <c r="CF69" i="71"/>
  <c r="CB57" i="71"/>
  <c r="CF57" i="71"/>
  <c r="CF64" i="71" s="1"/>
  <c r="CF66" i="71" s="1"/>
  <c r="CG71" i="71"/>
  <c r="CG69" i="71"/>
  <c r="CG57" i="71"/>
  <c r="CG64" i="71" s="1"/>
  <c r="CD71" i="71"/>
  <c r="CD69" i="71"/>
  <c r="CH71" i="71"/>
  <c r="CH69" i="71"/>
  <c r="CD57" i="71"/>
  <c r="CH57" i="71"/>
  <c r="CH61" i="71"/>
  <c r="DC216" i="71"/>
  <c r="DD216" i="71" s="1"/>
  <c r="DE216" i="71" s="1"/>
  <c r="DC217" i="71"/>
  <c r="DC218" i="71" s="1"/>
  <c r="DC209" i="71"/>
  <c r="DD209" i="71" s="1"/>
  <c r="DE209" i="71" s="1"/>
  <c r="DF209" i="71" s="1"/>
  <c r="DC204" i="71"/>
  <c r="DB184" i="71"/>
  <c r="DC184" i="71"/>
  <c r="DC169" i="71"/>
  <c r="DC167" i="71"/>
  <c r="DC156" i="71"/>
  <c r="DC149" i="71"/>
  <c r="DC154" i="71" s="1"/>
  <c r="EY46" i="71"/>
  <c r="EX46" i="71"/>
  <c r="EY44" i="71"/>
  <c r="EX44" i="71"/>
  <c r="EY43" i="71"/>
  <c r="EX43" i="71"/>
  <c r="EY42" i="71"/>
  <c r="EX42" i="71"/>
  <c r="EY41" i="71"/>
  <c r="EX41" i="71"/>
  <c r="EY40" i="71"/>
  <c r="EX40" i="71"/>
  <c r="EY39" i="71"/>
  <c r="EX39" i="71"/>
  <c r="EX25" i="71"/>
  <c r="EX24" i="71"/>
  <c r="EX23" i="71"/>
  <c r="EX22" i="71"/>
  <c r="EX20" i="71"/>
  <c r="EY17" i="71"/>
  <c r="EX17" i="71"/>
  <c r="EY16" i="71"/>
  <c r="EX16" i="71"/>
  <c r="EY15" i="71"/>
  <c r="EX15" i="71"/>
  <c r="EY9" i="71"/>
  <c r="EX9" i="71"/>
  <c r="EY8" i="71"/>
  <c r="EX8" i="71"/>
  <c r="DN33" i="71"/>
  <c r="DN28" i="71"/>
  <c r="DN90" i="71" s="1"/>
  <c r="DJ86" i="71"/>
  <c r="DN5" i="71"/>
  <c r="DN88" i="71" s="1"/>
  <c r="EU77" i="71"/>
  <c r="ET77" i="71"/>
  <c r="ES77" i="71"/>
  <c r="EU74" i="71"/>
  <c r="ES68" i="71"/>
  <c r="ES65" i="71"/>
  <c r="EU68" i="71"/>
  <c r="ET68" i="71"/>
  <c r="ET65" i="71"/>
  <c r="EU67" i="71"/>
  <c r="EU65" i="71"/>
  <c r="EW74" i="71"/>
  <c r="EW68" i="71"/>
  <c r="EW65" i="71"/>
  <c r="EW61" i="71"/>
  <c r="EW63" i="71"/>
  <c r="EV63" i="71"/>
  <c r="EV141" i="71"/>
  <c r="EW141" i="71"/>
  <c r="DB169" i="71"/>
  <c r="DB167" i="71"/>
  <c r="DB156" i="71"/>
  <c r="DB149" i="71"/>
  <c r="DB148" i="71" s="1"/>
  <c r="EW148" i="71" s="1"/>
  <c r="EU63" i="71"/>
  <c r="ET63" i="71"/>
  <c r="ES63" i="71"/>
  <c r="EV61" i="71"/>
  <c r="EU61" i="71"/>
  <c r="ET61" i="71"/>
  <c r="ES61" i="71"/>
  <c r="ES60" i="71"/>
  <c r="ES59" i="71"/>
  <c r="EW58" i="71"/>
  <c r="EV58" i="71"/>
  <c r="EU58" i="71"/>
  <c r="ET58" i="71"/>
  <c r="ES58" i="71"/>
  <c r="EW57" i="71"/>
  <c r="EV57" i="71"/>
  <c r="EU57" i="71"/>
  <c r="EW54" i="71"/>
  <c r="EV54" i="71"/>
  <c r="EU54" i="71"/>
  <c r="ET54" i="71"/>
  <c r="ES54" i="71"/>
  <c r="EW50" i="71"/>
  <c r="EV50" i="71"/>
  <c r="EU50" i="71"/>
  <c r="ET50" i="71"/>
  <c r="ES50" i="71"/>
  <c r="EW49" i="71"/>
  <c r="EU49" i="71"/>
  <c r="ET49" i="71"/>
  <c r="ES49" i="71"/>
  <c r="EW48" i="71"/>
  <c r="EV48" i="71"/>
  <c r="EU48" i="71"/>
  <c r="ET48" i="71"/>
  <c r="ES48" i="71"/>
  <c r="EW47" i="71"/>
  <c r="EV47" i="71"/>
  <c r="EU47" i="71"/>
  <c r="ET47" i="71"/>
  <c r="ES47" i="71"/>
  <c r="EW46" i="71"/>
  <c r="EV46" i="71"/>
  <c r="EU46" i="71"/>
  <c r="ET46" i="71"/>
  <c r="ES46" i="71"/>
  <c r="EW45" i="71"/>
  <c r="EV45" i="71"/>
  <c r="EU45" i="71"/>
  <c r="ET45" i="71"/>
  <c r="ES45" i="71"/>
  <c r="EW44" i="71"/>
  <c r="EV44" i="71"/>
  <c r="EU44" i="71"/>
  <c r="ET44" i="71"/>
  <c r="ES44" i="71"/>
  <c r="EW43" i="71"/>
  <c r="EV43" i="71"/>
  <c r="EU43" i="71"/>
  <c r="ET43" i="71"/>
  <c r="ES43" i="71"/>
  <c r="EW42" i="71"/>
  <c r="EV42" i="71"/>
  <c r="EU42" i="71"/>
  <c r="ET42" i="71"/>
  <c r="ES42" i="71"/>
  <c r="EW41" i="71"/>
  <c r="EV41" i="71"/>
  <c r="EU41" i="71"/>
  <c r="ET41" i="71"/>
  <c r="ES41" i="71"/>
  <c r="EW40" i="71"/>
  <c r="EV40" i="71"/>
  <c r="EU40" i="71"/>
  <c r="ET40" i="71"/>
  <c r="ES40" i="71"/>
  <c r="EW39" i="71"/>
  <c r="EV39" i="71"/>
  <c r="EU39" i="71"/>
  <c r="ET39" i="71"/>
  <c r="ES39" i="71"/>
  <c r="EW38" i="71"/>
  <c r="EV38" i="71"/>
  <c r="EU38" i="71"/>
  <c r="ET38" i="71"/>
  <c r="ES38" i="71"/>
  <c r="EW37" i="71"/>
  <c r="EV37" i="71"/>
  <c r="EU37" i="71"/>
  <c r="ET37" i="71"/>
  <c r="ES37" i="71"/>
  <c r="EW36" i="71"/>
  <c r="EV36" i="71"/>
  <c r="EU36" i="71"/>
  <c r="ET36" i="71"/>
  <c r="ES36" i="71"/>
  <c r="EW35" i="71"/>
  <c r="EV35" i="71"/>
  <c r="EU35" i="71"/>
  <c r="ET35" i="71"/>
  <c r="ES35" i="71"/>
  <c r="EW33" i="71"/>
  <c r="EV33" i="71"/>
  <c r="EU33" i="71"/>
  <c r="ET33" i="71"/>
  <c r="ES33" i="71"/>
  <c r="EW32" i="71"/>
  <c r="EV32" i="71"/>
  <c r="EU32" i="71"/>
  <c r="ET32" i="71"/>
  <c r="ES32" i="71"/>
  <c r="EW30" i="71"/>
  <c r="EV30" i="71"/>
  <c r="EU30" i="71"/>
  <c r="ET30" i="71"/>
  <c r="ES30" i="71"/>
  <c r="EW29" i="71"/>
  <c r="EV29" i="71"/>
  <c r="EU29" i="71"/>
  <c r="ET29" i="71"/>
  <c r="ES29" i="71"/>
  <c r="EW28" i="71"/>
  <c r="EV28" i="71"/>
  <c r="EU28" i="71"/>
  <c r="ET28" i="71"/>
  <c r="ES28" i="71"/>
  <c r="EW27" i="71"/>
  <c r="EV27" i="71"/>
  <c r="EU27" i="71"/>
  <c r="ET27" i="71"/>
  <c r="ES27" i="71"/>
  <c r="EW26" i="71"/>
  <c r="EV26" i="71"/>
  <c r="EU26" i="71"/>
  <c r="ET26" i="71"/>
  <c r="ES26" i="71"/>
  <c r="ES20" i="71"/>
  <c r="ET20" i="71"/>
  <c r="EU20" i="71"/>
  <c r="ET19" i="71"/>
  <c r="ES19" i="71"/>
  <c r="EW18" i="71"/>
  <c r="EV18" i="71"/>
  <c r="EU18" i="71"/>
  <c r="EW17" i="71"/>
  <c r="EV17" i="71"/>
  <c r="EU17" i="71"/>
  <c r="EW16" i="71"/>
  <c r="EV16" i="71"/>
  <c r="EU16" i="71"/>
  <c r="EW15" i="71"/>
  <c r="EV15" i="71"/>
  <c r="EU15" i="71"/>
  <c r="ES18" i="71"/>
  <c r="ET18" i="71"/>
  <c r="ET14" i="71"/>
  <c r="ES14" i="71"/>
  <c r="ES13" i="71"/>
  <c r="ET13" i="71"/>
  <c r="EW12" i="71"/>
  <c r="EV12" i="71"/>
  <c r="EU12" i="71"/>
  <c r="ET12" i="71"/>
  <c r="ES12" i="71"/>
  <c r="ET11" i="71"/>
  <c r="ES11" i="71"/>
  <c r="ET10" i="71"/>
  <c r="ES10" i="71"/>
  <c r="ET7" i="71"/>
  <c r="ES7" i="71"/>
  <c r="ET3" i="71"/>
  <c r="ET4" i="71"/>
  <c r="ET5" i="71"/>
  <c r="ES3" i="71"/>
  <c r="ES4" i="71"/>
  <c r="ES5" i="71"/>
  <c r="ES6" i="71"/>
  <c r="ET6" i="71"/>
  <c r="EW3" i="71"/>
  <c r="DB142" i="71"/>
  <c r="DC64" i="71"/>
  <c r="DC66" i="71" s="1"/>
  <c r="DC90" i="71"/>
  <c r="DN27" i="71"/>
  <c r="DB64" i="71"/>
  <c r="DB66" i="71" s="1"/>
  <c r="DB71" i="71"/>
  <c r="DB82" i="71"/>
  <c r="CY217" i="71"/>
  <c r="CZ217" i="71" s="1"/>
  <c r="DA217" i="71" s="1"/>
  <c r="CY216" i="71"/>
  <c r="CY209" i="71"/>
  <c r="CY208" i="71"/>
  <c r="CY204" i="71"/>
  <c r="CZ169" i="71"/>
  <c r="CZ167" i="71"/>
  <c r="CZ156" i="71"/>
  <c r="CZ149" i="71"/>
  <c r="CZ148" i="71" s="1"/>
  <c r="DA171" i="71"/>
  <c r="DA167" i="71"/>
  <c r="DA156" i="71"/>
  <c r="DA149" i="71"/>
  <c r="DA148" i="71" s="1"/>
  <c r="DA82" i="71"/>
  <c r="CT95" i="71"/>
  <c r="CS95" i="71"/>
  <c r="CR95" i="71"/>
  <c r="CQ95" i="71"/>
  <c r="CP95" i="71"/>
  <c r="CO95" i="71"/>
  <c r="CN95" i="71"/>
  <c r="CM95" i="71"/>
  <c r="CT93" i="71"/>
  <c r="CS93" i="71"/>
  <c r="CR93" i="71"/>
  <c r="CQ93" i="71"/>
  <c r="CP93" i="71"/>
  <c r="CO93" i="71"/>
  <c r="CN93" i="71"/>
  <c r="CM93" i="71"/>
  <c r="CT92" i="71"/>
  <c r="CS92" i="71"/>
  <c r="CR92" i="71"/>
  <c r="CQ92" i="71"/>
  <c r="CP92" i="71"/>
  <c r="CO92" i="71"/>
  <c r="CN92" i="71"/>
  <c r="CM92" i="71"/>
  <c r="CT91" i="71"/>
  <c r="CS91" i="71"/>
  <c r="CR91" i="71"/>
  <c r="CQ91" i="71"/>
  <c r="CP91" i="71"/>
  <c r="CO91" i="71"/>
  <c r="CN91" i="71"/>
  <c r="CM91" i="71"/>
  <c r="CI71" i="71"/>
  <c r="CI69" i="71"/>
  <c r="CM71" i="71"/>
  <c r="CM69" i="71"/>
  <c r="CM90" i="71"/>
  <c r="CM89" i="71"/>
  <c r="CM88" i="71"/>
  <c r="CM87" i="71"/>
  <c r="CM86" i="71"/>
  <c r="CM85" i="71"/>
  <c r="CM83" i="71"/>
  <c r="CM82" i="71"/>
  <c r="CN90" i="71"/>
  <c r="CN89" i="71"/>
  <c r="CN88" i="71"/>
  <c r="CN87" i="71"/>
  <c r="CN86" i="71"/>
  <c r="CN85" i="71"/>
  <c r="CN83" i="71"/>
  <c r="CN82" i="71"/>
  <c r="CJ69" i="71"/>
  <c r="CN69" i="71"/>
  <c r="CJ57" i="71"/>
  <c r="CJ64" i="71" s="1"/>
  <c r="CJ66" i="71" s="1"/>
  <c r="CN57" i="71"/>
  <c r="CR94" i="71" s="1"/>
  <c r="CI57" i="71"/>
  <c r="CI64" i="71" s="1"/>
  <c r="CI66" i="71" s="1"/>
  <c r="CM57" i="71"/>
  <c r="CQ94" i="71" s="1"/>
  <c r="CL71" i="71"/>
  <c r="CL67" i="71"/>
  <c r="CL69" i="71" s="1"/>
  <c r="CP67" i="71"/>
  <c r="CT83" i="71" s="1"/>
  <c r="CT90" i="71"/>
  <c r="CS90" i="71"/>
  <c r="CR90" i="71"/>
  <c r="CQ90" i="71"/>
  <c r="CP90" i="71"/>
  <c r="CO90" i="71"/>
  <c r="CT89" i="71"/>
  <c r="CS89" i="71"/>
  <c r="CR89" i="71"/>
  <c r="CQ89" i="71"/>
  <c r="CP89" i="71"/>
  <c r="CO89" i="71"/>
  <c r="CT88" i="71"/>
  <c r="CS88" i="71"/>
  <c r="CR88" i="71"/>
  <c r="CQ88" i="71"/>
  <c r="CP88" i="71"/>
  <c r="CO88" i="71"/>
  <c r="CT87" i="71"/>
  <c r="CS87" i="71"/>
  <c r="CR87" i="71"/>
  <c r="CQ87" i="71"/>
  <c r="CP87" i="71"/>
  <c r="CO87" i="71"/>
  <c r="CT86" i="71"/>
  <c r="CS86" i="71"/>
  <c r="CR86" i="71"/>
  <c r="CQ86" i="71"/>
  <c r="CP86" i="71"/>
  <c r="CO86" i="71"/>
  <c r="CT85" i="71"/>
  <c r="CS85" i="71"/>
  <c r="CR85" i="71"/>
  <c r="CQ85" i="71"/>
  <c r="CP85" i="71"/>
  <c r="CO85" i="71"/>
  <c r="CR83" i="71"/>
  <c r="CQ83" i="71"/>
  <c r="CT82" i="71"/>
  <c r="CS82" i="71"/>
  <c r="CR82" i="71"/>
  <c r="CQ82" i="71"/>
  <c r="CP82" i="71"/>
  <c r="CO82" i="71"/>
  <c r="CP71" i="71"/>
  <c r="CL57" i="71"/>
  <c r="CP57" i="71"/>
  <c r="CT94" i="71" s="1"/>
  <c r="EZ33" i="71" l="1"/>
  <c r="EZ29" i="71"/>
  <c r="DE212" i="71"/>
  <c r="DH180" i="71"/>
  <c r="DF148" i="71"/>
  <c r="DF178" i="71"/>
  <c r="DI204" i="71"/>
  <c r="DE178" i="71"/>
  <c r="DE204" i="71"/>
  <c r="DF192" i="71"/>
  <c r="DF216" i="71"/>
  <c r="DB219" i="71"/>
  <c r="EZ6" i="71"/>
  <c r="FA6" i="71" s="1"/>
  <c r="FB6" i="71" s="1"/>
  <c r="FC6" i="71" s="1"/>
  <c r="DI159" i="71"/>
  <c r="DH204" i="71"/>
  <c r="DB197" i="71"/>
  <c r="DB206" i="71"/>
  <c r="DE148" i="71"/>
  <c r="DA200" i="71"/>
  <c r="DB200" i="71" s="1"/>
  <c r="DF207" i="71"/>
  <c r="DF212" i="71" s="1"/>
  <c r="DA206" i="71"/>
  <c r="DA198" i="71"/>
  <c r="DB198" i="71" s="1"/>
  <c r="DB201" i="71"/>
  <c r="EZ34" i="71"/>
  <c r="DI178" i="71"/>
  <c r="DH209" i="71"/>
  <c r="DI209" i="71" s="1"/>
  <c r="DI207" i="71"/>
  <c r="DI212" i="71" s="1"/>
  <c r="DG159" i="71"/>
  <c r="DB192" i="71"/>
  <c r="EY34" i="71"/>
  <c r="DA214" i="71"/>
  <c r="DB203" i="71"/>
  <c r="DA197" i="71"/>
  <c r="DA199" i="71"/>
  <c r="DB199" i="71" s="1"/>
  <c r="DB193" i="71"/>
  <c r="DH159" i="71"/>
  <c r="DB194" i="71"/>
  <c r="EZ27" i="71"/>
  <c r="DA215" i="71"/>
  <c r="DB215" i="71" s="1"/>
  <c r="EZ50" i="71"/>
  <c r="DB202" i="71"/>
  <c r="DB210" i="71"/>
  <c r="DH216" i="71"/>
  <c r="DI216" i="71" s="1"/>
  <c r="DI218" i="71" s="1"/>
  <c r="DB196" i="71"/>
  <c r="DK92" i="71"/>
  <c r="DF204" i="71"/>
  <c r="DN86" i="71"/>
  <c r="EZ28" i="71"/>
  <c r="DN87" i="71"/>
  <c r="EZ5" i="71"/>
  <c r="FA5" i="71" s="1"/>
  <c r="FB5" i="71" s="1"/>
  <c r="FC5" i="71" s="1"/>
  <c r="DJ93" i="71"/>
  <c r="EZ4" i="71"/>
  <c r="DJ94" i="71"/>
  <c r="DJ87" i="71"/>
  <c r="DH178" i="71"/>
  <c r="DG220" i="71"/>
  <c r="DJ92" i="71"/>
  <c r="DJ88" i="71"/>
  <c r="DJ95" i="71"/>
  <c r="DH64" i="71"/>
  <c r="DH66" i="71" s="1"/>
  <c r="DG178" i="71"/>
  <c r="DD172" i="71"/>
  <c r="DD178" i="71" s="1"/>
  <c r="DG66" i="71"/>
  <c r="DG98" i="71" s="1"/>
  <c r="DD159" i="71"/>
  <c r="CD64" i="71"/>
  <c r="CD66" i="71" s="1"/>
  <c r="CD70" i="71" s="1"/>
  <c r="CD73" i="71" s="1"/>
  <c r="CD75" i="71" s="1"/>
  <c r="CD76" i="71" s="1"/>
  <c r="DC148" i="71"/>
  <c r="DG99" i="71"/>
  <c r="DG80" i="71"/>
  <c r="DC159" i="71"/>
  <c r="CH64" i="71"/>
  <c r="CH66" i="71" s="1"/>
  <c r="CH70" i="71" s="1"/>
  <c r="CH73" i="71" s="1"/>
  <c r="CH75" i="71" s="1"/>
  <c r="CH76" i="71" s="1"/>
  <c r="DC172" i="71"/>
  <c r="DC178" i="71" s="1"/>
  <c r="CC64" i="71"/>
  <c r="CC66" i="71" s="1"/>
  <c r="CC70" i="71" s="1"/>
  <c r="CC73" i="71" s="1"/>
  <c r="CC75" i="71" s="1"/>
  <c r="CC76" i="71" s="1"/>
  <c r="CZ208" i="71"/>
  <c r="CZ209" i="71"/>
  <c r="EX28" i="71"/>
  <c r="CA64" i="71"/>
  <c r="CA66" i="71" s="1"/>
  <c r="CA70" i="71" s="1"/>
  <c r="CA73" i="71" s="1"/>
  <c r="CA75" i="71" s="1"/>
  <c r="CA76" i="71" s="1"/>
  <c r="CZ216" i="71"/>
  <c r="CH89" i="71"/>
  <c r="DB217" i="71"/>
  <c r="DD217" i="71"/>
  <c r="DD204" i="71"/>
  <c r="DB211" i="71"/>
  <c r="CZ204" i="71"/>
  <c r="DB195" i="71"/>
  <c r="DD212" i="71"/>
  <c r="DD180" i="71"/>
  <c r="DC212" i="71"/>
  <c r="DC220" i="71" s="1"/>
  <c r="DD148" i="71"/>
  <c r="CL83" i="71"/>
  <c r="CB64" i="71"/>
  <c r="CB66" i="71" s="1"/>
  <c r="CB70" i="71" s="1"/>
  <c r="CB73" i="71" s="1"/>
  <c r="CB75" i="71" s="1"/>
  <c r="CB76" i="71" s="1"/>
  <c r="CE70" i="71"/>
  <c r="CE73" i="71" s="1"/>
  <c r="CE75" i="71" s="1"/>
  <c r="CE76" i="71" s="1"/>
  <c r="CG66" i="71"/>
  <c r="CG70" i="71" s="1"/>
  <c r="CG73" i="71" s="1"/>
  <c r="CG75" i="71" s="1"/>
  <c r="CG76" i="71" s="1"/>
  <c r="CI80" i="71"/>
  <c r="CJ80" i="71"/>
  <c r="CF70" i="71"/>
  <c r="CF73" i="71" s="1"/>
  <c r="CF75" i="71" s="1"/>
  <c r="CF76" i="71" s="1"/>
  <c r="DK26" i="71"/>
  <c r="EX26" i="71"/>
  <c r="EY6" i="71"/>
  <c r="EX47" i="71"/>
  <c r="EX4" i="71"/>
  <c r="EX33" i="71"/>
  <c r="EY5" i="71"/>
  <c r="EX6" i="71"/>
  <c r="EY33" i="71"/>
  <c r="DB172" i="71"/>
  <c r="DB178" i="71" s="1"/>
  <c r="EX5" i="71"/>
  <c r="EY47" i="71"/>
  <c r="EY27" i="71"/>
  <c r="DK30" i="71"/>
  <c r="EX29" i="71"/>
  <c r="EY28" i="71"/>
  <c r="EX27" i="71"/>
  <c r="DB154" i="71"/>
  <c r="DB159" i="71" s="1"/>
  <c r="EX30" i="71"/>
  <c r="CZ172" i="71"/>
  <c r="CZ178" i="71" s="1"/>
  <c r="CY218" i="71"/>
  <c r="CY212" i="71"/>
  <c r="DA172" i="71"/>
  <c r="DA178" i="71" s="1"/>
  <c r="CZ154" i="71"/>
  <c r="CZ159" i="71" s="1"/>
  <c r="DA154" i="71"/>
  <c r="DA159" i="71" s="1"/>
  <c r="CJ70" i="71"/>
  <c r="CJ73" i="71" s="1"/>
  <c r="CJ75" i="71" s="1"/>
  <c r="CJ76" i="71" s="1"/>
  <c r="CM94" i="71"/>
  <c r="CP69" i="71"/>
  <c r="CN94" i="71"/>
  <c r="CP94" i="71"/>
  <c r="CP83" i="71"/>
  <c r="CI70" i="71"/>
  <c r="CI73" i="71" s="1"/>
  <c r="CI75" i="71" s="1"/>
  <c r="CI76" i="71" s="1"/>
  <c r="CK71" i="71"/>
  <c r="ES71" i="71" s="1"/>
  <c r="CK74" i="71"/>
  <c r="ES74" i="71" s="1"/>
  <c r="CO74" i="71"/>
  <c r="ET74" i="71" s="1"/>
  <c r="CK67" i="71"/>
  <c r="CK83" i="71" s="1"/>
  <c r="CO67" i="71"/>
  <c r="CO71" i="71"/>
  <c r="ET71" i="71" s="1"/>
  <c r="CL64" i="71"/>
  <c r="CL66" i="71" s="1"/>
  <c r="CL70" i="71" s="1"/>
  <c r="CL73" i="71" s="1"/>
  <c r="CL75" i="71" s="1"/>
  <c r="CL76" i="71" s="1"/>
  <c r="CM64" i="71"/>
  <c r="CN64" i="71"/>
  <c r="CP64" i="71"/>
  <c r="CK57" i="71"/>
  <c r="CO57" i="71"/>
  <c r="CV64" i="71"/>
  <c r="CV66" i="71" s="1"/>
  <c r="CV98" i="71" s="1"/>
  <c r="CV71" i="71"/>
  <c r="CZ71" i="71"/>
  <c r="CZ69" i="71"/>
  <c r="EU25" i="71"/>
  <c r="EU24" i="71"/>
  <c r="EU23" i="71"/>
  <c r="EU22" i="71"/>
  <c r="EU19" i="71"/>
  <c r="EU14" i="71"/>
  <c r="EU11" i="71"/>
  <c r="EU10" i="71"/>
  <c r="EU7" i="71"/>
  <c r="EU6" i="71"/>
  <c r="EU5" i="71"/>
  <c r="EU4" i="71"/>
  <c r="EU3" i="71"/>
  <c r="CX169" i="71"/>
  <c r="CX177" i="71"/>
  <c r="DB180" i="71" s="1"/>
  <c r="CX167" i="71"/>
  <c r="CX156" i="71"/>
  <c r="CX149" i="71"/>
  <c r="CX148" i="71" s="1"/>
  <c r="CY177" i="71"/>
  <c r="DC180" i="71" s="1"/>
  <c r="CY169" i="71"/>
  <c r="CY167" i="71"/>
  <c r="CY156" i="71"/>
  <c r="CY149" i="71"/>
  <c r="EV67" i="71"/>
  <c r="EV77" i="71"/>
  <c r="EV74" i="71"/>
  <c r="EV65" i="71"/>
  <c r="EV68" i="71"/>
  <c r="EV82" i="71" s="1"/>
  <c r="EW25" i="71"/>
  <c r="EW24" i="71"/>
  <c r="EW23" i="71"/>
  <c r="EW22" i="71"/>
  <c r="EW20" i="71"/>
  <c r="EV7" i="71"/>
  <c r="EV25" i="71"/>
  <c r="EV24" i="71"/>
  <c r="EV23" i="71"/>
  <c r="EV22" i="71"/>
  <c r="EV20" i="71"/>
  <c r="EV19" i="71"/>
  <c r="EV14" i="71"/>
  <c r="EV11" i="71"/>
  <c r="EV10" i="71"/>
  <c r="EV6" i="71"/>
  <c r="EV5" i="71"/>
  <c r="EV4" i="71"/>
  <c r="EV3" i="71"/>
  <c r="CX95" i="71"/>
  <c r="CW95" i="71"/>
  <c r="CV95" i="71"/>
  <c r="CU95" i="71"/>
  <c r="CX94" i="71"/>
  <c r="CW94" i="71"/>
  <c r="CV94" i="71"/>
  <c r="CU94" i="71"/>
  <c r="CY95" i="71"/>
  <c r="CY94" i="71"/>
  <c r="CX93" i="71"/>
  <c r="CW93" i="71"/>
  <c r="CV93" i="71"/>
  <c r="CU93" i="71"/>
  <c r="CY93" i="71"/>
  <c r="CX92" i="71"/>
  <c r="CW92" i="71"/>
  <c r="CV92" i="71"/>
  <c r="CU92" i="71"/>
  <c r="CY92" i="71"/>
  <c r="DC95" i="71"/>
  <c r="DF95" i="71"/>
  <c r="DE95" i="71"/>
  <c r="DD95" i="71"/>
  <c r="DC94" i="71"/>
  <c r="DF94" i="71"/>
  <c r="DA94" i="71"/>
  <c r="CZ94" i="71"/>
  <c r="DC93" i="71"/>
  <c r="DF93" i="71"/>
  <c r="DE93" i="71"/>
  <c r="CZ93" i="71"/>
  <c r="DC92" i="71"/>
  <c r="DF92" i="71"/>
  <c r="DE92" i="71"/>
  <c r="DD92" i="71"/>
  <c r="DN49" i="71"/>
  <c r="EZ49" i="71" s="1"/>
  <c r="DN18" i="71"/>
  <c r="EZ18" i="71" s="1"/>
  <c r="DN19" i="71"/>
  <c r="EZ19" i="71" s="1"/>
  <c r="DN38" i="71"/>
  <c r="EZ38" i="71" s="1"/>
  <c r="DN37" i="71"/>
  <c r="EZ37" i="71" s="1"/>
  <c r="DN14" i="71"/>
  <c r="EZ14" i="71" s="1"/>
  <c r="DN12" i="71"/>
  <c r="EZ12" i="71" s="1"/>
  <c r="DC89" i="71"/>
  <c r="CX90" i="71"/>
  <c r="CW90" i="71"/>
  <c r="CV90" i="71"/>
  <c r="CU90" i="71"/>
  <c r="CY90" i="71"/>
  <c r="CX89" i="71"/>
  <c r="CW89" i="71"/>
  <c r="CV89" i="71"/>
  <c r="CU89" i="71"/>
  <c r="CY89" i="71"/>
  <c r="DC85" i="71"/>
  <c r="DC86" i="71"/>
  <c r="DB86" i="71"/>
  <c r="CZ86" i="71"/>
  <c r="DC88" i="71"/>
  <c r="DF88" i="71"/>
  <c r="DE88" i="71"/>
  <c r="CZ88" i="71"/>
  <c r="CZ85" i="71"/>
  <c r="CZ82" i="71"/>
  <c r="CX88" i="71"/>
  <c r="CW88" i="71"/>
  <c r="CV88" i="71"/>
  <c r="CU88" i="71"/>
  <c r="CY88" i="71"/>
  <c r="DC87" i="71"/>
  <c r="DF87" i="71"/>
  <c r="DE87" i="71"/>
  <c r="CZ87" i="71"/>
  <c r="CU91" i="71"/>
  <c r="CU87" i="71"/>
  <c r="CU86" i="71"/>
  <c r="CU85" i="71"/>
  <c r="CU83" i="71"/>
  <c r="CU82" i="71"/>
  <c r="CQ69" i="71"/>
  <c r="CU49" i="71"/>
  <c r="CQ64" i="71"/>
  <c r="CQ66" i="71" s="1"/>
  <c r="CQ98" i="71" s="1"/>
  <c r="CX91" i="71"/>
  <c r="CW91" i="71"/>
  <c r="CV91" i="71"/>
  <c r="CY91" i="71"/>
  <c r="DC91" i="71"/>
  <c r="CZ91" i="71"/>
  <c r="CV87" i="71"/>
  <c r="CV86" i="71"/>
  <c r="CV85" i="71"/>
  <c r="CV83" i="71"/>
  <c r="CV82" i="71"/>
  <c r="CR71" i="71"/>
  <c r="EU71" i="71" s="1"/>
  <c r="CR69" i="71"/>
  <c r="CX87" i="71"/>
  <c r="CW87" i="71"/>
  <c r="CY87" i="71"/>
  <c r="CX86" i="71"/>
  <c r="CW86" i="71"/>
  <c r="CY86" i="71"/>
  <c r="CX85" i="71"/>
  <c r="CW85" i="71"/>
  <c r="CY85" i="71"/>
  <c r="CX83" i="71"/>
  <c r="CW83" i="71"/>
  <c r="CY83" i="71"/>
  <c r="CX82" i="71"/>
  <c r="CW82" i="71"/>
  <c r="CY82" i="71"/>
  <c r="CW69" i="71"/>
  <c r="CV69" i="71"/>
  <c r="CU69" i="71"/>
  <c r="CT69" i="71"/>
  <c r="CS69" i="71"/>
  <c r="CX71" i="71"/>
  <c r="CX69" i="71"/>
  <c r="CX64" i="71"/>
  <c r="CW64" i="71"/>
  <c r="CW66" i="71" s="1"/>
  <c r="CW98" i="71" s="1"/>
  <c r="CT64" i="71"/>
  <c r="CT66" i="71" s="1"/>
  <c r="CT98" i="71" s="1"/>
  <c r="CS64" i="71"/>
  <c r="CS66" i="71" s="1"/>
  <c r="CS98" i="71" s="1"/>
  <c r="CR64" i="71"/>
  <c r="CR66" i="71" s="1"/>
  <c r="CR98" i="71" s="1"/>
  <c r="CU71" i="71"/>
  <c r="CY71" i="71"/>
  <c r="CY69" i="71"/>
  <c r="CY64" i="71"/>
  <c r="CY66" i="71" s="1"/>
  <c r="CY98" i="71" s="1"/>
  <c r="BZ85" i="71"/>
  <c r="BV87" i="71"/>
  <c r="BR11" i="71"/>
  <c r="BR49" i="71"/>
  <c r="BZ92" i="71"/>
  <c r="BZ93" i="71"/>
  <c r="BR57" i="71"/>
  <c r="BZ96" i="71"/>
  <c r="BY86" i="71"/>
  <c r="BY87" i="71"/>
  <c r="BQ11" i="71"/>
  <c r="BQ49" i="71"/>
  <c r="BY92" i="71"/>
  <c r="BY93" i="71"/>
  <c r="BQ57" i="71"/>
  <c r="BU96" i="71"/>
  <c r="BX85" i="71"/>
  <c r="BX86" i="71"/>
  <c r="BX87" i="71"/>
  <c r="BT11" i="71"/>
  <c r="BX92" i="71"/>
  <c r="BX93" i="71"/>
  <c r="BX96" i="71"/>
  <c r="BW85" i="71"/>
  <c r="BW86" i="71"/>
  <c r="BW87" i="71"/>
  <c r="BS11" i="71"/>
  <c r="BW92" i="71"/>
  <c r="BW93" i="71"/>
  <c r="BW96" i="71"/>
  <c r="BY82" i="71"/>
  <c r="BX82" i="71"/>
  <c r="BW82" i="71"/>
  <c r="BY83" i="71"/>
  <c r="BX83" i="71"/>
  <c r="BW83" i="71"/>
  <c r="BZ83" i="71"/>
  <c r="EO23" i="71"/>
  <c r="EP23" i="71" s="1"/>
  <c r="EQ23" i="71" s="1"/>
  <c r="ES23" i="71" s="1"/>
  <c r="ET23" i="71" s="1"/>
  <c r="FN79" i="71"/>
  <c r="BM86" i="71"/>
  <c r="BL86" i="71"/>
  <c r="BK86" i="71"/>
  <c r="BS86" i="71"/>
  <c r="BR86" i="71"/>
  <c r="BQ86" i="71"/>
  <c r="BP86" i="71"/>
  <c r="BO86" i="71"/>
  <c r="BN86" i="71"/>
  <c r="BT87" i="71"/>
  <c r="BL87" i="71"/>
  <c r="BK87" i="71"/>
  <c r="BR87" i="71"/>
  <c r="BQ87" i="71"/>
  <c r="BP87" i="71"/>
  <c r="BO87" i="71"/>
  <c r="BN87" i="71"/>
  <c r="BM87" i="71"/>
  <c r="BS87" i="71"/>
  <c r="BS85" i="71"/>
  <c r="BS96" i="71"/>
  <c r="BS93" i="71"/>
  <c r="BS92" i="71"/>
  <c r="BS83" i="71"/>
  <c r="BS82" i="71"/>
  <c r="BG57" i="71"/>
  <c r="BG113" i="71" s="1"/>
  <c r="BM57" i="71"/>
  <c r="BL57" i="71"/>
  <c r="BK57" i="71"/>
  <c r="BJ57" i="71"/>
  <c r="BJ113" i="71" s="1"/>
  <c r="BI57" i="71"/>
  <c r="BI113" i="71" s="1"/>
  <c r="BN57" i="71"/>
  <c r="BO57" i="71"/>
  <c r="BP57" i="71"/>
  <c r="EY82" i="71"/>
  <c r="EX82" i="71"/>
  <c r="EU82" i="71"/>
  <c r="ET82" i="71"/>
  <c r="ES82" i="71"/>
  <c r="ER82" i="71"/>
  <c r="EQ82" i="71"/>
  <c r="EP82" i="71"/>
  <c r="EN59" i="71"/>
  <c r="EO59" i="71" s="1"/>
  <c r="EP59" i="71" s="1"/>
  <c r="EQ59" i="71" s="1"/>
  <c r="EN61" i="71"/>
  <c r="EO61" i="71" s="1"/>
  <c r="EP61" i="71" s="1"/>
  <c r="EQ61" i="71" s="1"/>
  <c r="EM61" i="71"/>
  <c r="EL61" i="71"/>
  <c r="EV2" i="71"/>
  <c r="EW2" i="71" s="1"/>
  <c r="EX2" i="71" s="1"/>
  <c r="EY2" i="71" s="1"/>
  <c r="EZ2" i="71" s="1"/>
  <c r="FA2" i="71" s="1"/>
  <c r="FB2" i="71" s="1"/>
  <c r="FC2" i="71" s="1"/>
  <c r="FD2" i="71" s="1"/>
  <c r="FE2" i="71" s="1"/>
  <c r="FF2" i="71" s="1"/>
  <c r="FG2" i="71" s="1"/>
  <c r="FH2" i="71" s="1"/>
  <c r="FI2" i="71" s="1"/>
  <c r="FJ2" i="71" s="1"/>
  <c r="EN30" i="71"/>
  <c r="EO30" i="71" s="1"/>
  <c r="EP30" i="71" s="1"/>
  <c r="EQ30" i="71" s="1"/>
  <c r="EN77" i="71"/>
  <c r="EO77" i="71" s="1"/>
  <c r="EP77" i="71" s="1"/>
  <c r="EQ77" i="71" s="1"/>
  <c r="EM77" i="71"/>
  <c r="EN68" i="71"/>
  <c r="EM67" i="71"/>
  <c r="EM65" i="71"/>
  <c r="EN65" i="71"/>
  <c r="EN63" i="71"/>
  <c r="EO63" i="71" s="1"/>
  <c r="EN60" i="71"/>
  <c r="EN58" i="71"/>
  <c r="EO58" i="71" s="1"/>
  <c r="EP58" i="71" s="1"/>
  <c r="EQ58" i="71" s="1"/>
  <c r="EN54" i="71"/>
  <c r="EO54" i="71" s="1"/>
  <c r="EP54" i="71" s="1"/>
  <c r="EQ54" i="71" s="1"/>
  <c r="EN50" i="71"/>
  <c r="EO50" i="71" s="1"/>
  <c r="EP50" i="71" s="1"/>
  <c r="EQ50" i="71" s="1"/>
  <c r="EN25" i="71"/>
  <c r="EN47" i="71"/>
  <c r="EN18" i="71"/>
  <c r="EN23" i="71"/>
  <c r="EN16" i="71"/>
  <c r="EN36" i="71"/>
  <c r="EN12" i="71"/>
  <c r="EN35" i="71"/>
  <c r="EN10" i="71"/>
  <c r="EN6" i="71"/>
  <c r="EN4" i="71"/>
  <c r="EM3" i="71"/>
  <c r="EN3" i="71"/>
  <c r="BQ215" i="71"/>
  <c r="BR215" i="71" s="1"/>
  <c r="BP187" i="71"/>
  <c r="BP186" i="71" s="1"/>
  <c r="BP214" i="71"/>
  <c r="BQ214" i="71" s="1"/>
  <c r="BR214" i="71" s="1"/>
  <c r="BP208" i="71"/>
  <c r="BQ208" i="71" s="1"/>
  <c r="BR208" i="71" s="1"/>
  <c r="BP206" i="71"/>
  <c r="BQ206" i="71" s="1"/>
  <c r="BP203" i="71"/>
  <c r="BQ203" i="71" s="1"/>
  <c r="BR203" i="71" s="1"/>
  <c r="BP202" i="71"/>
  <c r="BQ202" i="71" s="1"/>
  <c r="BR202" i="71" s="1"/>
  <c r="BP201" i="71"/>
  <c r="BQ201" i="71" s="1"/>
  <c r="BR201" i="71" s="1"/>
  <c r="BP200" i="71"/>
  <c r="BQ200" i="71" s="1"/>
  <c r="BR200" i="71" s="1"/>
  <c r="BP199" i="71"/>
  <c r="BQ199" i="71" s="1"/>
  <c r="BR199" i="71" s="1"/>
  <c r="BP198" i="71"/>
  <c r="BQ198" i="71" s="1"/>
  <c r="BR198" i="71" s="1"/>
  <c r="BP197" i="71"/>
  <c r="BQ197" i="71" s="1"/>
  <c r="BR197" i="71" s="1"/>
  <c r="BP194" i="71"/>
  <c r="BQ194" i="71" s="1"/>
  <c r="BR194" i="71" s="1"/>
  <c r="BP193" i="71"/>
  <c r="BQ193" i="71" s="1"/>
  <c r="BR193" i="71" s="1"/>
  <c r="BP192" i="71"/>
  <c r="BQ192" i="71" s="1"/>
  <c r="BO195" i="71"/>
  <c r="BP195" i="71" s="1"/>
  <c r="BQ195" i="71" s="1"/>
  <c r="BR195" i="71" s="1"/>
  <c r="BN188" i="71"/>
  <c r="BM188" i="71"/>
  <c r="BL188" i="71"/>
  <c r="BK188" i="71"/>
  <c r="BJ188" i="71"/>
  <c r="BO184" i="71"/>
  <c r="BN184" i="71"/>
  <c r="BO186" i="71"/>
  <c r="BN186" i="71"/>
  <c r="BM186" i="71"/>
  <c r="BJ184" i="71"/>
  <c r="BJ156" i="71"/>
  <c r="BJ149" i="71"/>
  <c r="BJ154" i="71" s="1"/>
  <c r="BJ177" i="71"/>
  <c r="BJ167" i="71"/>
  <c r="BJ172" i="71" s="1"/>
  <c r="BK184" i="71"/>
  <c r="BK156" i="71"/>
  <c r="BK149" i="71"/>
  <c r="BK154" i="71" s="1"/>
  <c r="BK177" i="71"/>
  <c r="BK167" i="71"/>
  <c r="BK172" i="71" s="1"/>
  <c r="BL184" i="71"/>
  <c r="BL156" i="71"/>
  <c r="BL149" i="71"/>
  <c r="BL154" i="71" s="1"/>
  <c r="BL177" i="71"/>
  <c r="BL167" i="71"/>
  <c r="BL172" i="71" s="1"/>
  <c r="BM184" i="71"/>
  <c r="BM156" i="71"/>
  <c r="BM177" i="71"/>
  <c r="BM167" i="71"/>
  <c r="BM172" i="71" s="1"/>
  <c r="BM149" i="71"/>
  <c r="BM145" i="71" s="1"/>
  <c r="BP184" i="71"/>
  <c r="BR184" i="71"/>
  <c r="BR156" i="71"/>
  <c r="BR177" i="71"/>
  <c r="BR167" i="71"/>
  <c r="BR172" i="71" s="1"/>
  <c r="BR149" i="71"/>
  <c r="BR154" i="71" s="1"/>
  <c r="BP67" i="71"/>
  <c r="EN67" i="71" s="1"/>
  <c r="BT96" i="71"/>
  <c r="BT93" i="71"/>
  <c r="BT92" i="71"/>
  <c r="BQ184" i="71"/>
  <c r="BQ177" i="71"/>
  <c r="BQ167" i="71"/>
  <c r="BQ172" i="71" s="1"/>
  <c r="BQ156" i="71"/>
  <c r="BQ149" i="71"/>
  <c r="BQ145" i="71" s="1"/>
  <c r="BT85" i="71"/>
  <c r="BT86" i="71"/>
  <c r="BT82" i="71"/>
  <c r="BO188" i="71"/>
  <c r="EM63" i="71"/>
  <c r="EM120" i="71" s="1"/>
  <c r="EM232" i="71" s="1"/>
  <c r="EM60" i="71"/>
  <c r="EM59" i="71"/>
  <c r="EM58" i="71"/>
  <c r="EM54" i="71"/>
  <c r="EM50" i="71"/>
  <c r="EL30" i="71"/>
  <c r="EL25" i="71"/>
  <c r="EM30" i="71"/>
  <c r="EM39" i="71"/>
  <c r="EM25" i="71"/>
  <c r="EM47" i="71"/>
  <c r="EM23" i="71"/>
  <c r="EM18" i="71"/>
  <c r="EM16" i="71"/>
  <c r="EM36" i="71"/>
  <c r="EM12" i="71"/>
  <c r="BN156" i="71"/>
  <c r="BN149" i="71"/>
  <c r="BN154" i="71" s="1"/>
  <c r="BN177" i="71"/>
  <c r="BN167" i="71"/>
  <c r="BN172" i="71" s="1"/>
  <c r="BP177" i="71"/>
  <c r="BP167" i="71"/>
  <c r="BP172" i="71" s="1"/>
  <c r="BP156" i="71"/>
  <c r="BP149" i="71"/>
  <c r="BP154" i="71" s="1"/>
  <c r="EM22" i="71"/>
  <c r="EM35" i="71"/>
  <c r="EL35" i="71"/>
  <c r="EL22" i="71"/>
  <c r="EM10" i="71"/>
  <c r="EL10" i="71"/>
  <c r="EM6" i="71"/>
  <c r="EL6" i="71"/>
  <c r="EM4" i="71"/>
  <c r="EL4" i="71"/>
  <c r="BN72" i="71"/>
  <c r="EM72" i="71" s="1"/>
  <c r="BN49" i="71"/>
  <c r="BP49" i="71"/>
  <c r="BO72" i="71"/>
  <c r="EN72" i="71" s="1"/>
  <c r="BO49" i="71"/>
  <c r="BO11" i="71"/>
  <c r="BO177" i="71"/>
  <c r="BO167" i="71"/>
  <c r="BO172" i="71" s="1"/>
  <c r="BO156" i="71"/>
  <c r="BO149" i="71"/>
  <c r="BO154" i="71" s="1"/>
  <c r="BP11" i="71"/>
  <c r="BN11" i="71"/>
  <c r="EL3" i="71"/>
  <c r="BP93" i="71"/>
  <c r="BN93" i="71"/>
  <c r="BN92" i="71"/>
  <c r="BP96" i="71"/>
  <c r="BN96" i="71"/>
  <c r="BP85" i="71"/>
  <c r="BN85" i="71"/>
  <c r="BL83" i="71"/>
  <c r="BK83" i="71"/>
  <c r="BJ83" i="71"/>
  <c r="BI83" i="71"/>
  <c r="BH83" i="71"/>
  <c r="BG83" i="71"/>
  <c r="BF83" i="71"/>
  <c r="BE83" i="71"/>
  <c r="BD83" i="71"/>
  <c r="BM83" i="71"/>
  <c r="BQ82" i="71"/>
  <c r="BG82" i="71"/>
  <c r="BF82" i="71"/>
  <c r="BE82" i="71"/>
  <c r="BD82" i="71"/>
  <c r="BL82" i="71"/>
  <c r="BK82" i="71"/>
  <c r="BJ82" i="71"/>
  <c r="BI82" i="71"/>
  <c r="BH82" i="71"/>
  <c r="BM82" i="71"/>
  <c r="BP82" i="71"/>
  <c r="BO82" i="71"/>
  <c r="BQ83" i="71"/>
  <c r="BO83" i="71"/>
  <c r="BO96" i="71"/>
  <c r="BR93" i="71"/>
  <c r="BQ93" i="71"/>
  <c r="BR92" i="71"/>
  <c r="BP92" i="71"/>
  <c r="BO92" i="71"/>
  <c r="BM93" i="71"/>
  <c r="BM92" i="71"/>
  <c r="BM85" i="71"/>
  <c r="BM96" i="71"/>
  <c r="BK85" i="71"/>
  <c r="BK71" i="71"/>
  <c r="BG49" i="71"/>
  <c r="BI11" i="71"/>
  <c r="BI49" i="71" s="1"/>
  <c r="BM71" i="71"/>
  <c r="BO85" i="71"/>
  <c r="BQ85" i="71"/>
  <c r="BQ92" i="71"/>
  <c r="BQ96" i="71"/>
  <c r="BO93" i="71"/>
  <c r="BM49" i="71"/>
  <c r="BM11" i="71"/>
  <c r="BL96" i="71"/>
  <c r="BK96" i="71"/>
  <c r="BL93" i="71"/>
  <c r="BK93" i="71"/>
  <c r="BL92" i="71"/>
  <c r="BK92" i="71"/>
  <c r="EK3" i="71"/>
  <c r="EJ3" i="71"/>
  <c r="BL74" i="71"/>
  <c r="EM74" i="71" s="1"/>
  <c r="BL85" i="71"/>
  <c r="BL49" i="71"/>
  <c r="BL11" i="71"/>
  <c r="BK11" i="71"/>
  <c r="EL77" i="71"/>
  <c r="EL68" i="71"/>
  <c r="EL67" i="71"/>
  <c r="EL131" i="71"/>
  <c r="EM68" i="71"/>
  <c r="BR82" i="71"/>
  <c r="BN82" i="71"/>
  <c r="BN83" i="71"/>
  <c r="BR83" i="71"/>
  <c r="BJ120" i="71"/>
  <c r="BJ74" i="71"/>
  <c r="EL74" i="71" s="1"/>
  <c r="BJ71" i="71"/>
  <c r="BJ96" i="71"/>
  <c r="BJ95" i="71"/>
  <c r="BJ94" i="71"/>
  <c r="BJ93" i="71"/>
  <c r="BJ92" i="71"/>
  <c r="BJ85" i="71"/>
  <c r="BJ49" i="71"/>
  <c r="BJ106" i="71" s="1"/>
  <c r="BF49" i="71"/>
  <c r="BF106" i="71" s="1"/>
  <c r="EK63" i="71"/>
  <c r="EK120" i="71" s="1"/>
  <c r="EK232" i="71" s="1"/>
  <c r="EK61" i="71"/>
  <c r="EK60" i="71"/>
  <c r="EK59" i="71"/>
  <c r="EK56" i="71"/>
  <c r="EK55" i="71"/>
  <c r="EK54" i="71"/>
  <c r="EK50" i="71"/>
  <c r="EK18" i="71"/>
  <c r="EK17" i="71"/>
  <c r="EK16" i="71"/>
  <c r="EK36" i="71"/>
  <c r="EK15" i="71"/>
  <c r="EK12" i="71"/>
  <c r="EK22" i="71"/>
  <c r="EK35" i="71"/>
  <c r="EK11" i="71"/>
  <c r="EK10" i="71"/>
  <c r="EK9" i="71"/>
  <c r="EL63" i="71"/>
  <c r="EL120" i="71" s="1"/>
  <c r="EL232" i="71" s="1"/>
  <c r="EL60" i="71"/>
  <c r="EL59" i="71"/>
  <c r="EL56" i="71"/>
  <c r="EM95" i="71" s="1"/>
  <c r="EL55" i="71"/>
  <c r="EM94" i="71" s="1"/>
  <c r="EL54" i="71"/>
  <c r="EL50" i="71"/>
  <c r="EL23" i="71"/>
  <c r="EL39" i="71"/>
  <c r="EL18" i="71"/>
  <c r="EL17" i="71"/>
  <c r="EL16" i="71"/>
  <c r="EL36" i="71"/>
  <c r="EL15" i="71"/>
  <c r="EL12" i="71"/>
  <c r="EL9" i="71"/>
  <c r="BE186" i="71"/>
  <c r="BD186" i="71"/>
  <c r="BH215" i="71"/>
  <c r="BI215" i="71" s="1"/>
  <c r="BH214" i="71"/>
  <c r="BI214" i="71" s="1"/>
  <c r="BH208" i="71"/>
  <c r="BI208" i="71" s="1"/>
  <c r="BH203" i="71"/>
  <c r="BI203" i="71" s="1"/>
  <c r="BH202" i="71"/>
  <c r="BI202" i="71" s="1"/>
  <c r="BH201" i="71"/>
  <c r="BI201" i="71" s="1"/>
  <c r="BH200" i="71"/>
  <c r="BI200" i="71" s="1"/>
  <c r="BH199" i="71"/>
  <c r="BI199" i="71" s="1"/>
  <c r="BH198" i="71"/>
  <c r="BI198" i="71" s="1"/>
  <c r="BH197" i="71"/>
  <c r="BI197" i="71" s="1"/>
  <c r="BH194" i="71"/>
  <c r="BI194" i="71" s="1"/>
  <c r="BH193" i="71"/>
  <c r="BI193" i="71" s="1"/>
  <c r="BH192" i="71"/>
  <c r="BI192" i="71" s="1"/>
  <c r="BH187" i="71"/>
  <c r="BH167" i="71"/>
  <c r="BH172" i="71" s="1"/>
  <c r="BH156" i="71"/>
  <c r="BH149" i="71"/>
  <c r="BH145" i="71" s="1"/>
  <c r="BH177" i="71"/>
  <c r="BH180" i="71" s="1"/>
  <c r="BD208" i="71"/>
  <c r="BE208" i="71" s="1"/>
  <c r="BF208" i="71" s="1"/>
  <c r="BG206" i="71"/>
  <c r="BH206" i="71" s="1"/>
  <c r="BG204" i="71"/>
  <c r="BC188" i="71"/>
  <c r="BF187" i="71"/>
  <c r="BG167" i="71"/>
  <c r="BG172" i="71" s="1"/>
  <c r="BG156" i="71"/>
  <c r="BG149" i="71"/>
  <c r="BG177" i="71"/>
  <c r="BI156" i="71"/>
  <c r="BI149" i="71"/>
  <c r="BI145" i="71" s="1"/>
  <c r="BI177" i="71"/>
  <c r="BI167" i="71"/>
  <c r="BI172" i="71" s="1"/>
  <c r="BI120" i="71"/>
  <c r="BH120" i="71"/>
  <c r="BH113" i="71"/>
  <c r="BI96" i="71"/>
  <c r="BI95" i="71"/>
  <c r="BI94" i="71"/>
  <c r="BI93" i="71"/>
  <c r="BI92" i="71"/>
  <c r="BI85" i="71"/>
  <c r="BH92" i="71"/>
  <c r="BH85" i="71"/>
  <c r="BI71" i="71"/>
  <c r="BH49" i="71"/>
  <c r="BH106" i="71" s="1"/>
  <c r="BR85" i="71"/>
  <c r="BH96" i="71"/>
  <c r="BH95" i="71"/>
  <c r="BH94" i="71"/>
  <c r="BH93" i="71"/>
  <c r="BH71" i="71"/>
  <c r="BG71" i="71"/>
  <c r="BG120" i="71"/>
  <c r="BG96" i="71"/>
  <c r="BG95" i="71"/>
  <c r="BG94" i="71"/>
  <c r="BG93" i="71"/>
  <c r="BG92" i="71"/>
  <c r="BG85" i="71"/>
  <c r="BE120" i="71"/>
  <c r="BF120" i="71"/>
  <c r="BD120" i="71"/>
  <c r="BC120" i="71"/>
  <c r="BC122" i="71" s="1"/>
  <c r="BE113" i="71"/>
  <c r="BF113" i="71"/>
  <c r="BD113" i="71"/>
  <c r="BC113" i="71"/>
  <c r="BC115" i="71" s="1"/>
  <c r="BF177" i="71"/>
  <c r="BF180" i="71" s="1"/>
  <c r="BF167" i="71"/>
  <c r="BF172" i="71" s="1"/>
  <c r="BF156" i="71"/>
  <c r="BF149" i="71"/>
  <c r="BF145" i="71" s="1"/>
  <c r="BF96" i="71"/>
  <c r="BF95" i="71"/>
  <c r="BF94" i="71"/>
  <c r="BF93" i="71"/>
  <c r="BF92" i="71"/>
  <c r="BF85" i="71"/>
  <c r="BF74" i="71"/>
  <c r="BF72" i="71"/>
  <c r="EI11" i="71"/>
  <c r="EI9" i="71"/>
  <c r="L62" i="9"/>
  <c r="L76" i="9"/>
  <c r="BL61" i="9"/>
  <c r="O61" i="9"/>
  <c r="BL60" i="9"/>
  <c r="O60" i="9"/>
  <c r="BL59" i="9"/>
  <c r="BL64" i="9"/>
  <c r="N61" i="9"/>
  <c r="N60" i="9"/>
  <c r="N59" i="9"/>
  <c r="M59" i="9"/>
  <c r="N64" i="9"/>
  <c r="M61" i="9"/>
  <c r="M60" i="9"/>
  <c r="BH65" i="9"/>
  <c r="BH64" i="9"/>
  <c r="BH62" i="9"/>
  <c r="BH68" i="9"/>
  <c r="BI65" i="9"/>
  <c r="BI64" i="9"/>
  <c r="BI62" i="9"/>
  <c r="BI68" i="9"/>
  <c r="BJ62" i="9"/>
  <c r="BF62" i="9"/>
  <c r="BJ66" i="9"/>
  <c r="BJ65" i="9"/>
  <c r="BJ64" i="9"/>
  <c r="BJ68" i="9"/>
  <c r="BF65" i="9"/>
  <c r="BF64" i="9"/>
  <c r="BF68" i="9"/>
  <c r="BK65" i="9"/>
  <c r="BK64" i="9"/>
  <c r="BG65" i="9"/>
  <c r="BG64" i="9"/>
  <c r="AZ65" i="9"/>
  <c r="AZ64" i="9"/>
  <c r="BK62" i="9"/>
  <c r="BK68" i="9"/>
  <c r="BG62" i="9"/>
  <c r="BG68" i="9"/>
  <c r="AW24" i="22"/>
  <c r="AW23" i="22"/>
  <c r="AW22" i="22"/>
  <c r="G50" i="22"/>
  <c r="AS23" i="22"/>
  <c r="AX22" i="22"/>
  <c r="AV22" i="22"/>
  <c r="AX18" i="22"/>
  <c r="AW18" i="22"/>
  <c r="AV18" i="22"/>
  <c r="AX15" i="22"/>
  <c r="AW15" i="22"/>
  <c r="AV15" i="22"/>
  <c r="AX3" i="22"/>
  <c r="AW3" i="22"/>
  <c r="AW45" i="22"/>
  <c r="AV3" i="22"/>
  <c r="AV45" i="22"/>
  <c r="AX12" i="22"/>
  <c r="AW12" i="22"/>
  <c r="AW48" i="22"/>
  <c r="AV12" i="22"/>
  <c r="AV48" i="22"/>
  <c r="AX9" i="22"/>
  <c r="AW9" i="22"/>
  <c r="AV9" i="22"/>
  <c r="AV47" i="22"/>
  <c r="AX6" i="22"/>
  <c r="AW6" i="22"/>
  <c r="AV6" i="22"/>
  <c r="AU6" i="22"/>
  <c r="AU46" i="22"/>
  <c r="F3" i="22"/>
  <c r="F45" i="22"/>
  <c r="N62" i="9"/>
  <c r="N76" i="9"/>
  <c r="O59" i="9"/>
  <c r="M62" i="9"/>
  <c r="AW49" i="22"/>
  <c r="G48" i="22"/>
  <c r="W48" i="22"/>
  <c r="I49" i="22"/>
  <c r="O65" i="9"/>
  <c r="AV50" i="22"/>
  <c r="J48" i="22"/>
  <c r="R48" i="22"/>
  <c r="Z48" i="22"/>
  <c r="AV46" i="22"/>
  <c r="AW47" i="22"/>
  <c r="AW50" i="22"/>
  <c r="G46" i="22"/>
  <c r="I47" i="22"/>
  <c r="C48" i="22"/>
  <c r="K48" i="22"/>
  <c r="S48" i="22"/>
  <c r="AA48" i="22"/>
  <c r="M76" i="9"/>
  <c r="O64" i="9"/>
  <c r="BL62" i="9"/>
  <c r="O62" i="9"/>
  <c r="O76" i="9"/>
  <c r="I50" i="22"/>
  <c r="G49" i="22"/>
  <c r="AC48" i="22"/>
  <c r="Y48" i="22"/>
  <c r="U48" i="22"/>
  <c r="Q48" i="22"/>
  <c r="M48" i="22"/>
  <c r="I48" i="22"/>
  <c r="E48" i="22"/>
  <c r="G47" i="22"/>
  <c r="I46" i="22"/>
  <c r="G45" i="22"/>
  <c r="H50" i="22"/>
  <c r="J49" i="22"/>
  <c r="AB48" i="22"/>
  <c r="X48" i="22"/>
  <c r="T48" i="22"/>
  <c r="P48" i="22"/>
  <c r="L48" i="22"/>
  <c r="H48" i="22"/>
  <c r="D48" i="22"/>
  <c r="J47" i="22"/>
  <c r="H46" i="22"/>
  <c r="J45" i="22"/>
  <c r="I45" i="22"/>
  <c r="O48" i="22"/>
  <c r="H47" i="22"/>
  <c r="AW46" i="22"/>
  <c r="H45" i="22"/>
  <c r="J46" i="22"/>
  <c r="F48" i="22"/>
  <c r="N48" i="22"/>
  <c r="V48" i="22"/>
  <c r="AD48" i="22"/>
  <c r="H49" i="22"/>
  <c r="AV49" i="22"/>
  <c r="J50" i="22"/>
  <c r="BK66" i="9"/>
  <c r="N65" i="9"/>
  <c r="BL65" i="9"/>
  <c r="BE177" i="71"/>
  <c r="BE180" i="71" s="1"/>
  <c r="BL66" i="9"/>
  <c r="BL68" i="9"/>
  <c r="EK71" i="71"/>
  <c r="EK77" i="71"/>
  <c r="EK240" i="71" s="1"/>
  <c r="EK68" i="71"/>
  <c r="EK67" i="71"/>
  <c r="BD215" i="71"/>
  <c r="BE215" i="71" s="1"/>
  <c r="BF215" i="71" s="1"/>
  <c r="BD214" i="71"/>
  <c r="BE214" i="71" s="1"/>
  <c r="BF214" i="71" s="1"/>
  <c r="BD206" i="71"/>
  <c r="BD188" i="71" s="1"/>
  <c r="BD203" i="71"/>
  <c r="BE203" i="71" s="1"/>
  <c r="BF203" i="71" s="1"/>
  <c r="BD202" i="71"/>
  <c r="BE202" i="71" s="1"/>
  <c r="BF202" i="71" s="1"/>
  <c r="BD201" i="71"/>
  <c r="BE201" i="71" s="1"/>
  <c r="BF201" i="71" s="1"/>
  <c r="BD200" i="71"/>
  <c r="BE200" i="71" s="1"/>
  <c r="BF200" i="71" s="1"/>
  <c r="BD199" i="71"/>
  <c r="BE199" i="71" s="1"/>
  <c r="BF199" i="71" s="1"/>
  <c r="BD198" i="71"/>
  <c r="BE198" i="71" s="1"/>
  <c r="BF198" i="71" s="1"/>
  <c r="BD197" i="71"/>
  <c r="BE197" i="71" s="1"/>
  <c r="BF197" i="71" s="1"/>
  <c r="BD195" i="71"/>
  <c r="BE195" i="71" s="1"/>
  <c r="BF195" i="71" s="1"/>
  <c r="BD194" i="71"/>
  <c r="BE194" i="71" s="1"/>
  <c r="BF194" i="71" s="1"/>
  <c r="BD193" i="71"/>
  <c r="BE193" i="71" s="1"/>
  <c r="BF193" i="71" s="1"/>
  <c r="BD192" i="71"/>
  <c r="BE192" i="71" s="1"/>
  <c r="AT180" i="71"/>
  <c r="AU180" i="71"/>
  <c r="AV180" i="71"/>
  <c r="AW180" i="71"/>
  <c r="AX180" i="71"/>
  <c r="AY180" i="71"/>
  <c r="AZ180" i="71"/>
  <c r="BA180" i="71"/>
  <c r="BB180" i="71"/>
  <c r="BC180" i="71"/>
  <c r="BD180" i="71"/>
  <c r="BD156" i="71"/>
  <c r="BD149" i="71"/>
  <c r="BD145" i="71" s="1"/>
  <c r="BD167" i="71"/>
  <c r="BD172" i="71" s="1"/>
  <c r="BD178" i="71" s="1"/>
  <c r="BE167" i="71"/>
  <c r="BE172" i="71" s="1"/>
  <c r="BE156" i="71"/>
  <c r="BE149" i="71"/>
  <c r="BE154" i="71" s="1"/>
  <c r="BE96" i="71"/>
  <c r="BE95" i="71"/>
  <c r="BE94" i="71"/>
  <c r="BE93" i="71"/>
  <c r="BE92" i="71"/>
  <c r="BE85" i="71"/>
  <c r="BE49" i="71"/>
  <c r="BE106" i="71" s="1"/>
  <c r="S15" i="74"/>
  <c r="S16" i="74"/>
  <c r="BD74" i="71"/>
  <c r="AH93" i="71"/>
  <c r="AG93" i="71"/>
  <c r="AF93" i="71"/>
  <c r="AE93" i="71"/>
  <c r="AO93" i="71"/>
  <c r="AN93" i="71"/>
  <c r="AM93" i="71"/>
  <c r="AL93" i="71"/>
  <c r="AK93" i="71"/>
  <c r="AJ93" i="71"/>
  <c r="AI93" i="71"/>
  <c r="AW93" i="71"/>
  <c r="AV93" i="71"/>
  <c r="AU93" i="71"/>
  <c r="AT93" i="71"/>
  <c r="AS93" i="71"/>
  <c r="AR93" i="71"/>
  <c r="AQ93" i="71"/>
  <c r="AP93" i="71"/>
  <c r="BD49" i="71"/>
  <c r="BD106" i="71" s="1"/>
  <c r="BC85" i="71"/>
  <c r="EL237" i="71"/>
  <c r="EK237" i="71"/>
  <c r="EJ237" i="71"/>
  <c r="EI237" i="71"/>
  <c r="EH237" i="71"/>
  <c r="EG237" i="71"/>
  <c r="EF237" i="71"/>
  <c r="EE237" i="71"/>
  <c r="ED237" i="71"/>
  <c r="EC237" i="71"/>
  <c r="EB237" i="71"/>
  <c r="EA237" i="71"/>
  <c r="DZ237" i="71"/>
  <c r="DY237" i="71"/>
  <c r="DX237" i="71"/>
  <c r="DW237" i="71"/>
  <c r="DV237" i="71"/>
  <c r="DU237" i="71"/>
  <c r="DT237" i="71"/>
  <c r="DS237" i="71"/>
  <c r="DR237" i="71"/>
  <c r="DQ237" i="71"/>
  <c r="EG240" i="71"/>
  <c r="EB240" i="71"/>
  <c r="S14" i="74"/>
  <c r="S13" i="74"/>
  <c r="S12" i="74"/>
  <c r="S11" i="74"/>
  <c r="S10" i="74"/>
  <c r="S9" i="74"/>
  <c r="S8" i="74"/>
  <c r="S7" i="74"/>
  <c r="S6" i="74"/>
  <c r="S5" i="74"/>
  <c r="BD95" i="71"/>
  <c r="BD93" i="71"/>
  <c r="BD85" i="71"/>
  <c r="BD96" i="71"/>
  <c r="BD94" i="71"/>
  <c r="BD92" i="71"/>
  <c r="BC261" i="71"/>
  <c r="BB261" i="71"/>
  <c r="BA261" i="71"/>
  <c r="AZ261" i="71"/>
  <c r="AY261" i="71"/>
  <c r="AX261" i="71"/>
  <c r="AW261" i="71"/>
  <c r="AV261" i="71"/>
  <c r="AU261" i="71"/>
  <c r="AY265" i="71"/>
  <c r="AX265" i="71"/>
  <c r="AU265" i="71"/>
  <c r="AT265" i="71"/>
  <c r="AS265" i="71"/>
  <c r="AR265" i="71"/>
  <c r="AQ265" i="71"/>
  <c r="BC265" i="71"/>
  <c r="AU260" i="71"/>
  <c r="AV260" i="71"/>
  <c r="AW260" i="71"/>
  <c r="AX260" i="71"/>
  <c r="BC260" i="71"/>
  <c r="BB260" i="71"/>
  <c r="BA260" i="71"/>
  <c r="AZ260" i="71"/>
  <c r="AY260" i="71"/>
  <c r="BD260" i="71"/>
  <c r="AY188" i="71"/>
  <c r="BC204" i="71"/>
  <c r="BC221" i="71" s="1"/>
  <c r="BC156" i="71"/>
  <c r="BC149" i="71"/>
  <c r="BC145" i="71" s="1"/>
  <c r="BC167" i="71"/>
  <c r="BC172" i="71" s="1"/>
  <c r="BC178" i="71" s="1"/>
  <c r="BC95" i="71"/>
  <c r="BC94" i="71"/>
  <c r="AU37" i="22"/>
  <c r="AU36" i="22"/>
  <c r="AU34" i="22"/>
  <c r="AU33" i="22"/>
  <c r="AU31" i="22"/>
  <c r="AU30" i="22"/>
  <c r="AU28" i="22"/>
  <c r="AU27" i="22"/>
  <c r="AU24" i="22"/>
  <c r="AU23" i="22"/>
  <c r="AU18" i="22"/>
  <c r="AU50" i="22"/>
  <c r="AU15" i="22"/>
  <c r="AU49" i="22"/>
  <c r="AU12" i="22"/>
  <c r="AU48" i="22"/>
  <c r="AU9" i="22"/>
  <c r="AQ6" i="22"/>
  <c r="AU26" i="22"/>
  <c r="AU3" i="22"/>
  <c r="AU45" i="22"/>
  <c r="AT4" i="22"/>
  <c r="BC74" i="71"/>
  <c r="BC72" i="71"/>
  <c r="BC96" i="71"/>
  <c r="BC93" i="71"/>
  <c r="BC92" i="71"/>
  <c r="BC49" i="71"/>
  <c r="BC106" i="71" s="1"/>
  <c r="AZ192" i="71"/>
  <c r="BA192" i="71" s="1"/>
  <c r="BB192" i="71" s="1"/>
  <c r="AY204" i="71"/>
  <c r="AY221" i="71" s="1"/>
  <c r="BB156" i="71"/>
  <c r="BB149" i="71"/>
  <c r="BB154" i="71" s="1"/>
  <c r="BB167" i="71"/>
  <c r="BB172" i="71" s="1"/>
  <c r="BB178" i="71" s="1"/>
  <c r="BA156" i="71"/>
  <c r="BA149" i="71"/>
  <c r="BA145" i="71" s="1"/>
  <c r="BA167" i="71"/>
  <c r="BA172" i="71" s="1"/>
  <c r="BA178" i="71" s="1"/>
  <c r="EI144" i="71"/>
  <c r="EH144" i="71"/>
  <c r="EJ144" i="71"/>
  <c r="EJ167" i="71"/>
  <c r="EJ172" i="71" s="1"/>
  <c r="EJ156" i="71"/>
  <c r="EJ149" i="71"/>
  <c r="EJ145" i="71" s="1"/>
  <c r="EH131" i="71"/>
  <c r="EI131" i="71"/>
  <c r="EJ131" i="71"/>
  <c r="EJ63" i="71"/>
  <c r="EJ120" i="71" s="1"/>
  <c r="EJ61" i="71"/>
  <c r="EJ60" i="71"/>
  <c r="EJ59" i="71"/>
  <c r="EJ56" i="71"/>
  <c r="EJ55" i="71"/>
  <c r="EJ54" i="71"/>
  <c r="EJ50" i="71"/>
  <c r="BB74" i="71"/>
  <c r="BB72" i="71"/>
  <c r="BB65" i="71"/>
  <c r="BB96" i="71"/>
  <c r="BB95" i="71"/>
  <c r="BB94" i="71"/>
  <c r="BB93" i="71"/>
  <c r="BB92" i="71"/>
  <c r="BB85" i="71"/>
  <c r="BB49" i="71"/>
  <c r="BB64" i="71" s="1"/>
  <c r="BA96" i="71"/>
  <c r="BA95" i="71"/>
  <c r="BA94" i="71"/>
  <c r="BA93" i="71"/>
  <c r="BA92" i="71"/>
  <c r="BA85" i="71"/>
  <c r="BA49" i="71"/>
  <c r="BA64" i="71" s="1"/>
  <c r="BA99" i="71" s="1"/>
  <c r="C55" i="29"/>
  <c r="C56" i="29"/>
  <c r="C57" i="29"/>
  <c r="C58" i="29"/>
  <c r="C59" i="29"/>
  <c r="C60" i="29"/>
  <c r="C61" i="29"/>
  <c r="C62" i="29"/>
  <c r="AZ96" i="71"/>
  <c r="AZ95" i="71"/>
  <c r="AZ94" i="71"/>
  <c r="AZ93" i="71"/>
  <c r="AZ92" i="71"/>
  <c r="AY92" i="71"/>
  <c r="AX92" i="71"/>
  <c r="AY93" i="71"/>
  <c r="AX93" i="71"/>
  <c r="EJ9" i="71"/>
  <c r="AE4" i="40"/>
  <c r="AD4" i="40"/>
  <c r="K4" i="40"/>
  <c r="AC4" i="40"/>
  <c r="G4" i="40"/>
  <c r="AB4" i="40"/>
  <c r="AE3" i="40"/>
  <c r="AD3" i="40"/>
  <c r="AC3" i="40"/>
  <c r="AB3" i="40"/>
  <c r="AZ215" i="71"/>
  <c r="BA215" i="71" s="1"/>
  <c r="BB215" i="71" s="1"/>
  <c r="AZ214" i="71"/>
  <c r="BA214" i="71" s="1"/>
  <c r="BB214" i="71" s="1"/>
  <c r="AZ208" i="71"/>
  <c r="BA208" i="71" s="1"/>
  <c r="BB208" i="71" s="1"/>
  <c r="AZ206" i="71"/>
  <c r="BA206" i="71" s="1"/>
  <c r="BB206" i="71" s="1"/>
  <c r="BB188" i="71" s="1"/>
  <c r="AZ203" i="71"/>
  <c r="BA203" i="71" s="1"/>
  <c r="BB203" i="71" s="1"/>
  <c r="AZ202" i="71"/>
  <c r="BA202" i="71" s="1"/>
  <c r="BB202" i="71" s="1"/>
  <c r="AZ201" i="71"/>
  <c r="BA201" i="71" s="1"/>
  <c r="BB201" i="71" s="1"/>
  <c r="AZ200" i="71"/>
  <c r="AZ199" i="71"/>
  <c r="BA199" i="71" s="1"/>
  <c r="BB199" i="71" s="1"/>
  <c r="AZ198" i="71"/>
  <c r="BA198" i="71" s="1"/>
  <c r="BB198" i="71" s="1"/>
  <c r="AZ197" i="71"/>
  <c r="BA197" i="71" s="1"/>
  <c r="BB197" i="71" s="1"/>
  <c r="AZ194" i="71"/>
  <c r="BA194" i="71" s="1"/>
  <c r="AZ193" i="71"/>
  <c r="BA193" i="71" s="1"/>
  <c r="BB193" i="71" s="1"/>
  <c r="AZ167" i="71"/>
  <c r="AZ172" i="71" s="1"/>
  <c r="AZ178" i="71" s="1"/>
  <c r="AZ156" i="71"/>
  <c r="AZ149" i="71"/>
  <c r="AZ145" i="71" s="1"/>
  <c r="AS208" i="71"/>
  <c r="AT208" i="71" s="1"/>
  <c r="AR215" i="71"/>
  <c r="AS215" i="71" s="1"/>
  <c r="AT215" i="71" s="1"/>
  <c r="AR214" i="71"/>
  <c r="AS214" i="71" s="1"/>
  <c r="AT214" i="71" s="1"/>
  <c r="AU208" i="71"/>
  <c r="AV208" i="71" s="1"/>
  <c r="AW208" i="71" s="1"/>
  <c r="AX208" i="71" s="1"/>
  <c r="AV215" i="71"/>
  <c r="AW215" i="71" s="1"/>
  <c r="AX215" i="71" s="1"/>
  <c r="AV214" i="71"/>
  <c r="AW214" i="71" s="1"/>
  <c r="AX214" i="71" s="1"/>
  <c r="AV187" i="71"/>
  <c r="AW187" i="71" s="1"/>
  <c r="AX187" i="71" s="1"/>
  <c r="AY149" i="71"/>
  <c r="AY154" i="71" s="1"/>
  <c r="AW167" i="71"/>
  <c r="AW172" i="71" s="1"/>
  <c r="AW178" i="71" s="1"/>
  <c r="AW156" i="71"/>
  <c r="AW149" i="71"/>
  <c r="AW145" i="71" s="1"/>
  <c r="AX156" i="71"/>
  <c r="AX149" i="71"/>
  <c r="AX145" i="71" s="1"/>
  <c r="AX167" i="71"/>
  <c r="AX172" i="71" s="1"/>
  <c r="AX178" i="71" s="1"/>
  <c r="AY167" i="71"/>
  <c r="AY172" i="71" s="1"/>
  <c r="AY178" i="71" s="1"/>
  <c r="AY156" i="71"/>
  <c r="EG149" i="71"/>
  <c r="EG154" i="71" s="1"/>
  <c r="AM149" i="71"/>
  <c r="AM154" i="71" s="1"/>
  <c r="BB120" i="71"/>
  <c r="BA120" i="71"/>
  <c r="EJ71" i="71"/>
  <c r="AZ49" i="71"/>
  <c r="AZ64" i="71" s="1"/>
  <c r="AZ66" i="71" s="1"/>
  <c r="AZ98" i="71" s="1"/>
  <c r="BG14" i="22"/>
  <c r="BG13" i="22"/>
  <c r="BG12" i="22"/>
  <c r="BH14" i="22"/>
  <c r="BH13" i="22"/>
  <c r="BA5" i="22"/>
  <c r="BA4" i="22"/>
  <c r="BA3" i="22"/>
  <c r="BB16" i="22"/>
  <c r="BB17" i="22"/>
  <c r="BA17" i="22"/>
  <c r="BA16" i="22"/>
  <c r="AZ16" i="22"/>
  <c r="BA36" i="22"/>
  <c r="AZ17" i="22"/>
  <c r="F15" i="22"/>
  <c r="E15" i="22"/>
  <c r="E49" i="22"/>
  <c r="D15" i="22"/>
  <c r="D49" i="22"/>
  <c r="C15" i="22"/>
  <c r="C49" i="22"/>
  <c r="BA11" i="22"/>
  <c r="BA10" i="22"/>
  <c r="BG8" i="22"/>
  <c r="BH8" i="22"/>
  <c r="BH28" i="22"/>
  <c r="BH7" i="22"/>
  <c r="BG7" i="22"/>
  <c r="BF7" i="22"/>
  <c r="BF8" i="22"/>
  <c r="BE8" i="22"/>
  <c r="BE7" i="22"/>
  <c r="BD8" i="22"/>
  <c r="BD7" i="22"/>
  <c r="BC8" i="22"/>
  <c r="BC7" i="22"/>
  <c r="BB8" i="22"/>
  <c r="BB7" i="22"/>
  <c r="BA8" i="22"/>
  <c r="BA7" i="22"/>
  <c r="BB27" i="22"/>
  <c r="C8" i="22"/>
  <c r="G28" i="22"/>
  <c r="C7" i="22"/>
  <c r="BI5" i="22"/>
  <c r="BH5" i="22"/>
  <c r="BG5" i="22"/>
  <c r="AT20" i="22"/>
  <c r="AT19" i="22"/>
  <c r="AS37" i="22"/>
  <c r="AT14" i="22"/>
  <c r="AS31" i="22"/>
  <c r="AS30" i="22"/>
  <c r="AR27" i="22"/>
  <c r="AS34" i="22"/>
  <c r="AR33" i="22"/>
  <c r="BI20" i="22"/>
  <c r="BI19" i="22"/>
  <c r="BI17" i="22"/>
  <c r="BI16" i="22"/>
  <c r="BI14" i="22"/>
  <c r="BI13" i="22"/>
  <c r="BI11" i="22"/>
  <c r="BI10" i="22"/>
  <c r="BI9" i="22"/>
  <c r="BI8" i="22"/>
  <c r="BI28" i="22"/>
  <c r="BI7" i="22"/>
  <c r="BI27" i="22"/>
  <c r="BI4" i="22"/>
  <c r="BH4" i="22"/>
  <c r="AQ37" i="22"/>
  <c r="AQ36" i="22"/>
  <c r="AQ34" i="22"/>
  <c r="AQ33" i="22"/>
  <c r="AQ31" i="22"/>
  <c r="AQ30" i="22"/>
  <c r="AQ28" i="22"/>
  <c r="AQ27" i="22"/>
  <c r="AQ24" i="22"/>
  <c r="AQ23" i="22"/>
  <c r="AQ18" i="22"/>
  <c r="AQ50" i="22"/>
  <c r="AQ15" i="22"/>
  <c r="AQ12" i="22"/>
  <c r="AQ48" i="22"/>
  <c r="AQ9" i="22"/>
  <c r="AQ47" i="22"/>
  <c r="AQ46" i="22"/>
  <c r="AQ3" i="22"/>
  <c r="AQ45" i="22"/>
  <c r="AP3" i="22"/>
  <c r="AP45" i="22"/>
  <c r="AZ120" i="71"/>
  <c r="AZ256" i="71" s="1"/>
  <c r="AZ113" i="71"/>
  <c r="DY17" i="71"/>
  <c r="DW35" i="71"/>
  <c r="DV35" i="71"/>
  <c r="D70" i="40"/>
  <c r="E70" i="40"/>
  <c r="F70" i="40"/>
  <c r="G70" i="40"/>
  <c r="H70" i="40"/>
  <c r="I70" i="40"/>
  <c r="J70" i="40"/>
  <c r="K70" i="40"/>
  <c r="L70" i="40"/>
  <c r="M70" i="40"/>
  <c r="N70" i="40"/>
  <c r="O70" i="40"/>
  <c r="P70" i="40"/>
  <c r="Q70" i="40"/>
  <c r="C71" i="40"/>
  <c r="D72" i="40"/>
  <c r="L75" i="40"/>
  <c r="M75" i="40"/>
  <c r="K76" i="40"/>
  <c r="K75" i="40"/>
  <c r="N77" i="40"/>
  <c r="N75" i="40"/>
  <c r="C79" i="40"/>
  <c r="D79" i="40"/>
  <c r="E79" i="40"/>
  <c r="F79" i="40"/>
  <c r="G79" i="40"/>
  <c r="L79" i="40"/>
  <c r="M79" i="40"/>
  <c r="O80" i="40"/>
  <c r="P80" i="40"/>
  <c r="N81" i="40"/>
  <c r="N79" i="40"/>
  <c r="C60" i="42"/>
  <c r="D60" i="42" s="1"/>
  <c r="E60" i="42" s="1"/>
  <c r="F60" i="42" s="1"/>
  <c r="G60" i="42" s="1"/>
  <c r="H60" i="42" s="1"/>
  <c r="I60" i="42" s="1"/>
  <c r="J60" i="42" s="1"/>
  <c r="K60" i="42" s="1"/>
  <c r="L60" i="42" s="1"/>
  <c r="M60" i="42" s="1"/>
  <c r="N60" i="42" s="1"/>
  <c r="O60" i="42" s="1"/>
  <c r="P60" i="42" s="1"/>
  <c r="B62" i="42"/>
  <c r="C62" i="42"/>
  <c r="D62" i="42"/>
  <c r="E62" i="42"/>
  <c r="G62" i="42"/>
  <c r="H62" i="42"/>
  <c r="I62" i="42"/>
  <c r="N62" i="42"/>
  <c r="O62" i="42"/>
  <c r="AD62" i="42" s="1"/>
  <c r="P62" i="42"/>
  <c r="J63" i="42"/>
  <c r="J75" i="42" s="1"/>
  <c r="K63" i="42"/>
  <c r="K62" i="42" s="1"/>
  <c r="L63" i="42"/>
  <c r="AB63" i="42" s="1"/>
  <c r="R63" i="42"/>
  <c r="S63" i="42"/>
  <c r="T63" i="42"/>
  <c r="U63" i="42"/>
  <c r="V63" i="42"/>
  <c r="W63" i="42"/>
  <c r="X63" i="42"/>
  <c r="AC63" i="42"/>
  <c r="AD63" i="42"/>
  <c r="AE63" i="42"/>
  <c r="F64" i="42"/>
  <c r="V64" i="42" s="1"/>
  <c r="L64" i="42"/>
  <c r="M64" i="42" s="1"/>
  <c r="R64" i="42"/>
  <c r="S64" i="42"/>
  <c r="T64" i="42"/>
  <c r="W64" i="42"/>
  <c r="X64" i="42"/>
  <c r="Y64" i="42"/>
  <c r="Z64" i="42"/>
  <c r="AD64" i="42"/>
  <c r="AE64" i="42"/>
  <c r="B65" i="42"/>
  <c r="C65" i="42"/>
  <c r="D65" i="42"/>
  <c r="S65" i="42" s="1"/>
  <c r="E65" i="42"/>
  <c r="F65" i="42"/>
  <c r="G65" i="42"/>
  <c r="H65" i="42"/>
  <c r="W65" i="42" s="1"/>
  <c r="I65" i="42"/>
  <c r="J65" i="42"/>
  <c r="K65" i="42"/>
  <c r="L65" i="42"/>
  <c r="M65" i="42"/>
  <c r="N65" i="42"/>
  <c r="O65" i="42"/>
  <c r="P65" i="42"/>
  <c r="AE65" i="42" s="1"/>
  <c r="R66" i="42"/>
  <c r="S66" i="42"/>
  <c r="T66" i="42"/>
  <c r="U66" i="42"/>
  <c r="V66" i="42"/>
  <c r="W66" i="42"/>
  <c r="X66" i="42"/>
  <c r="Y66" i="42"/>
  <c r="Z66" i="42"/>
  <c r="AA66" i="42"/>
  <c r="AB66" i="42"/>
  <c r="AC66" i="42"/>
  <c r="AD66" i="42"/>
  <c r="AE66" i="42"/>
  <c r="R67" i="42"/>
  <c r="S67" i="42"/>
  <c r="T67" i="42"/>
  <c r="U67" i="42"/>
  <c r="V67" i="42"/>
  <c r="W67" i="42"/>
  <c r="X67" i="42"/>
  <c r="Y67" i="42"/>
  <c r="Z67" i="42"/>
  <c r="AA67" i="42"/>
  <c r="AB67" i="42"/>
  <c r="AC67" i="42"/>
  <c r="AD67" i="42"/>
  <c r="AE67" i="42"/>
  <c r="B68" i="42"/>
  <c r="C68" i="42"/>
  <c r="D68" i="42"/>
  <c r="E68" i="42"/>
  <c r="T68" i="42" s="1"/>
  <c r="F68" i="42"/>
  <c r="G68" i="42"/>
  <c r="V68" i="42" s="1"/>
  <c r="H68" i="42"/>
  <c r="I68" i="42"/>
  <c r="X68" i="42" s="1"/>
  <c r="J68" i="42"/>
  <c r="K68" i="42"/>
  <c r="L68" i="42"/>
  <c r="AA68" i="42" s="1"/>
  <c r="S69" i="42"/>
  <c r="T69" i="42"/>
  <c r="U69" i="42"/>
  <c r="V69" i="42"/>
  <c r="W69" i="42"/>
  <c r="X69" i="42"/>
  <c r="Y69" i="42"/>
  <c r="Z69" i="42"/>
  <c r="AA69" i="42"/>
  <c r="AB69" i="42"/>
  <c r="AC69" i="42"/>
  <c r="AD69" i="42"/>
  <c r="AE69" i="42"/>
  <c r="M70" i="42"/>
  <c r="N70" i="42" s="1"/>
  <c r="S70" i="42"/>
  <c r="T70" i="42"/>
  <c r="U70" i="42"/>
  <c r="V70" i="42"/>
  <c r="W70" i="42"/>
  <c r="X70" i="42"/>
  <c r="Y70" i="42"/>
  <c r="Z70" i="42"/>
  <c r="AA70" i="42"/>
  <c r="E71" i="42"/>
  <c r="F71" i="42"/>
  <c r="V71" i="42" s="1"/>
  <c r="G71" i="42"/>
  <c r="H71" i="42"/>
  <c r="W71" i="42" s="1"/>
  <c r="I72" i="42"/>
  <c r="J72" i="42" s="1"/>
  <c r="K72" i="42" s="1"/>
  <c r="U72" i="42"/>
  <c r="V72" i="42"/>
  <c r="W72" i="42"/>
  <c r="I73" i="42"/>
  <c r="J73" i="42" s="1"/>
  <c r="U73" i="42"/>
  <c r="V73" i="42"/>
  <c r="W73" i="42"/>
  <c r="B75" i="42"/>
  <c r="C84" i="40" s="1"/>
  <c r="C75" i="42"/>
  <c r="D84" i="40" s="1"/>
  <c r="D75" i="42"/>
  <c r="E84" i="40" s="1"/>
  <c r="E75" i="42"/>
  <c r="F84" i="40" s="1"/>
  <c r="F75" i="42"/>
  <c r="G75" i="42"/>
  <c r="H75" i="42"/>
  <c r="B76" i="42"/>
  <c r="C85" i="40" s="1"/>
  <c r="C76" i="42"/>
  <c r="D85" i="40" s="1"/>
  <c r="D76" i="42"/>
  <c r="E85" i="40" s="1"/>
  <c r="E76" i="42"/>
  <c r="F85" i="40" s="1"/>
  <c r="G76" i="42"/>
  <c r="H76" i="42"/>
  <c r="D8" i="69"/>
  <c r="E8" i="69"/>
  <c r="F8" i="69"/>
  <c r="G8" i="69"/>
  <c r="H8" i="69"/>
  <c r="I8" i="69"/>
  <c r="J8" i="69"/>
  <c r="K8" i="69"/>
  <c r="L8" i="69"/>
  <c r="M8" i="69"/>
  <c r="N8" i="69"/>
  <c r="O8" i="69"/>
  <c r="P8" i="69"/>
  <c r="Q8" i="69"/>
  <c r="C9" i="69"/>
  <c r="D9" i="69"/>
  <c r="J9" i="69"/>
  <c r="E10" i="69"/>
  <c r="E16" i="69"/>
  <c r="K10" i="69"/>
  <c r="S10" i="69"/>
  <c r="E11" i="69"/>
  <c r="E17" i="69"/>
  <c r="G11" i="69"/>
  <c r="H11" i="69"/>
  <c r="K11" i="69"/>
  <c r="L11" i="69"/>
  <c r="S11" i="69"/>
  <c r="C12" i="69"/>
  <c r="D12" i="69"/>
  <c r="E12" i="69"/>
  <c r="F12" i="69"/>
  <c r="G12" i="69"/>
  <c r="H12" i="69"/>
  <c r="I12" i="69"/>
  <c r="J12" i="69"/>
  <c r="K13" i="69"/>
  <c r="K12" i="69"/>
  <c r="S13" i="69"/>
  <c r="T13" i="69"/>
  <c r="U13" i="69"/>
  <c r="V13" i="69"/>
  <c r="W13" i="69"/>
  <c r="X13" i="69"/>
  <c r="Y13" i="69"/>
  <c r="S14" i="69"/>
  <c r="T14" i="69"/>
  <c r="U14" i="69"/>
  <c r="V14" i="69"/>
  <c r="W14" i="69"/>
  <c r="X14" i="69"/>
  <c r="Y14" i="69"/>
  <c r="Z14" i="69"/>
  <c r="C16" i="69"/>
  <c r="D16" i="69"/>
  <c r="J16" i="69"/>
  <c r="C17" i="69"/>
  <c r="D17" i="69"/>
  <c r="F17" i="69"/>
  <c r="J17" i="69"/>
  <c r="D7" i="36"/>
  <c r="E7" i="36"/>
  <c r="F7" i="36"/>
  <c r="G7" i="36"/>
  <c r="H7" i="36"/>
  <c r="I7" i="36"/>
  <c r="J7" i="36"/>
  <c r="K7" i="36"/>
  <c r="L7" i="36"/>
  <c r="M7" i="36"/>
  <c r="N7" i="36"/>
  <c r="O7" i="36"/>
  <c r="P7" i="36"/>
  <c r="Q7" i="36"/>
  <c r="C8" i="36"/>
  <c r="D8" i="36"/>
  <c r="E8" i="36"/>
  <c r="F8" i="36"/>
  <c r="D8" i="38"/>
  <c r="E8" i="38"/>
  <c r="F8" i="38"/>
  <c r="G8" i="38"/>
  <c r="H8" i="38"/>
  <c r="I8" i="38"/>
  <c r="J8" i="38"/>
  <c r="K8" i="38"/>
  <c r="L8" i="38"/>
  <c r="M8" i="38"/>
  <c r="N8" i="38"/>
  <c r="O8" i="38"/>
  <c r="P8" i="38"/>
  <c r="Q8" i="38"/>
  <c r="C9" i="38"/>
  <c r="D9" i="38"/>
  <c r="E10" i="38"/>
  <c r="F10" i="38"/>
  <c r="E11" i="38"/>
  <c r="C8" i="37"/>
  <c r="D8" i="37"/>
  <c r="E8" i="37"/>
  <c r="F8" i="37"/>
  <c r="G8" i="37"/>
  <c r="H8" i="37"/>
  <c r="I8" i="37"/>
  <c r="J8" i="37"/>
  <c r="K8" i="37"/>
  <c r="L8" i="37"/>
  <c r="M8" i="37"/>
  <c r="N8" i="37"/>
  <c r="O8" i="37"/>
  <c r="P8" i="37"/>
  <c r="B9" i="37"/>
  <c r="D9" i="37"/>
  <c r="E9" i="37"/>
  <c r="U9" i="37"/>
  <c r="V9" i="37"/>
  <c r="W9" i="37"/>
  <c r="X9" i="37"/>
  <c r="AC9" i="37"/>
  <c r="AD9" i="37"/>
  <c r="AE9" i="37"/>
  <c r="C10" i="37"/>
  <c r="F10" i="37"/>
  <c r="G10" i="37"/>
  <c r="H10" i="37"/>
  <c r="I10" i="37"/>
  <c r="J10" i="37"/>
  <c r="K10" i="37"/>
  <c r="L10" i="37"/>
  <c r="R10" i="37"/>
  <c r="S10" i="37"/>
  <c r="T10" i="37"/>
  <c r="C11" i="37"/>
  <c r="S11" i="37"/>
  <c r="F11" i="37"/>
  <c r="G11" i="37"/>
  <c r="H11" i="37"/>
  <c r="W11" i="37"/>
  <c r="I11" i="37"/>
  <c r="X11" i="37"/>
  <c r="J11" i="37"/>
  <c r="K11" i="37"/>
  <c r="L11" i="37"/>
  <c r="R11" i="37"/>
  <c r="T11" i="37"/>
  <c r="U11" i="37"/>
  <c r="E11" i="44"/>
  <c r="F11" i="44"/>
  <c r="G11" i="44"/>
  <c r="H11" i="44"/>
  <c r="I11" i="44"/>
  <c r="J11" i="44"/>
  <c r="K11" i="44"/>
  <c r="L11" i="44"/>
  <c r="M11" i="44"/>
  <c r="N11" i="44"/>
  <c r="O11" i="44"/>
  <c r="P11" i="44"/>
  <c r="Q11" i="44"/>
  <c r="C13" i="44"/>
  <c r="D13" i="44"/>
  <c r="E14" i="44"/>
  <c r="E17" i="44"/>
  <c r="E29" i="44"/>
  <c r="S14" i="44"/>
  <c r="AE14" i="44"/>
  <c r="AF14" i="44"/>
  <c r="E15" i="44"/>
  <c r="F15" i="44"/>
  <c r="S15" i="44"/>
  <c r="AE15" i="44"/>
  <c r="AF15" i="44"/>
  <c r="C16" i="44"/>
  <c r="D16" i="44"/>
  <c r="F17" i="44"/>
  <c r="S17" i="44"/>
  <c r="E18" i="44"/>
  <c r="F18" i="44"/>
  <c r="G18" i="44"/>
  <c r="H18" i="44"/>
  <c r="I18" i="44"/>
  <c r="J18" i="44"/>
  <c r="K18" i="44"/>
  <c r="L18" i="44"/>
  <c r="M18" i="44"/>
  <c r="N18" i="44"/>
  <c r="O18" i="44"/>
  <c r="P18" i="44"/>
  <c r="Q18" i="44"/>
  <c r="S18" i="44"/>
  <c r="E19" i="44"/>
  <c r="F19" i="44"/>
  <c r="U19" i="44"/>
  <c r="G20" i="44"/>
  <c r="G19" i="44"/>
  <c r="V19" i="44"/>
  <c r="H21" i="44"/>
  <c r="I21" i="44"/>
  <c r="J21" i="44"/>
  <c r="K21" i="44"/>
  <c r="L21" i="44"/>
  <c r="M21" i="44"/>
  <c r="N21" i="44"/>
  <c r="O21" i="44"/>
  <c r="P21" i="44"/>
  <c r="Q21" i="44"/>
  <c r="C22" i="44"/>
  <c r="E22" i="44"/>
  <c r="F22" i="44"/>
  <c r="G22" i="44"/>
  <c r="H22" i="44"/>
  <c r="I22" i="44"/>
  <c r="J23" i="44"/>
  <c r="K23" i="44"/>
  <c r="U23" i="44"/>
  <c r="V23" i="44"/>
  <c r="W23" i="44"/>
  <c r="X23" i="44"/>
  <c r="J24" i="44"/>
  <c r="K24" i="44"/>
  <c r="L24" i="44"/>
  <c r="M24" i="44"/>
  <c r="N24" i="44"/>
  <c r="O24" i="44"/>
  <c r="P24" i="44"/>
  <c r="Q24" i="44"/>
  <c r="U24" i="44"/>
  <c r="V24" i="44"/>
  <c r="W24" i="44"/>
  <c r="X24" i="44"/>
  <c r="H26" i="44"/>
  <c r="M26" i="44"/>
  <c r="H27" i="44"/>
  <c r="I27" i="44"/>
  <c r="J27" i="44"/>
  <c r="K27" i="44"/>
  <c r="L27" i="44"/>
  <c r="C29" i="44"/>
  <c r="D29" i="44"/>
  <c r="C30" i="44"/>
  <c r="D30" i="44"/>
  <c r="C13" i="45"/>
  <c r="D13" i="45"/>
  <c r="H13" i="45"/>
  <c r="I13" i="45"/>
  <c r="J13" i="45"/>
  <c r="E14" i="45"/>
  <c r="F14" i="45"/>
  <c r="K14" i="45"/>
  <c r="L14" i="45"/>
  <c r="S14" i="45"/>
  <c r="X14" i="45"/>
  <c r="Y14" i="45"/>
  <c r="E15" i="45"/>
  <c r="F15" i="45"/>
  <c r="K15" i="45"/>
  <c r="L15" i="45"/>
  <c r="S15" i="45"/>
  <c r="X15" i="45"/>
  <c r="Y15" i="45"/>
  <c r="E16" i="45"/>
  <c r="F16" i="45"/>
  <c r="G16" i="45"/>
  <c r="V16" i="45"/>
  <c r="H16" i="45"/>
  <c r="I16" i="45"/>
  <c r="X16" i="45"/>
  <c r="K17" i="45"/>
  <c r="L17" i="45"/>
  <c r="M17" i="45"/>
  <c r="V17" i="45"/>
  <c r="W17" i="45"/>
  <c r="X17" i="45"/>
  <c r="Y17" i="45"/>
  <c r="J18" i="45"/>
  <c r="K18" i="45"/>
  <c r="X18" i="45"/>
  <c r="H19" i="45"/>
  <c r="F20" i="45"/>
  <c r="F19" i="45"/>
  <c r="G20" i="45"/>
  <c r="W20" i="45"/>
  <c r="I20" i="45"/>
  <c r="J20" i="45"/>
  <c r="I21" i="45"/>
  <c r="V21" i="45"/>
  <c r="W21" i="45"/>
  <c r="H22" i="45"/>
  <c r="I22" i="45"/>
  <c r="J23" i="45"/>
  <c r="L23" i="45"/>
  <c r="M23" i="45"/>
  <c r="N23" i="45"/>
  <c r="J24" i="45"/>
  <c r="K24" i="45"/>
  <c r="C26" i="45"/>
  <c r="D26" i="45"/>
  <c r="H26" i="45"/>
  <c r="I26" i="45"/>
  <c r="C27" i="45"/>
  <c r="D27" i="45"/>
  <c r="E27" i="45"/>
  <c r="H27" i="45"/>
  <c r="AP37" i="22"/>
  <c r="AO37" i="22"/>
  <c r="AN37" i="22"/>
  <c r="AM37" i="22"/>
  <c r="AL37" i="22"/>
  <c r="AK37" i="22"/>
  <c r="AJ37" i="22"/>
  <c r="AI37" i="22"/>
  <c r="AH37" i="22"/>
  <c r="AG37" i="22"/>
  <c r="AF37" i="22"/>
  <c r="AE37" i="22"/>
  <c r="AD37" i="22"/>
  <c r="AC37" i="22"/>
  <c r="AB37" i="22"/>
  <c r="AA37" i="22"/>
  <c r="Z37" i="22"/>
  <c r="Y37" i="22"/>
  <c r="X37" i="22"/>
  <c r="W37" i="22"/>
  <c r="V37" i="22"/>
  <c r="U37" i="22"/>
  <c r="T37" i="22"/>
  <c r="S37" i="22"/>
  <c r="R37" i="22"/>
  <c r="Q37" i="22"/>
  <c r="P37" i="22"/>
  <c r="O37" i="22"/>
  <c r="N37" i="22"/>
  <c r="M37" i="22"/>
  <c r="L37" i="22"/>
  <c r="K37" i="22"/>
  <c r="AP36" i="22"/>
  <c r="AO36" i="22"/>
  <c r="AN36" i="22"/>
  <c r="AM36" i="22"/>
  <c r="AL36" i="22"/>
  <c r="AK36" i="22"/>
  <c r="AJ36" i="22"/>
  <c r="AI36" i="22"/>
  <c r="AH36" i="22"/>
  <c r="AG36" i="22"/>
  <c r="AF36" i="22"/>
  <c r="AE36" i="22"/>
  <c r="AD36" i="22"/>
  <c r="AC36" i="22"/>
  <c r="AB36" i="22"/>
  <c r="AA36" i="22"/>
  <c r="Z36" i="22"/>
  <c r="Y36" i="22"/>
  <c r="X36" i="22"/>
  <c r="W36" i="22"/>
  <c r="V36" i="22"/>
  <c r="U36" i="22"/>
  <c r="T36" i="22"/>
  <c r="S36" i="22"/>
  <c r="R36" i="22"/>
  <c r="Q36" i="22"/>
  <c r="P36" i="22"/>
  <c r="O36" i="22"/>
  <c r="N36" i="22"/>
  <c r="M36" i="22"/>
  <c r="L36" i="22"/>
  <c r="K36" i="22"/>
  <c r="AP34" i="22"/>
  <c r="AO34" i="22"/>
  <c r="AN34" i="22"/>
  <c r="AM34" i="22"/>
  <c r="AL34" i="22"/>
  <c r="AK34" i="22"/>
  <c r="AJ34" i="22"/>
  <c r="AI34" i="22"/>
  <c r="AH34" i="22"/>
  <c r="AG34" i="22"/>
  <c r="AF34" i="22"/>
  <c r="AE34" i="22"/>
  <c r="AD34" i="22"/>
  <c r="AC34" i="22"/>
  <c r="AB34" i="22"/>
  <c r="AA34" i="22"/>
  <c r="Z34" i="22"/>
  <c r="Y34" i="22"/>
  <c r="X34" i="22"/>
  <c r="W34" i="22"/>
  <c r="V34" i="22"/>
  <c r="U34" i="22"/>
  <c r="T34" i="22"/>
  <c r="S34" i="22"/>
  <c r="R34" i="22"/>
  <c r="Q34" i="22"/>
  <c r="P34" i="22"/>
  <c r="O34" i="22"/>
  <c r="N34" i="22"/>
  <c r="M34" i="22"/>
  <c r="L34" i="22"/>
  <c r="K34" i="22"/>
  <c r="AP33" i="22"/>
  <c r="AO33" i="22"/>
  <c r="AN33" i="22"/>
  <c r="AM33" i="22"/>
  <c r="AL33" i="22"/>
  <c r="AK33" i="22"/>
  <c r="AJ33" i="22"/>
  <c r="AI33" i="22"/>
  <c r="AH33" i="22"/>
  <c r="AG33" i="22"/>
  <c r="AF33" i="22"/>
  <c r="AE33" i="22"/>
  <c r="AD33" i="22"/>
  <c r="AC33" i="22"/>
  <c r="AB33" i="22"/>
  <c r="AA33" i="22"/>
  <c r="Z33" i="22"/>
  <c r="Y33" i="22"/>
  <c r="X33" i="22"/>
  <c r="W33" i="22"/>
  <c r="V33" i="22"/>
  <c r="U33" i="22"/>
  <c r="T33" i="22"/>
  <c r="S33" i="22"/>
  <c r="R33" i="22"/>
  <c r="Q33" i="22"/>
  <c r="P33" i="22"/>
  <c r="O33" i="22"/>
  <c r="N33" i="22"/>
  <c r="M33" i="22"/>
  <c r="L33" i="22"/>
  <c r="K33" i="22"/>
  <c r="AP31" i="22"/>
  <c r="AO31" i="22"/>
  <c r="AN31" i="22"/>
  <c r="AM31" i="22"/>
  <c r="AL31" i="22"/>
  <c r="AK31" i="22"/>
  <c r="AJ31" i="22"/>
  <c r="AI31" i="22"/>
  <c r="AH31" i="22"/>
  <c r="AG31" i="22"/>
  <c r="AF31" i="22"/>
  <c r="AE31" i="22"/>
  <c r="AD31" i="22"/>
  <c r="AC31" i="22"/>
  <c r="AB31" i="22"/>
  <c r="AA31" i="22"/>
  <c r="Z31" i="22"/>
  <c r="Y31" i="22"/>
  <c r="X31" i="22"/>
  <c r="W31" i="22"/>
  <c r="V31" i="22"/>
  <c r="U31" i="22"/>
  <c r="T31" i="22"/>
  <c r="S31" i="22"/>
  <c r="R31" i="22"/>
  <c r="Q31" i="22"/>
  <c r="P31" i="22"/>
  <c r="O31" i="22"/>
  <c r="N31" i="22"/>
  <c r="M31" i="22"/>
  <c r="L31" i="22"/>
  <c r="K31" i="22"/>
  <c r="AP30" i="22"/>
  <c r="AO30" i="22"/>
  <c r="AN30" i="22"/>
  <c r="AM30" i="22"/>
  <c r="AL30" i="22"/>
  <c r="AK30" i="22"/>
  <c r="AJ30" i="22"/>
  <c r="AI30" i="22"/>
  <c r="AH30" i="22"/>
  <c r="AG30" i="22"/>
  <c r="AF30" i="22"/>
  <c r="AE30" i="22"/>
  <c r="AD30" i="22"/>
  <c r="AC30" i="22"/>
  <c r="AB30" i="22"/>
  <c r="AA30" i="22"/>
  <c r="Z30" i="22"/>
  <c r="Y30" i="22"/>
  <c r="X30" i="22"/>
  <c r="W30" i="22"/>
  <c r="V30" i="22"/>
  <c r="U30" i="22"/>
  <c r="T30" i="22"/>
  <c r="S30" i="22"/>
  <c r="R30" i="22"/>
  <c r="Q30" i="22"/>
  <c r="P30" i="22"/>
  <c r="O30" i="22"/>
  <c r="N30" i="22"/>
  <c r="M30" i="22"/>
  <c r="L30" i="22"/>
  <c r="K30" i="22"/>
  <c r="AP28" i="22"/>
  <c r="AO28" i="22"/>
  <c r="AN28" i="22"/>
  <c r="AM28" i="22"/>
  <c r="AL28" i="22"/>
  <c r="AK28" i="22"/>
  <c r="AJ28" i="22"/>
  <c r="AI28" i="22"/>
  <c r="AH28" i="22"/>
  <c r="AG28" i="22"/>
  <c r="AF28" i="22"/>
  <c r="AE28" i="22"/>
  <c r="AD28" i="22"/>
  <c r="AC28" i="22"/>
  <c r="AB28" i="22"/>
  <c r="AA28" i="22"/>
  <c r="Z28" i="22"/>
  <c r="Y28" i="22"/>
  <c r="X28" i="22"/>
  <c r="W28" i="22"/>
  <c r="V28" i="22"/>
  <c r="U28" i="22"/>
  <c r="T28" i="22"/>
  <c r="S28" i="22"/>
  <c r="R28" i="22"/>
  <c r="Q28" i="22"/>
  <c r="P28" i="22"/>
  <c r="O28" i="22"/>
  <c r="N28" i="22"/>
  <c r="M28" i="22"/>
  <c r="L28" i="22"/>
  <c r="K28" i="22"/>
  <c r="AP27" i="22"/>
  <c r="AO27" i="22"/>
  <c r="AN27" i="22"/>
  <c r="AM27" i="22"/>
  <c r="AL27" i="22"/>
  <c r="AK27" i="22"/>
  <c r="AJ27" i="22"/>
  <c r="AI27" i="22"/>
  <c r="AH27" i="22"/>
  <c r="AG27" i="22"/>
  <c r="AF27" i="22"/>
  <c r="AE27" i="22"/>
  <c r="AD27" i="22"/>
  <c r="AC27" i="22"/>
  <c r="AB27" i="22"/>
  <c r="AA27" i="22"/>
  <c r="Z27" i="22"/>
  <c r="Y27" i="22"/>
  <c r="X27" i="22"/>
  <c r="W27" i="22"/>
  <c r="V27" i="22"/>
  <c r="U27" i="22"/>
  <c r="T27" i="22"/>
  <c r="S27" i="22"/>
  <c r="R27" i="22"/>
  <c r="Q27" i="22"/>
  <c r="P27" i="22"/>
  <c r="O27" i="22"/>
  <c r="N27" i="22"/>
  <c r="M27" i="22"/>
  <c r="L27" i="22"/>
  <c r="K27" i="22"/>
  <c r="AZ24" i="22"/>
  <c r="BA40" i="22"/>
  <c r="AP24" i="22"/>
  <c r="AO24" i="22"/>
  <c r="AN24" i="22"/>
  <c r="AJ24" i="22"/>
  <c r="AN40" i="22"/>
  <c r="AM24" i="22"/>
  <c r="AL24" i="22"/>
  <c r="AK24" i="22"/>
  <c r="AI24" i="22"/>
  <c r="AH24" i="22"/>
  <c r="AG24" i="22"/>
  <c r="AF24" i="22"/>
  <c r="AB24" i="22"/>
  <c r="AF40" i="22"/>
  <c r="AE24" i="22"/>
  <c r="AD24" i="22"/>
  <c r="AC24" i="22"/>
  <c r="Y24" i="22"/>
  <c r="AC40" i="22"/>
  <c r="X24" i="22"/>
  <c r="AB40" i="22"/>
  <c r="AA24" i="22"/>
  <c r="Z24" i="22"/>
  <c r="W24" i="22"/>
  <c r="V24" i="22"/>
  <c r="U24" i="22"/>
  <c r="T24" i="22"/>
  <c r="S24" i="22"/>
  <c r="R24" i="22"/>
  <c r="Q24" i="22"/>
  <c r="P24" i="22"/>
  <c r="O24" i="22"/>
  <c r="N24" i="22"/>
  <c r="N40" i="22"/>
  <c r="M24" i="22"/>
  <c r="M40" i="22"/>
  <c r="L24" i="22"/>
  <c r="L40" i="22"/>
  <c r="K24" i="22"/>
  <c r="K40" i="22"/>
  <c r="F24" i="22"/>
  <c r="J40" i="22"/>
  <c r="E24" i="22"/>
  <c r="I40" i="22"/>
  <c r="D24" i="22"/>
  <c r="H40" i="22"/>
  <c r="C24" i="22"/>
  <c r="G40" i="22"/>
  <c r="AZ23" i="22"/>
  <c r="BA39" i="22"/>
  <c r="AP23" i="22"/>
  <c r="AO23" i="22"/>
  <c r="AN23" i="22"/>
  <c r="AM23" i="22"/>
  <c r="AL23" i="22"/>
  <c r="AK23" i="22"/>
  <c r="AJ23" i="22"/>
  <c r="AI23" i="22"/>
  <c r="AH23" i="22"/>
  <c r="AG23" i="22"/>
  <c r="AF23" i="22"/>
  <c r="AE23" i="22"/>
  <c r="AD23" i="22"/>
  <c r="AC23" i="22"/>
  <c r="AB23" i="22"/>
  <c r="AA23" i="22"/>
  <c r="Z23" i="22"/>
  <c r="Y23" i="22"/>
  <c r="X23" i="22"/>
  <c r="W23" i="22"/>
  <c r="V23" i="22"/>
  <c r="U23" i="22"/>
  <c r="T23" i="22"/>
  <c r="S23" i="22"/>
  <c r="R23" i="22"/>
  <c r="Q23" i="22"/>
  <c r="O23" i="22"/>
  <c r="P23" i="22"/>
  <c r="BC23" i="22"/>
  <c r="N23" i="22"/>
  <c r="N39" i="22"/>
  <c r="M23" i="22"/>
  <c r="M39" i="22"/>
  <c r="L23" i="22"/>
  <c r="L39" i="22"/>
  <c r="K23" i="22"/>
  <c r="K39" i="22"/>
  <c r="F23" i="22"/>
  <c r="J39" i="22"/>
  <c r="E23" i="22"/>
  <c r="I39" i="22"/>
  <c r="D23" i="22"/>
  <c r="H39" i="22"/>
  <c r="C23" i="22"/>
  <c r="G39" i="22"/>
  <c r="AZ22" i="22"/>
  <c r="BA38" i="22"/>
  <c r="F22" i="22"/>
  <c r="J38" i="22"/>
  <c r="E22" i="22"/>
  <c r="I38" i="22"/>
  <c r="D22" i="22"/>
  <c r="H38" i="22"/>
  <c r="C22" i="22"/>
  <c r="G38" i="22"/>
  <c r="BH20" i="22"/>
  <c r="BG20" i="22"/>
  <c r="BF20" i="22"/>
  <c r="BE20" i="22"/>
  <c r="BD20" i="22"/>
  <c r="BC20" i="22"/>
  <c r="BB20" i="22"/>
  <c r="AZ20" i="22"/>
  <c r="F20" i="22"/>
  <c r="E20" i="22"/>
  <c r="D20" i="22"/>
  <c r="C20" i="22"/>
  <c r="BH19" i="22"/>
  <c r="BG19" i="22"/>
  <c r="BG18" i="22"/>
  <c r="BF19" i="22"/>
  <c r="BF18" i="22"/>
  <c r="BE19" i="22"/>
  <c r="BE18" i="22"/>
  <c r="BD19" i="22"/>
  <c r="BD18" i="22"/>
  <c r="BC19" i="22"/>
  <c r="BC18" i="22"/>
  <c r="BB19" i="22"/>
  <c r="BB18" i="22"/>
  <c r="AZ19" i="22"/>
  <c r="F19" i="22"/>
  <c r="E19" i="22"/>
  <c r="D19" i="22"/>
  <c r="C19" i="22"/>
  <c r="BH18" i="22"/>
  <c r="AZ18" i="22"/>
  <c r="AP18" i="22"/>
  <c r="AP50" i="22"/>
  <c r="AO18" i="22"/>
  <c r="AO50" i="22"/>
  <c r="AN18" i="22"/>
  <c r="AN50" i="22"/>
  <c r="AM18" i="22"/>
  <c r="AM50" i="22"/>
  <c r="AL18" i="22"/>
  <c r="AL50" i="22"/>
  <c r="AK18" i="22"/>
  <c r="AK50" i="22"/>
  <c r="AJ18" i="22"/>
  <c r="AJ50" i="22"/>
  <c r="AI18" i="22"/>
  <c r="AI50" i="22"/>
  <c r="AH18" i="22"/>
  <c r="AH50" i="22"/>
  <c r="AG18" i="22"/>
  <c r="AG50" i="22"/>
  <c r="AF18" i="22"/>
  <c r="AF50" i="22"/>
  <c r="AE18" i="22"/>
  <c r="AE50" i="22"/>
  <c r="AD18" i="22"/>
  <c r="AD50" i="22"/>
  <c r="AC18" i="22"/>
  <c r="AC50" i="22"/>
  <c r="AB18" i="22"/>
  <c r="AB50" i="22"/>
  <c r="AA18" i="22"/>
  <c r="AA50" i="22"/>
  <c r="Z18" i="22"/>
  <c r="Z50" i="22"/>
  <c r="Y18" i="22"/>
  <c r="Y50" i="22"/>
  <c r="X18" i="22"/>
  <c r="X50" i="22"/>
  <c r="W18" i="22"/>
  <c r="W50" i="22"/>
  <c r="V18" i="22"/>
  <c r="V50" i="22"/>
  <c r="U18" i="22"/>
  <c r="U50" i="22"/>
  <c r="T18" i="22"/>
  <c r="T50" i="22"/>
  <c r="S18" i="22"/>
  <c r="S50" i="22"/>
  <c r="R18" i="22"/>
  <c r="R50" i="22"/>
  <c r="Q18" i="22"/>
  <c r="Q50" i="22"/>
  <c r="P18" i="22"/>
  <c r="P50" i="22"/>
  <c r="O18" i="22"/>
  <c r="O50" i="22"/>
  <c r="N18" i="22"/>
  <c r="N50" i="22"/>
  <c r="M18" i="22"/>
  <c r="M50" i="22"/>
  <c r="L18" i="22"/>
  <c r="L50" i="22"/>
  <c r="K18" i="22"/>
  <c r="K50" i="22"/>
  <c r="F18" i="22"/>
  <c r="F50" i="22"/>
  <c r="E18" i="22"/>
  <c r="E50" i="22"/>
  <c r="D18" i="22"/>
  <c r="D50" i="22"/>
  <c r="C18" i="22"/>
  <c r="C50" i="22"/>
  <c r="BH17" i="22"/>
  <c r="BI37" i="22"/>
  <c r="BG17" i="22"/>
  <c r="BF17" i="22"/>
  <c r="BE17" i="22"/>
  <c r="BD17" i="22"/>
  <c r="BC17" i="22"/>
  <c r="BB37" i="22"/>
  <c r="J37" i="22"/>
  <c r="I37" i="22"/>
  <c r="H37" i="22"/>
  <c r="G37" i="22"/>
  <c r="BH16" i="22"/>
  <c r="BI36" i="22"/>
  <c r="BG16" i="22"/>
  <c r="BF16" i="22"/>
  <c r="BE16" i="22"/>
  <c r="BD16" i="22"/>
  <c r="BC16" i="22"/>
  <c r="J36" i="22"/>
  <c r="I36" i="22"/>
  <c r="H36" i="22"/>
  <c r="G36" i="22"/>
  <c r="BI15" i="22"/>
  <c r="AP15" i="22"/>
  <c r="AP49" i="22"/>
  <c r="AO15" i="22"/>
  <c r="AO49" i="22"/>
  <c r="AN15" i="22"/>
  <c r="AN49" i="22"/>
  <c r="AM15" i="22"/>
  <c r="AM49" i="22"/>
  <c r="AL15" i="22"/>
  <c r="AK15" i="22"/>
  <c r="AJ15" i="22"/>
  <c r="AI15" i="22"/>
  <c r="AH15" i="22"/>
  <c r="AG15" i="22"/>
  <c r="AF15" i="22"/>
  <c r="AE15" i="22"/>
  <c r="AD15" i="22"/>
  <c r="AC15" i="22"/>
  <c r="AB15" i="22"/>
  <c r="AA15" i="22"/>
  <c r="Z15" i="22"/>
  <c r="Y15" i="22"/>
  <c r="Y49" i="22"/>
  <c r="X15" i="22"/>
  <c r="X49" i="22"/>
  <c r="W15" i="22"/>
  <c r="W49" i="22"/>
  <c r="V15" i="22"/>
  <c r="V49" i="22"/>
  <c r="U15" i="22"/>
  <c r="U49" i="22"/>
  <c r="T15" i="22"/>
  <c r="T49" i="22"/>
  <c r="S15" i="22"/>
  <c r="S49" i="22"/>
  <c r="R15" i="22"/>
  <c r="R49" i="22"/>
  <c r="Q15" i="22"/>
  <c r="Q49" i="22"/>
  <c r="P15" i="22"/>
  <c r="P49" i="22"/>
  <c r="O15" i="22"/>
  <c r="O49" i="22"/>
  <c r="N15" i="22"/>
  <c r="M15" i="22"/>
  <c r="L15" i="22"/>
  <c r="K15" i="22"/>
  <c r="H35" i="22"/>
  <c r="G35" i="22"/>
  <c r="BF5" i="22"/>
  <c r="BE5" i="22"/>
  <c r="BD5" i="22"/>
  <c r="BC5" i="22"/>
  <c r="BB5" i="22"/>
  <c r="BB34" i="22"/>
  <c r="F5" i="22"/>
  <c r="J34" i="22"/>
  <c r="E5" i="22"/>
  <c r="I34" i="22"/>
  <c r="D5" i="22"/>
  <c r="H34" i="22"/>
  <c r="C5" i="22"/>
  <c r="G34" i="22"/>
  <c r="BG4" i="22"/>
  <c r="BH33" i="22"/>
  <c r="BF4" i="22"/>
  <c r="BE4" i="22"/>
  <c r="BD4" i="22"/>
  <c r="BC4" i="22"/>
  <c r="BB4" i="22"/>
  <c r="F4" i="22"/>
  <c r="J33" i="22"/>
  <c r="E4" i="22"/>
  <c r="I33" i="22"/>
  <c r="D4" i="22"/>
  <c r="H33" i="22"/>
  <c r="C4" i="22"/>
  <c r="G33" i="22"/>
  <c r="AO3" i="22"/>
  <c r="AO45" i="22"/>
  <c r="AN3" i="22"/>
  <c r="AN45" i="22"/>
  <c r="AM3" i="22"/>
  <c r="AM45" i="22"/>
  <c r="AL3" i="22"/>
  <c r="AL45" i="22"/>
  <c r="AK3" i="22"/>
  <c r="AK45" i="22"/>
  <c r="AJ3" i="22"/>
  <c r="AJ45" i="22"/>
  <c r="AI3" i="22"/>
  <c r="AI45" i="22"/>
  <c r="AH3" i="22"/>
  <c r="AH45" i="22"/>
  <c r="AG3" i="22"/>
  <c r="AG45" i="22"/>
  <c r="AF3" i="22"/>
  <c r="AF45" i="22"/>
  <c r="AE3" i="22"/>
  <c r="AE45" i="22"/>
  <c r="AD3" i="22"/>
  <c r="AD45" i="22"/>
  <c r="AC3" i="22"/>
  <c r="AC45" i="22"/>
  <c r="AB3" i="22"/>
  <c r="AB45" i="22"/>
  <c r="AA3" i="22"/>
  <c r="AA45" i="22"/>
  <c r="Z3" i="22"/>
  <c r="Z45" i="22"/>
  <c r="Y3" i="22"/>
  <c r="Y45" i="22"/>
  <c r="X3" i="22"/>
  <c r="X45" i="22"/>
  <c r="W3" i="22"/>
  <c r="W45" i="22"/>
  <c r="V3" i="22"/>
  <c r="V45" i="22"/>
  <c r="U3" i="22"/>
  <c r="U45" i="22"/>
  <c r="T3" i="22"/>
  <c r="T45" i="22"/>
  <c r="S3" i="22"/>
  <c r="S45" i="22"/>
  <c r="R3" i="22"/>
  <c r="R45" i="22"/>
  <c r="Q3" i="22"/>
  <c r="Q45" i="22"/>
  <c r="P3" i="22"/>
  <c r="P45" i="22"/>
  <c r="O3" i="22"/>
  <c r="O45" i="22"/>
  <c r="N3" i="22"/>
  <c r="M3" i="22"/>
  <c r="L3" i="22"/>
  <c r="K3" i="22"/>
  <c r="J32" i="22"/>
  <c r="E3" i="22"/>
  <c r="D3" i="22"/>
  <c r="C3" i="22"/>
  <c r="AP12" i="22"/>
  <c r="AP48" i="22"/>
  <c r="AO12" i="22"/>
  <c r="AO48" i="22"/>
  <c r="AN12" i="22"/>
  <c r="AN48" i="22"/>
  <c r="AM12" i="22"/>
  <c r="AM48" i="22"/>
  <c r="AL12" i="22"/>
  <c r="AL48" i="22"/>
  <c r="AK12" i="22"/>
  <c r="AK48" i="22"/>
  <c r="AJ12" i="22"/>
  <c r="AJ48" i="22"/>
  <c r="AI12" i="22"/>
  <c r="AI48" i="22"/>
  <c r="AH12" i="22"/>
  <c r="AH48" i="22"/>
  <c r="AG12" i="22"/>
  <c r="AG48" i="22"/>
  <c r="AF12" i="22"/>
  <c r="AF48" i="22"/>
  <c r="AE12" i="22"/>
  <c r="AE48" i="22"/>
  <c r="BH11" i="22"/>
  <c r="BI31" i="22"/>
  <c r="BG11" i="22"/>
  <c r="BF11" i="22"/>
  <c r="BE11" i="22"/>
  <c r="BD11" i="22"/>
  <c r="BC11" i="22"/>
  <c r="BB11" i="22"/>
  <c r="BB31" i="22"/>
  <c r="F11" i="22"/>
  <c r="J31" i="22"/>
  <c r="E11" i="22"/>
  <c r="I31" i="22"/>
  <c r="D11" i="22"/>
  <c r="H31" i="22"/>
  <c r="C11" i="22"/>
  <c r="G31" i="22"/>
  <c r="BH10" i="22"/>
  <c r="BG10" i="22"/>
  <c r="BF10" i="22"/>
  <c r="BE10" i="22"/>
  <c r="BD10" i="22"/>
  <c r="BC10" i="22"/>
  <c r="BB10" i="22"/>
  <c r="F10" i="22"/>
  <c r="J30" i="22"/>
  <c r="E10" i="22"/>
  <c r="I30" i="22"/>
  <c r="D10" i="22"/>
  <c r="H30" i="22"/>
  <c r="C10" i="22"/>
  <c r="G30" i="22"/>
  <c r="AP9" i="22"/>
  <c r="AP47" i="22"/>
  <c r="AO9" i="22"/>
  <c r="AO47" i="22"/>
  <c r="AN9" i="22"/>
  <c r="AN47" i="22"/>
  <c r="AM9" i="22"/>
  <c r="AM47" i="22"/>
  <c r="AL9" i="22"/>
  <c r="AL47" i="22"/>
  <c r="AK9" i="22"/>
  <c r="AK47" i="22"/>
  <c r="AJ9" i="22"/>
  <c r="AJ47" i="22"/>
  <c r="AI9" i="22"/>
  <c r="AI47" i="22"/>
  <c r="AH9" i="22"/>
  <c r="AH47" i="22"/>
  <c r="AG9" i="22"/>
  <c r="AG47" i="22"/>
  <c r="AF9" i="22"/>
  <c r="AF47" i="22"/>
  <c r="AE9" i="22"/>
  <c r="AE47" i="22"/>
  <c r="AD9" i="22"/>
  <c r="AD47" i="22"/>
  <c r="AC9" i="22"/>
  <c r="AC47" i="22"/>
  <c r="AB9" i="22"/>
  <c r="AB47" i="22"/>
  <c r="AA9" i="22"/>
  <c r="AA47" i="22"/>
  <c r="Z9" i="22"/>
  <c r="Z47" i="22"/>
  <c r="Y9" i="22"/>
  <c r="Y47" i="22"/>
  <c r="X9" i="22"/>
  <c r="X47" i="22"/>
  <c r="W9" i="22"/>
  <c r="W47" i="22"/>
  <c r="V9" i="22"/>
  <c r="V47" i="22"/>
  <c r="U9" i="22"/>
  <c r="U47" i="22"/>
  <c r="T9" i="22"/>
  <c r="T47" i="22"/>
  <c r="S9" i="22"/>
  <c r="S47" i="22"/>
  <c r="R9" i="22"/>
  <c r="R47" i="22"/>
  <c r="Q9" i="22"/>
  <c r="Q47" i="22"/>
  <c r="P9" i="22"/>
  <c r="P47" i="22"/>
  <c r="O9" i="22"/>
  <c r="O47" i="22"/>
  <c r="N9" i="22"/>
  <c r="M9" i="22"/>
  <c r="L9" i="22"/>
  <c r="K9" i="22"/>
  <c r="F8" i="22"/>
  <c r="J28" i="22"/>
  <c r="E8" i="22"/>
  <c r="I28" i="22"/>
  <c r="D8" i="22"/>
  <c r="H28" i="22"/>
  <c r="F7" i="22"/>
  <c r="J27" i="22"/>
  <c r="E7" i="22"/>
  <c r="I27" i="22"/>
  <c r="D7" i="22"/>
  <c r="H27" i="22"/>
  <c r="G27" i="22"/>
  <c r="BE6" i="22"/>
  <c r="AP6" i="22"/>
  <c r="AP46" i="22"/>
  <c r="AO6" i="22"/>
  <c r="AO46" i="22"/>
  <c r="AN6" i="22"/>
  <c r="AN46" i="22"/>
  <c r="AM6" i="22"/>
  <c r="AM46" i="22"/>
  <c r="AL6" i="22"/>
  <c r="AL46" i="22"/>
  <c r="AK6" i="22"/>
  <c r="AK46" i="22"/>
  <c r="AJ6" i="22"/>
  <c r="AJ46" i="22"/>
  <c r="AI6" i="22"/>
  <c r="AI46" i="22"/>
  <c r="AH6" i="22"/>
  <c r="AH46" i="22"/>
  <c r="AG6" i="22"/>
  <c r="AG46" i="22"/>
  <c r="AF6" i="22"/>
  <c r="AF46" i="22"/>
  <c r="AE6" i="22"/>
  <c r="AE46" i="22"/>
  <c r="AD6" i="22"/>
  <c r="AD46" i="22"/>
  <c r="AC6" i="22"/>
  <c r="AC46" i="22"/>
  <c r="AB6" i="22"/>
  <c r="AB46" i="22"/>
  <c r="AA6" i="22"/>
  <c r="AA46" i="22"/>
  <c r="Z6" i="22"/>
  <c r="Z46" i="22"/>
  <c r="Y6" i="22"/>
  <c r="Y46" i="22"/>
  <c r="X6" i="22"/>
  <c r="X46" i="22"/>
  <c r="W6" i="22"/>
  <c r="W46" i="22"/>
  <c r="V6" i="22"/>
  <c r="V46" i="22"/>
  <c r="U6" i="22"/>
  <c r="U46" i="22"/>
  <c r="T6" i="22"/>
  <c r="T46" i="22"/>
  <c r="S6" i="22"/>
  <c r="S46" i="22"/>
  <c r="R6" i="22"/>
  <c r="R46" i="22"/>
  <c r="Q6" i="22"/>
  <c r="Q46" i="22"/>
  <c r="P6" i="22"/>
  <c r="P46" i="22"/>
  <c r="O6" i="22"/>
  <c r="O46" i="22"/>
  <c r="N6" i="22"/>
  <c r="M6" i="22"/>
  <c r="L6" i="22"/>
  <c r="K6" i="22"/>
  <c r="F6" i="22"/>
  <c r="E6" i="22"/>
  <c r="D6" i="22"/>
  <c r="C53" i="6"/>
  <c r="C52" i="6"/>
  <c r="C49" i="6"/>
  <c r="C48" i="6"/>
  <c r="C47" i="6"/>
  <c r="C46" i="6"/>
  <c r="C45" i="6"/>
  <c r="C44" i="6"/>
  <c r="C43" i="6"/>
  <c r="C42" i="6"/>
  <c r="C41" i="6"/>
  <c r="C40" i="6"/>
  <c r="C39" i="6"/>
  <c r="K109" i="71"/>
  <c r="L109" i="71"/>
  <c r="M109" i="71"/>
  <c r="N109" i="71"/>
  <c r="O109" i="71"/>
  <c r="P109" i="71"/>
  <c r="Q109" i="71"/>
  <c r="R109" i="71"/>
  <c r="E2" i="45"/>
  <c r="F2" i="45"/>
  <c r="G2" i="45"/>
  <c r="H2" i="45"/>
  <c r="I2" i="45"/>
  <c r="J2" i="45"/>
  <c r="K2" i="45"/>
  <c r="L2" i="45"/>
  <c r="M2" i="45"/>
  <c r="N2" i="45"/>
  <c r="O2" i="45"/>
  <c r="P2" i="45"/>
  <c r="Q2" i="45"/>
  <c r="R2" i="45"/>
  <c r="S2" i="45"/>
  <c r="T2" i="45"/>
  <c r="U2" i="45"/>
  <c r="V2" i="45"/>
  <c r="W2" i="45"/>
  <c r="X2" i="45"/>
  <c r="S109" i="71"/>
  <c r="T109" i="71"/>
  <c r="U109" i="71"/>
  <c r="V109" i="71"/>
  <c r="W109" i="71"/>
  <c r="X109" i="71"/>
  <c r="Y109" i="71"/>
  <c r="S72" i="71"/>
  <c r="M65" i="9"/>
  <c r="EE63" i="71"/>
  <c r="EE61" i="71"/>
  <c r="EE60" i="71"/>
  <c r="EE54" i="71"/>
  <c r="EE55" i="71"/>
  <c r="EE56" i="71"/>
  <c r="EF63" i="71"/>
  <c r="EF120" i="71" s="1"/>
  <c r="EF61" i="71"/>
  <c r="EF60" i="71"/>
  <c r="EF50" i="71"/>
  <c r="EF54" i="71"/>
  <c r="EF55" i="71"/>
  <c r="EF56" i="71"/>
  <c r="EE50" i="71"/>
  <c r="EA49" i="71"/>
  <c r="EB49" i="71"/>
  <c r="EC49" i="71"/>
  <c r="ED49" i="71"/>
  <c r="ED63" i="71"/>
  <c r="ED62" i="71"/>
  <c r="ED61" i="71"/>
  <c r="ED60" i="71"/>
  <c r="ED56" i="71"/>
  <c r="ED55" i="71"/>
  <c r="ED54" i="71"/>
  <c r="ED50" i="71"/>
  <c r="EC62" i="71"/>
  <c r="EC61" i="71"/>
  <c r="EC60" i="71"/>
  <c r="EC56" i="71"/>
  <c r="EC55" i="71"/>
  <c r="EC54" i="71"/>
  <c r="EC50" i="71"/>
  <c r="S50" i="71"/>
  <c r="EB50" i="71" s="1"/>
  <c r="R50" i="71"/>
  <c r="Q50" i="71"/>
  <c r="P50" i="71"/>
  <c r="O50" i="71"/>
  <c r="AN17" i="71"/>
  <c r="AM17" i="71"/>
  <c r="AL17" i="71"/>
  <c r="AL41" i="71"/>
  <c r="AK41" i="71"/>
  <c r="AJ41" i="71"/>
  <c r="AI41" i="71"/>
  <c r="AH41" i="71"/>
  <c r="AG41" i="71"/>
  <c r="AF41" i="71"/>
  <c r="AE41" i="71"/>
  <c r="AD41" i="71"/>
  <c r="AC41" i="71"/>
  <c r="AB41" i="71"/>
  <c r="AA41" i="71"/>
  <c r="Z41" i="71"/>
  <c r="Y41" i="71"/>
  <c r="X41" i="71"/>
  <c r="W41" i="71"/>
  <c r="V41" i="71"/>
  <c r="U41" i="71"/>
  <c r="T41" i="71"/>
  <c r="S41" i="71"/>
  <c r="AN8" i="71"/>
  <c r="AM8" i="71"/>
  <c r="AL8" i="71"/>
  <c r="S8" i="71"/>
  <c r="R8" i="71"/>
  <c r="Q8" i="71"/>
  <c r="P8" i="71"/>
  <c r="O8" i="71"/>
  <c r="AN3" i="71"/>
  <c r="AR85" i="71" s="1"/>
  <c r="AM3" i="71"/>
  <c r="AQ85" i="71" s="1"/>
  <c r="AL3" i="71"/>
  <c r="AP85" i="71" s="1"/>
  <c r="AK3" i="71"/>
  <c r="AO85" i="71" s="1"/>
  <c r="AJ3" i="71"/>
  <c r="AI3" i="71"/>
  <c r="AH3" i="71"/>
  <c r="AG3" i="71"/>
  <c r="AF3" i="71"/>
  <c r="AE3" i="71"/>
  <c r="AD3" i="71"/>
  <c r="AC3" i="71"/>
  <c r="AB3" i="71"/>
  <c r="AA3" i="71"/>
  <c r="Z3" i="71"/>
  <c r="Y3" i="71"/>
  <c r="X3" i="71"/>
  <c r="W3" i="71"/>
  <c r="V3" i="71"/>
  <c r="U3" i="71"/>
  <c r="T3" i="71"/>
  <c r="S3" i="71"/>
  <c r="R3" i="71"/>
  <c r="R85" i="71" s="1"/>
  <c r="Q3" i="71"/>
  <c r="Q85" i="71" s="1"/>
  <c r="P3" i="71"/>
  <c r="P85" i="71" s="1"/>
  <c r="O3" i="71"/>
  <c r="O85" i="71" s="1"/>
  <c r="AN42" i="71"/>
  <c r="AM42" i="71"/>
  <c r="AL42" i="71"/>
  <c r="AJ42" i="71"/>
  <c r="AN22" i="71"/>
  <c r="AM22" i="71"/>
  <c r="AL22" i="71"/>
  <c r="V22" i="71"/>
  <c r="U22" i="71"/>
  <c r="T22" i="71"/>
  <c r="S22" i="71"/>
  <c r="EJ22" i="71"/>
  <c r="AN35" i="71"/>
  <c r="S35" i="71"/>
  <c r="R35" i="71"/>
  <c r="Q35" i="71"/>
  <c r="P35" i="71"/>
  <c r="O35" i="71"/>
  <c r="AN15" i="71"/>
  <c r="AM15" i="71"/>
  <c r="AL15" i="71"/>
  <c r="AD15" i="71"/>
  <c r="AC15" i="71"/>
  <c r="AB15" i="71"/>
  <c r="AA15" i="71"/>
  <c r="Z15" i="71"/>
  <c r="Y15" i="71"/>
  <c r="X15" i="71"/>
  <c r="W15" i="71"/>
  <c r="V15" i="71"/>
  <c r="U15" i="71"/>
  <c r="T15" i="71"/>
  <c r="S15" i="71"/>
  <c r="AN12" i="71"/>
  <c r="AM12" i="71"/>
  <c r="AL12" i="71"/>
  <c r="AK12" i="71"/>
  <c r="AJ12" i="71"/>
  <c r="AI12" i="71"/>
  <c r="AH12" i="71"/>
  <c r="AG12" i="71"/>
  <c r="AF12" i="71"/>
  <c r="AE12" i="71"/>
  <c r="AD12" i="71"/>
  <c r="AN16" i="71"/>
  <c r="AM16" i="71"/>
  <c r="AL16" i="71"/>
  <c r="AK16" i="71"/>
  <c r="AJ16" i="71"/>
  <c r="AI16" i="71"/>
  <c r="AH16" i="71"/>
  <c r="AG16" i="71"/>
  <c r="AF16" i="71"/>
  <c r="AE16" i="71"/>
  <c r="AD16" i="71"/>
  <c r="AC16" i="71"/>
  <c r="AB16" i="71"/>
  <c r="AA16" i="71"/>
  <c r="Z16" i="71"/>
  <c r="Y16" i="71"/>
  <c r="X16" i="71"/>
  <c r="W16" i="71"/>
  <c r="EJ12" i="71"/>
  <c r="AU42" i="71"/>
  <c r="AV49" i="71"/>
  <c r="AV64" i="71" s="1"/>
  <c r="AV263" i="71" s="1"/>
  <c r="AW49" i="71"/>
  <c r="AX49" i="71"/>
  <c r="AX64" i="71" s="1"/>
  <c r="AX263" i="71" s="1"/>
  <c r="EI50" i="71"/>
  <c r="EI54" i="71"/>
  <c r="EI55" i="71"/>
  <c r="EI56" i="71"/>
  <c r="EI59" i="71"/>
  <c r="EI60" i="71"/>
  <c r="EI61" i="71"/>
  <c r="EI63" i="71"/>
  <c r="EI120" i="71" s="1"/>
  <c r="EI3" i="71"/>
  <c r="EI10" i="71"/>
  <c r="EI35" i="71"/>
  <c r="EI17" i="71"/>
  <c r="EI22" i="71"/>
  <c r="EI12" i="71"/>
  <c r="AW15" i="71"/>
  <c r="EI15" i="71" s="1"/>
  <c r="EI36" i="71"/>
  <c r="EI16" i="71"/>
  <c r="EI44" i="71"/>
  <c r="EI18" i="71"/>
  <c r="EI65" i="71"/>
  <c r="AT49" i="71"/>
  <c r="AT106" i="71" s="1"/>
  <c r="AS11" i="71"/>
  <c r="AS49" i="71" s="1"/>
  <c r="AR11" i="71"/>
  <c r="AR22" i="71"/>
  <c r="AQ11" i="71"/>
  <c r="AQ22" i="71"/>
  <c r="EH50" i="71"/>
  <c r="EH44" i="71"/>
  <c r="EH42" i="71"/>
  <c r="EH16" i="71"/>
  <c r="EH36" i="71"/>
  <c r="EH15" i="71"/>
  <c r="EH12" i="71"/>
  <c r="EH17" i="71"/>
  <c r="EH35" i="71"/>
  <c r="EH10" i="71"/>
  <c r="EH9" i="71"/>
  <c r="EH3" i="71"/>
  <c r="EH54" i="71"/>
  <c r="EH55" i="71"/>
  <c r="EH56" i="71"/>
  <c r="EH59" i="71"/>
  <c r="EH60" i="71"/>
  <c r="EH61" i="71"/>
  <c r="AQ62" i="71"/>
  <c r="AQ113" i="71" s="1"/>
  <c r="AR62" i="71"/>
  <c r="AR113" i="71" s="1"/>
  <c r="AS62" i="71"/>
  <c r="AS113" i="71" s="1"/>
  <c r="EH63" i="71"/>
  <c r="EH120" i="71" s="1"/>
  <c r="EH65" i="71"/>
  <c r="EH67" i="71"/>
  <c r="AT68" i="71"/>
  <c r="EH68" i="71" s="1"/>
  <c r="AR71" i="71"/>
  <c r="EH71" i="71" s="1"/>
  <c r="AS72" i="71"/>
  <c r="AT72" i="71" s="1"/>
  <c r="EH72" i="71" s="1"/>
  <c r="EH77" i="71"/>
  <c r="EH240" i="71" s="1"/>
  <c r="EI67" i="71"/>
  <c r="EI68" i="71"/>
  <c r="EI71" i="71"/>
  <c r="AX72" i="71"/>
  <c r="EI72" i="71" s="1"/>
  <c r="AX74" i="71"/>
  <c r="EI74" i="71" s="1"/>
  <c r="EG63" i="71"/>
  <c r="EG120" i="71" s="1"/>
  <c r="AM35" i="71"/>
  <c r="AO49" i="71"/>
  <c r="AO106" i="71" s="1"/>
  <c r="AP49" i="71"/>
  <c r="AP106" i="71" s="1"/>
  <c r="AY94" i="71"/>
  <c r="AY95" i="71"/>
  <c r="AY85" i="71"/>
  <c r="AE8" i="71"/>
  <c r="AF8" i="71"/>
  <c r="AG8" i="71"/>
  <c r="AH8" i="71"/>
  <c r="AE35" i="71"/>
  <c r="AF35" i="71"/>
  <c r="AG35" i="71"/>
  <c r="AH35" i="71"/>
  <c r="AE17" i="71"/>
  <c r="AF17" i="71"/>
  <c r="AG17" i="71"/>
  <c r="AH17" i="71"/>
  <c r="AE22" i="71"/>
  <c r="AF22" i="71"/>
  <c r="AG22" i="71"/>
  <c r="AH22" i="71"/>
  <c r="AE15" i="71"/>
  <c r="AF15" i="71"/>
  <c r="AG15" i="71"/>
  <c r="AH15" i="71"/>
  <c r="AE42" i="71"/>
  <c r="AF42" i="71"/>
  <c r="AG42" i="71"/>
  <c r="AH42" i="71"/>
  <c r="EE59" i="71"/>
  <c r="AA8" i="71"/>
  <c r="AB8" i="71"/>
  <c r="AC8" i="71"/>
  <c r="AD8" i="71"/>
  <c r="AA35" i="71"/>
  <c r="AB35" i="71"/>
  <c r="AC35" i="71"/>
  <c r="AD35" i="71"/>
  <c r="AA17" i="71"/>
  <c r="AB17" i="71"/>
  <c r="AC17" i="71"/>
  <c r="AD17" i="71"/>
  <c r="AA22" i="71"/>
  <c r="AB22" i="71"/>
  <c r="AC22" i="71"/>
  <c r="AD22" i="71"/>
  <c r="ED43" i="71"/>
  <c r="ED40" i="71"/>
  <c r="AA42" i="71"/>
  <c r="AB42" i="71"/>
  <c r="AC42" i="71"/>
  <c r="AD42" i="71"/>
  <c r="ED59" i="71"/>
  <c r="W8" i="71"/>
  <c r="X8" i="71"/>
  <c r="Y8" i="71"/>
  <c r="Z8" i="71"/>
  <c r="W35" i="71"/>
  <c r="X35" i="71"/>
  <c r="Y35" i="71"/>
  <c r="Z35" i="71"/>
  <c r="W17" i="71"/>
  <c r="X17" i="71"/>
  <c r="Y17" i="71"/>
  <c r="Z17" i="71"/>
  <c r="W22" i="71"/>
  <c r="X22" i="71"/>
  <c r="Y22" i="71"/>
  <c r="Z22" i="71"/>
  <c r="EC40" i="71"/>
  <c r="W42" i="71"/>
  <c r="X42" i="71"/>
  <c r="Y42" i="71"/>
  <c r="Z42" i="71"/>
  <c r="EC59" i="71"/>
  <c r="AI22" i="71"/>
  <c r="AJ22" i="71"/>
  <c r="AK22" i="71"/>
  <c r="AI8" i="71"/>
  <c r="AJ8" i="71"/>
  <c r="AK8" i="71"/>
  <c r="AI35" i="71"/>
  <c r="AJ35" i="71"/>
  <c r="AK35" i="71"/>
  <c r="AL35" i="71"/>
  <c r="EF59" i="71"/>
  <c r="EG50" i="71"/>
  <c r="EG54" i="71"/>
  <c r="EG55" i="71"/>
  <c r="EG56" i="71"/>
  <c r="EG59" i="71"/>
  <c r="EG60" i="71"/>
  <c r="EG61" i="71"/>
  <c r="AM62" i="71"/>
  <c r="AM113" i="71" s="1"/>
  <c r="AM253" i="71" s="1"/>
  <c r="AN62" i="71"/>
  <c r="AN113" i="71" s="1"/>
  <c r="AN115" i="71" s="1"/>
  <c r="AO62" i="71"/>
  <c r="AO113" i="71" s="1"/>
  <c r="AP62" i="71"/>
  <c r="AL62" i="71"/>
  <c r="AL113" i="71" s="1"/>
  <c r="AL115" i="71" s="1"/>
  <c r="AK17" i="71"/>
  <c r="AK15" i="71"/>
  <c r="AK42" i="71"/>
  <c r="AK62" i="71"/>
  <c r="AJ17" i="71"/>
  <c r="AJ15" i="71"/>
  <c r="AJ62" i="71"/>
  <c r="AJ113" i="71" s="1"/>
  <c r="AI17" i="71"/>
  <c r="AI15" i="71"/>
  <c r="AI42" i="71"/>
  <c r="AI62" i="71"/>
  <c r="AI113" i="71" s="1"/>
  <c r="AH62" i="71"/>
  <c r="AH113" i="71" s="1"/>
  <c r="AH115" i="71" s="1"/>
  <c r="AG62" i="71"/>
  <c r="AG113" i="71" s="1"/>
  <c r="AF62" i="71"/>
  <c r="AE62" i="71"/>
  <c r="AY49" i="71"/>
  <c r="AY106" i="71" s="1"/>
  <c r="AY250" i="71" s="1"/>
  <c r="EI77" i="71"/>
  <c r="EI240" i="71" s="1"/>
  <c r="BC64" i="9"/>
  <c r="BB64" i="9"/>
  <c r="BA64" i="9"/>
  <c r="AY64" i="9"/>
  <c r="AX64" i="9"/>
  <c r="AW64" i="9"/>
  <c r="AV64" i="9"/>
  <c r="AU64" i="9"/>
  <c r="AT64" i="9"/>
  <c r="AS64" i="9"/>
  <c r="AX65" i="9"/>
  <c r="AW65" i="9"/>
  <c r="AV65" i="9"/>
  <c r="AU65" i="9"/>
  <c r="AT65" i="9"/>
  <c r="AS65" i="9"/>
  <c r="AR65" i="9"/>
  <c r="AR64" i="9"/>
  <c r="AT62" i="9"/>
  <c r="AT68" i="9"/>
  <c r="BA65" i="9"/>
  <c r="AY65" i="9"/>
  <c r="BB65" i="9"/>
  <c r="BC65" i="9"/>
  <c r="BD65" i="9"/>
  <c r="BE65" i="9"/>
  <c r="AU62" i="9"/>
  <c r="AU68" i="9"/>
  <c r="K65" i="9"/>
  <c r="L65" i="9"/>
  <c r="I64" i="9"/>
  <c r="J64" i="9"/>
  <c r="K64" i="9"/>
  <c r="L64" i="9"/>
  <c r="M64" i="9"/>
  <c r="K62" i="9"/>
  <c r="AV62" i="9"/>
  <c r="AV68" i="9"/>
  <c r="BA62" i="9"/>
  <c r="BA68" i="9"/>
  <c r="AW62" i="9"/>
  <c r="AW68" i="9"/>
  <c r="AX62" i="9"/>
  <c r="AX68" i="9"/>
  <c r="BB62" i="9"/>
  <c r="BB66" i="9"/>
  <c r="AY62" i="9"/>
  <c r="AY68" i="9"/>
  <c r="AY66" i="9"/>
  <c r="BC62" i="9"/>
  <c r="L70" i="9"/>
  <c r="L73" i="9"/>
  <c r="M70" i="9"/>
  <c r="M73" i="9"/>
  <c r="BD62" i="9"/>
  <c r="BD64" i="9"/>
  <c r="AZ62" i="9"/>
  <c r="BE64" i="9"/>
  <c r="BE62" i="9"/>
  <c r="N72" i="9"/>
  <c r="N71" i="9"/>
  <c r="N68" i="9"/>
  <c r="N70" i="9"/>
  <c r="N73" i="9"/>
  <c r="O66" i="9"/>
  <c r="J62" i="9"/>
  <c r="J76" i="9"/>
  <c r="I62" i="9"/>
  <c r="H62" i="9"/>
  <c r="H76" i="9"/>
  <c r="G62" i="9"/>
  <c r="F62" i="9"/>
  <c r="F76" i="9"/>
  <c r="E62" i="9"/>
  <c r="E76" i="9"/>
  <c r="AU113" i="71"/>
  <c r="AU253" i="71" s="1"/>
  <c r="AY113" i="71"/>
  <c r="AY120" i="71"/>
  <c r="AY256" i="71" s="1"/>
  <c r="AU120" i="71"/>
  <c r="AU256" i="71" s="1"/>
  <c r="DZ2" i="71"/>
  <c r="DY2" i="71" s="1"/>
  <c r="DX2" i="71" s="1"/>
  <c r="DW2" i="71" s="1"/>
  <c r="DV2" i="71" s="1"/>
  <c r="DU2" i="71" s="1"/>
  <c r="DT2" i="71" s="1"/>
  <c r="DS2" i="71" s="1"/>
  <c r="DR2" i="71" s="1"/>
  <c r="DQ2" i="71" s="1"/>
  <c r="DP2" i="71" s="1"/>
  <c r="C8" i="71"/>
  <c r="D8" i="71"/>
  <c r="E8" i="71"/>
  <c r="F8" i="71"/>
  <c r="G8" i="71"/>
  <c r="H8" i="71"/>
  <c r="I8" i="71"/>
  <c r="J8" i="71"/>
  <c r="DZ8" i="71"/>
  <c r="T8" i="71"/>
  <c r="U8" i="71"/>
  <c r="V8" i="71"/>
  <c r="C35" i="71"/>
  <c r="D35" i="71"/>
  <c r="E35" i="71"/>
  <c r="F35" i="71"/>
  <c r="G35" i="71"/>
  <c r="H35" i="71"/>
  <c r="I35" i="71"/>
  <c r="J35" i="71"/>
  <c r="K35" i="71"/>
  <c r="L35" i="71"/>
  <c r="M35" i="71"/>
  <c r="N35" i="71"/>
  <c r="T35" i="71"/>
  <c r="U35" i="71"/>
  <c r="V35" i="71"/>
  <c r="K17" i="71"/>
  <c r="L17" i="71"/>
  <c r="M17" i="71"/>
  <c r="N17" i="71"/>
  <c r="O17" i="71"/>
  <c r="P17" i="71"/>
  <c r="Q17" i="71"/>
  <c r="R17" i="71"/>
  <c r="S17" i="71"/>
  <c r="T17" i="71"/>
  <c r="U17" i="71"/>
  <c r="V17" i="71"/>
  <c r="C22" i="71"/>
  <c r="D22" i="71"/>
  <c r="E22" i="71"/>
  <c r="F22" i="71"/>
  <c r="G22" i="71"/>
  <c r="H22" i="71"/>
  <c r="I22" i="71"/>
  <c r="J22" i="71"/>
  <c r="K22" i="71"/>
  <c r="L22" i="71"/>
  <c r="M22" i="71"/>
  <c r="N22" i="71"/>
  <c r="O22" i="71"/>
  <c r="P22" i="71"/>
  <c r="Q22" i="71"/>
  <c r="R22" i="71"/>
  <c r="C15" i="71"/>
  <c r="D15" i="71"/>
  <c r="E15" i="71"/>
  <c r="F15" i="71"/>
  <c r="G15" i="71"/>
  <c r="H15" i="71"/>
  <c r="I15" i="71"/>
  <c r="J15" i="71"/>
  <c r="K15" i="71"/>
  <c r="L15" i="71"/>
  <c r="M15" i="71"/>
  <c r="N15" i="71"/>
  <c r="O15" i="71"/>
  <c r="P15" i="71"/>
  <c r="Q15" i="71"/>
  <c r="R15" i="71"/>
  <c r="EB16" i="71"/>
  <c r="DX40" i="71"/>
  <c r="DY40" i="71"/>
  <c r="L40" i="71"/>
  <c r="M40" i="71"/>
  <c r="N40" i="71"/>
  <c r="O40" i="71"/>
  <c r="P40" i="71"/>
  <c r="Q40" i="71"/>
  <c r="R40" i="71"/>
  <c r="EB40" i="71"/>
  <c r="C41" i="71"/>
  <c r="D41" i="71"/>
  <c r="E41" i="71"/>
  <c r="F41" i="71"/>
  <c r="G41" i="71"/>
  <c r="H41" i="71"/>
  <c r="I41" i="71"/>
  <c r="J41" i="71"/>
  <c r="K41" i="71"/>
  <c r="L41" i="71"/>
  <c r="M41" i="71"/>
  <c r="N41" i="71"/>
  <c r="O41" i="71"/>
  <c r="P41" i="71"/>
  <c r="Q41" i="71"/>
  <c r="R41" i="71"/>
  <c r="C42" i="71"/>
  <c r="D42" i="71"/>
  <c r="E42" i="71"/>
  <c r="F42" i="71"/>
  <c r="G42" i="71"/>
  <c r="H42" i="71"/>
  <c r="I42" i="71"/>
  <c r="J42" i="71"/>
  <c r="K42" i="71"/>
  <c r="L42" i="71"/>
  <c r="M42" i="71"/>
  <c r="N42" i="71"/>
  <c r="O42" i="71"/>
  <c r="P42" i="71"/>
  <c r="Q42" i="71"/>
  <c r="R42" i="71"/>
  <c r="S42" i="71"/>
  <c r="T42" i="71"/>
  <c r="U42" i="71"/>
  <c r="V42" i="71"/>
  <c r="DW50" i="71"/>
  <c r="G50" i="71"/>
  <c r="C50" i="71" s="1"/>
  <c r="H50" i="71"/>
  <c r="D50" i="71" s="1"/>
  <c r="I50" i="71"/>
  <c r="E50" i="71" s="1"/>
  <c r="J50" i="71"/>
  <c r="F50" i="71"/>
  <c r="EA54" i="71"/>
  <c r="EA93" i="71" s="1"/>
  <c r="EB54" i="71"/>
  <c r="DX55" i="71"/>
  <c r="G55" i="71"/>
  <c r="C55" i="71" s="1"/>
  <c r="H55" i="71"/>
  <c r="L94" i="71" s="1"/>
  <c r="I55" i="71"/>
  <c r="M94" i="71" s="1"/>
  <c r="J55" i="71"/>
  <c r="DZ55" i="71"/>
  <c r="EA55" i="71"/>
  <c r="EB55" i="71"/>
  <c r="F55" i="71"/>
  <c r="G56" i="71"/>
  <c r="K95" i="71" s="1"/>
  <c r="H56" i="71"/>
  <c r="I56" i="71"/>
  <c r="M95" i="71" s="1"/>
  <c r="F56" i="71"/>
  <c r="J56" i="71"/>
  <c r="N95" i="71" s="1"/>
  <c r="DZ56" i="71"/>
  <c r="EA56" i="71"/>
  <c r="EB56" i="71"/>
  <c r="G59" i="71"/>
  <c r="C59" i="71" s="1"/>
  <c r="H59" i="71"/>
  <c r="D59" i="71" s="1"/>
  <c r="I59" i="71"/>
  <c r="F59" i="71"/>
  <c r="J59" i="71"/>
  <c r="K59" i="71"/>
  <c r="L59" i="71"/>
  <c r="M59" i="71"/>
  <c r="N59" i="71"/>
  <c r="EA59" i="71"/>
  <c r="EB59" i="71"/>
  <c r="DW60" i="71"/>
  <c r="G60" i="71"/>
  <c r="C60" i="71" s="1"/>
  <c r="H60" i="71"/>
  <c r="I60" i="71"/>
  <c r="J60" i="71"/>
  <c r="K60" i="71"/>
  <c r="L60" i="71"/>
  <c r="M60" i="71"/>
  <c r="N60" i="71"/>
  <c r="EA60" i="71"/>
  <c r="EB60" i="71"/>
  <c r="F60" i="71"/>
  <c r="DX61" i="71"/>
  <c r="DW61" i="71" s="1"/>
  <c r="G61" i="71"/>
  <c r="K96" i="71" s="1"/>
  <c r="H61" i="71"/>
  <c r="L96" i="71" s="1"/>
  <c r="I61" i="71"/>
  <c r="M96" i="71" s="1"/>
  <c r="J61" i="71"/>
  <c r="N96" i="71" s="1"/>
  <c r="EA61" i="71"/>
  <c r="EB61" i="71"/>
  <c r="F61" i="71"/>
  <c r="DY62" i="71"/>
  <c r="EA62" i="71"/>
  <c r="EB62" i="71"/>
  <c r="DY65" i="71"/>
  <c r="DY66" i="71" s="1"/>
  <c r="EG65" i="71"/>
  <c r="DP66" i="71"/>
  <c r="DP70" i="71" s="1"/>
  <c r="DQ66" i="71"/>
  <c r="DQ98" i="71" s="1"/>
  <c r="DR66" i="71"/>
  <c r="DR70" i="71" s="1"/>
  <c r="DS66" i="71"/>
  <c r="DS70" i="71" s="1"/>
  <c r="DS101" i="71" s="1"/>
  <c r="DT66" i="71"/>
  <c r="DT98" i="71" s="1"/>
  <c r="DU66" i="71"/>
  <c r="DU234" i="71" s="1"/>
  <c r="DV66" i="71"/>
  <c r="DV70" i="71" s="1"/>
  <c r="DV101" i="71" s="1"/>
  <c r="DW66" i="71"/>
  <c r="DX66" i="71"/>
  <c r="DX70" i="71" s="1"/>
  <c r="DZ66" i="71"/>
  <c r="DZ234" i="71" s="1"/>
  <c r="EA66" i="71"/>
  <c r="EA234" i="71" s="1"/>
  <c r="EB66" i="71"/>
  <c r="EB234" i="71" s="1"/>
  <c r="C66" i="71"/>
  <c r="C70" i="71" s="1"/>
  <c r="D66" i="71"/>
  <c r="D98" i="71" s="1"/>
  <c r="E66" i="71"/>
  <c r="E70" i="71" s="1"/>
  <c r="E101" i="71" s="1"/>
  <c r="F66" i="71"/>
  <c r="F98" i="71" s="1"/>
  <c r="G66" i="71"/>
  <c r="G70" i="71" s="1"/>
  <c r="G101" i="71" s="1"/>
  <c r="H66" i="71"/>
  <c r="H70" i="71" s="1"/>
  <c r="H101" i="71" s="1"/>
  <c r="I66" i="71"/>
  <c r="I70" i="71" s="1"/>
  <c r="I101" i="71" s="1"/>
  <c r="J66" i="71"/>
  <c r="J70" i="71" s="1"/>
  <c r="J73" i="71" s="1"/>
  <c r="K66" i="71"/>
  <c r="K70" i="71" s="1"/>
  <c r="K101" i="71" s="1"/>
  <c r="L66" i="71"/>
  <c r="L98" i="71" s="1"/>
  <c r="M66" i="71"/>
  <c r="M70" i="71" s="1"/>
  <c r="M101" i="71" s="1"/>
  <c r="N66" i="71"/>
  <c r="N70" i="71" s="1"/>
  <c r="N73" i="71" s="1"/>
  <c r="O66" i="71"/>
  <c r="O70" i="71" s="1"/>
  <c r="P66" i="71"/>
  <c r="P70" i="71" s="1"/>
  <c r="P101" i="71" s="1"/>
  <c r="Q66" i="71"/>
  <c r="Q70" i="71" s="1"/>
  <c r="Q101" i="71" s="1"/>
  <c r="R66" i="71"/>
  <c r="R70" i="71" s="1"/>
  <c r="S66" i="71"/>
  <c r="S70" i="71" s="1"/>
  <c r="S101" i="71" s="1"/>
  <c r="T66" i="71"/>
  <c r="T98" i="71" s="1"/>
  <c r="U66" i="71"/>
  <c r="U70" i="71" s="1"/>
  <c r="U101" i="71" s="1"/>
  <c r="V66" i="71"/>
  <c r="V98" i="71" s="1"/>
  <c r="W66" i="71"/>
  <c r="X66" i="71"/>
  <c r="X70" i="71" s="1"/>
  <c r="Y66" i="71"/>
  <c r="Y70" i="71" s="1"/>
  <c r="Z66" i="71"/>
  <c r="EG67" i="71"/>
  <c r="AN68" i="71"/>
  <c r="EG68" i="71" s="1"/>
  <c r="DP71" i="71"/>
  <c r="DQ71" i="71"/>
  <c r="DR71" i="71"/>
  <c r="DS71" i="71"/>
  <c r="DT71" i="71"/>
  <c r="DU71" i="71"/>
  <c r="DV72" i="71"/>
  <c r="DW72" i="71"/>
  <c r="DX72" i="71"/>
  <c r="DY72" i="71"/>
  <c r="DZ72" i="71"/>
  <c r="EA72" i="71"/>
  <c r="EB72" i="71"/>
  <c r="EC72" i="71"/>
  <c r="ED72" i="71"/>
  <c r="EE72" i="71"/>
  <c r="EF72" i="71"/>
  <c r="C72" i="71"/>
  <c r="D72" i="71"/>
  <c r="E72" i="71"/>
  <c r="G72" i="71"/>
  <c r="H72" i="71"/>
  <c r="I72" i="71"/>
  <c r="K72" i="71"/>
  <c r="L72" i="71"/>
  <c r="M72" i="71"/>
  <c r="O72" i="71"/>
  <c r="P72" i="71"/>
  <c r="Q72" i="71"/>
  <c r="T72" i="71"/>
  <c r="U72" i="71"/>
  <c r="W72" i="71"/>
  <c r="X72" i="71"/>
  <c r="Y72" i="71"/>
  <c r="AA72" i="71"/>
  <c r="AB72" i="71"/>
  <c r="AC72" i="71"/>
  <c r="AG72" i="71"/>
  <c r="AH74" i="71"/>
  <c r="DP77" i="71"/>
  <c r="DQ77" i="71"/>
  <c r="DQ240" i="71" s="1"/>
  <c r="DR77" i="71"/>
  <c r="DR240" i="71" s="1"/>
  <c r="DS77" i="71"/>
  <c r="DS240" i="71" s="1"/>
  <c r="DT77" i="71"/>
  <c r="DT240" i="71" s="1"/>
  <c r="DU77" i="71"/>
  <c r="DU240" i="71" s="1"/>
  <c r="DV77" i="71"/>
  <c r="DV240" i="71" s="1"/>
  <c r="DW77" i="71"/>
  <c r="DW240" i="71" s="1"/>
  <c r="DX77" i="71"/>
  <c r="DX240" i="71" s="1"/>
  <c r="DY77" i="71"/>
  <c r="DY240" i="71" s="1"/>
  <c r="DZ77" i="71"/>
  <c r="DZ240" i="71" s="1"/>
  <c r="EA77" i="71"/>
  <c r="EA240" i="71" s="1"/>
  <c r="EC77" i="71"/>
  <c r="EC240" i="71" s="1"/>
  <c r="ED77" i="71"/>
  <c r="ED240" i="71" s="1"/>
  <c r="EE77" i="71"/>
  <c r="EE240" i="71" s="1"/>
  <c r="EF77" i="71"/>
  <c r="EF240" i="71" s="1"/>
  <c r="C77" i="71"/>
  <c r="D77" i="71"/>
  <c r="E77" i="71"/>
  <c r="F77" i="71"/>
  <c r="G77" i="71"/>
  <c r="H77" i="71"/>
  <c r="I77" i="71"/>
  <c r="J77" i="71"/>
  <c r="K77" i="71"/>
  <c r="L77" i="71"/>
  <c r="M77" i="71"/>
  <c r="N77" i="71"/>
  <c r="O77" i="71"/>
  <c r="P77" i="71"/>
  <c r="Q77" i="71"/>
  <c r="R77" i="71"/>
  <c r="S77" i="71"/>
  <c r="Z77" i="71"/>
  <c r="DQ80" i="71"/>
  <c r="DR80" i="71"/>
  <c r="DS80" i="71"/>
  <c r="DT80" i="71"/>
  <c r="DU80" i="71"/>
  <c r="DV80" i="71"/>
  <c r="DW80" i="71"/>
  <c r="DX80" i="71"/>
  <c r="DY80" i="71"/>
  <c r="DZ80" i="71"/>
  <c r="EA80" i="71"/>
  <c r="EB80" i="71"/>
  <c r="H80" i="71"/>
  <c r="I80" i="71"/>
  <c r="J80" i="71"/>
  <c r="K80" i="71"/>
  <c r="L80" i="71"/>
  <c r="M80" i="71"/>
  <c r="N80" i="71"/>
  <c r="O80" i="71"/>
  <c r="P80" i="71"/>
  <c r="Q80" i="71"/>
  <c r="R80" i="71"/>
  <c r="S80" i="71"/>
  <c r="T80" i="71"/>
  <c r="U80" i="71"/>
  <c r="V80" i="71"/>
  <c r="W80" i="71"/>
  <c r="X80" i="71"/>
  <c r="Y80" i="71"/>
  <c r="Z80" i="71"/>
  <c r="EF85" i="71"/>
  <c r="AS85" i="71"/>
  <c r="AT85" i="71"/>
  <c r="AU85" i="71"/>
  <c r="AV85" i="71"/>
  <c r="AW85" i="71"/>
  <c r="AX85" i="71"/>
  <c r="O94" i="71"/>
  <c r="P94" i="71"/>
  <c r="Q94" i="71"/>
  <c r="R94" i="71"/>
  <c r="S94" i="71"/>
  <c r="T94" i="71"/>
  <c r="U94" i="71"/>
  <c r="V94" i="71"/>
  <c r="W94" i="71"/>
  <c r="X94" i="71"/>
  <c r="Y94" i="71"/>
  <c r="Z94" i="71"/>
  <c r="AA94" i="71"/>
  <c r="AB94" i="71"/>
  <c r="AC94" i="71"/>
  <c r="AD94" i="71"/>
  <c r="AE94" i="71"/>
  <c r="AF94" i="71"/>
  <c r="AG94" i="71"/>
  <c r="AH94" i="71"/>
  <c r="AI94" i="71"/>
  <c r="AJ94" i="71"/>
  <c r="AK94" i="71"/>
  <c r="AL94" i="71"/>
  <c r="AM94" i="71"/>
  <c r="AN94" i="71"/>
  <c r="AO94" i="71"/>
  <c r="AP94" i="71"/>
  <c r="AQ94" i="71"/>
  <c r="AR94" i="71"/>
  <c r="AS94" i="71"/>
  <c r="AT94" i="71"/>
  <c r="AU94" i="71"/>
  <c r="AV94" i="71"/>
  <c r="AW94" i="71"/>
  <c r="AX94" i="71"/>
  <c r="O95" i="71"/>
  <c r="P95" i="71"/>
  <c r="Q95" i="71"/>
  <c r="R95" i="71"/>
  <c r="S95" i="71"/>
  <c r="T95" i="71"/>
  <c r="U95" i="71"/>
  <c r="V95" i="71"/>
  <c r="W95" i="71"/>
  <c r="X95" i="71"/>
  <c r="Y95" i="71"/>
  <c r="Z95" i="71"/>
  <c r="AA95" i="71"/>
  <c r="AB95" i="71"/>
  <c r="AC95" i="71"/>
  <c r="AD95" i="71"/>
  <c r="AE95" i="71"/>
  <c r="AF95" i="71"/>
  <c r="AG95" i="71"/>
  <c r="AH95" i="71"/>
  <c r="AI95" i="71"/>
  <c r="AJ95" i="71"/>
  <c r="AK95" i="71"/>
  <c r="AL95" i="71"/>
  <c r="AM95" i="71"/>
  <c r="AN95" i="71"/>
  <c r="AO95" i="71"/>
  <c r="AP95" i="71"/>
  <c r="AQ95" i="71"/>
  <c r="AR95" i="71"/>
  <c r="AS95" i="71"/>
  <c r="AT95" i="71"/>
  <c r="AU95" i="71"/>
  <c r="AV95" i="71"/>
  <c r="AW95" i="71"/>
  <c r="AX95" i="71"/>
  <c r="O96" i="71"/>
  <c r="P96" i="71"/>
  <c r="Q96" i="71"/>
  <c r="R96" i="71"/>
  <c r="S96" i="71"/>
  <c r="T96" i="71"/>
  <c r="U96" i="71"/>
  <c r="V96" i="71"/>
  <c r="W96" i="71"/>
  <c r="X96" i="71"/>
  <c r="Y96" i="71"/>
  <c r="Z96" i="71"/>
  <c r="AA96" i="71"/>
  <c r="AB96" i="71"/>
  <c r="AC96" i="71"/>
  <c r="AD96" i="71"/>
  <c r="AE96" i="71"/>
  <c r="AF96" i="71"/>
  <c r="AG96" i="71"/>
  <c r="AH96" i="71"/>
  <c r="AI96" i="71"/>
  <c r="AJ96" i="71"/>
  <c r="AK96" i="71"/>
  <c r="AL96" i="71"/>
  <c r="AM96" i="71"/>
  <c r="AN96" i="71"/>
  <c r="AO96" i="71"/>
  <c r="AP96" i="71"/>
  <c r="AQ96" i="71"/>
  <c r="AR96" i="71"/>
  <c r="AS96" i="71"/>
  <c r="AT96" i="71"/>
  <c r="AU96" i="71"/>
  <c r="AV96" i="71"/>
  <c r="AW96" i="71"/>
  <c r="AX96" i="71"/>
  <c r="AY96" i="71"/>
  <c r="DP99" i="71"/>
  <c r="DQ99" i="71"/>
  <c r="DR99" i="71"/>
  <c r="DS99" i="71"/>
  <c r="DT99" i="71"/>
  <c r="DU99" i="71"/>
  <c r="DV99" i="71"/>
  <c r="DW99" i="71"/>
  <c r="DX99" i="71"/>
  <c r="DY99" i="71"/>
  <c r="DZ99" i="71"/>
  <c r="EA99" i="71"/>
  <c r="EB99" i="71"/>
  <c r="C99" i="71"/>
  <c r="D99" i="71"/>
  <c r="E99" i="71"/>
  <c r="F99" i="71"/>
  <c r="G99" i="71"/>
  <c r="H99" i="71"/>
  <c r="I99" i="71"/>
  <c r="J99" i="71"/>
  <c r="K99" i="71"/>
  <c r="L99" i="71"/>
  <c r="M99" i="71"/>
  <c r="N99" i="71"/>
  <c r="O99" i="71"/>
  <c r="P99" i="71"/>
  <c r="Q99" i="71"/>
  <c r="R99" i="71"/>
  <c r="S99" i="71"/>
  <c r="T99" i="71"/>
  <c r="U99" i="71"/>
  <c r="V99" i="71"/>
  <c r="W99" i="71"/>
  <c r="X99" i="71"/>
  <c r="Y99" i="71"/>
  <c r="Z99" i="71"/>
  <c r="DP100" i="71"/>
  <c r="DQ100" i="71"/>
  <c r="DR100" i="71"/>
  <c r="DS100" i="71"/>
  <c r="DT100" i="71"/>
  <c r="DU100" i="71"/>
  <c r="DV100" i="71"/>
  <c r="DW100" i="71"/>
  <c r="DX100" i="71"/>
  <c r="DY100" i="71"/>
  <c r="DZ100" i="71"/>
  <c r="EA100" i="71"/>
  <c r="EB100" i="71"/>
  <c r="C100" i="71"/>
  <c r="D100" i="71"/>
  <c r="E100" i="71"/>
  <c r="F100" i="71"/>
  <c r="G100" i="71"/>
  <c r="H100" i="71"/>
  <c r="I100" i="71"/>
  <c r="J100" i="71"/>
  <c r="K100" i="71"/>
  <c r="L100" i="71"/>
  <c r="M100" i="71"/>
  <c r="N100" i="71"/>
  <c r="O100" i="71"/>
  <c r="P100" i="71"/>
  <c r="Q100" i="71"/>
  <c r="R100" i="71"/>
  <c r="S100" i="71"/>
  <c r="T100" i="71"/>
  <c r="U100" i="71"/>
  <c r="V100" i="71"/>
  <c r="W100" i="71"/>
  <c r="X100" i="71"/>
  <c r="Y100" i="71"/>
  <c r="Z100" i="71"/>
  <c r="EF107" i="71"/>
  <c r="EF108" i="71" s="1"/>
  <c r="DS108" i="71"/>
  <c r="DT108" i="71"/>
  <c r="DU108" i="71"/>
  <c r="DV108" i="71"/>
  <c r="DW108" i="71"/>
  <c r="DX108" i="71"/>
  <c r="DY108" i="71"/>
  <c r="DZ108" i="71"/>
  <c r="EA108" i="71"/>
  <c r="EB108" i="71"/>
  <c r="EC108" i="71"/>
  <c r="ED108" i="71"/>
  <c r="EE108" i="71"/>
  <c r="W108" i="71"/>
  <c r="X108" i="71"/>
  <c r="Y108" i="71"/>
  <c r="Z108" i="71"/>
  <c r="AA108" i="71"/>
  <c r="AB108" i="71"/>
  <c r="AC108" i="71"/>
  <c r="AD108" i="71"/>
  <c r="AE108" i="71"/>
  <c r="DS109" i="71"/>
  <c r="DT109" i="71"/>
  <c r="DU109" i="71"/>
  <c r="DV109" i="71"/>
  <c r="DW109" i="71"/>
  <c r="DX109" i="71"/>
  <c r="DY109" i="71"/>
  <c r="DZ109" i="71"/>
  <c r="EA109" i="71"/>
  <c r="EB109" i="71"/>
  <c r="Z109" i="71"/>
  <c r="DT110" i="71"/>
  <c r="DU110" i="71"/>
  <c r="DV110" i="71"/>
  <c r="DW110" i="71"/>
  <c r="DX110" i="71"/>
  <c r="DY110" i="71"/>
  <c r="DZ110" i="71"/>
  <c r="EA110" i="71"/>
  <c r="EB110" i="71"/>
  <c r="EC110" i="71"/>
  <c r="ED110" i="71"/>
  <c r="EE110" i="71"/>
  <c r="EF110" i="71"/>
  <c r="AT113" i="71"/>
  <c r="AV113" i="71"/>
  <c r="AV253" i="71" s="1"/>
  <c r="AW113" i="71"/>
  <c r="AX113" i="71"/>
  <c r="AM114" i="71"/>
  <c r="DS115" i="71"/>
  <c r="DT115" i="71"/>
  <c r="DU115" i="71"/>
  <c r="DV115" i="71"/>
  <c r="DW115" i="71"/>
  <c r="DX115" i="71"/>
  <c r="DY115" i="71"/>
  <c r="DZ115" i="71"/>
  <c r="EA115" i="71"/>
  <c r="EB115" i="71"/>
  <c r="ED115" i="71"/>
  <c r="W115" i="71"/>
  <c r="X115" i="71"/>
  <c r="Y115" i="71"/>
  <c r="Z115" i="71"/>
  <c r="AA115" i="71"/>
  <c r="AB115" i="71"/>
  <c r="AC115" i="71"/>
  <c r="AD115" i="71"/>
  <c r="AE115" i="71"/>
  <c r="DS116" i="71"/>
  <c r="DT116" i="71"/>
  <c r="DU116" i="71"/>
  <c r="DV116" i="71"/>
  <c r="DW116" i="71"/>
  <c r="DX116" i="71"/>
  <c r="DY116" i="71"/>
  <c r="DZ116" i="71"/>
  <c r="EA116" i="71"/>
  <c r="EB116" i="71"/>
  <c r="Z116" i="71"/>
  <c r="S120" i="71"/>
  <c r="T120" i="71"/>
  <c r="U120" i="71"/>
  <c r="V120" i="71"/>
  <c r="W120" i="71"/>
  <c r="W122" i="71" s="1"/>
  <c r="X120" i="71"/>
  <c r="X122" i="71" s="1"/>
  <c r="Y120" i="71"/>
  <c r="Y122" i="71" s="1"/>
  <c r="Z120" i="71"/>
  <c r="Z122" i="71" s="1"/>
  <c r="AA120" i="71"/>
  <c r="AA122" i="71" s="1"/>
  <c r="AB120" i="71"/>
  <c r="AB122" i="71" s="1"/>
  <c r="AC120" i="71"/>
  <c r="AD120" i="71"/>
  <c r="AD122" i="71" s="1"/>
  <c r="AE120" i="71"/>
  <c r="AE122" i="71" s="1"/>
  <c r="AF120" i="71"/>
  <c r="AF122" i="71" s="1"/>
  <c r="AG120" i="71"/>
  <c r="AG122" i="71" s="1"/>
  <c r="AH120" i="71"/>
  <c r="AH122" i="71" s="1"/>
  <c r="AI120" i="71"/>
  <c r="AI122" i="71" s="1"/>
  <c r="AJ120" i="71"/>
  <c r="AJ122" i="71" s="1"/>
  <c r="AK120" i="71"/>
  <c r="AK122" i="71" s="1"/>
  <c r="AL120" i="71"/>
  <c r="AL122" i="71" s="1"/>
  <c r="AM120" i="71"/>
  <c r="AM122" i="71" s="1"/>
  <c r="AN120" i="71"/>
  <c r="AN122" i="71" s="1"/>
  <c r="AO120" i="71"/>
  <c r="AO256" i="71" s="1"/>
  <c r="AP120" i="71"/>
  <c r="AP256" i="71" s="1"/>
  <c r="AQ120" i="71"/>
  <c r="AR120" i="71"/>
  <c r="AS120" i="71"/>
  <c r="AS256" i="71" s="1"/>
  <c r="AT120" i="71"/>
  <c r="AT256" i="71" s="1"/>
  <c r="AV120" i="71"/>
  <c r="AW120" i="71"/>
  <c r="AW256" i="71" s="1"/>
  <c r="AX120" i="71"/>
  <c r="AX256" i="71" s="1"/>
  <c r="DS122" i="71"/>
  <c r="DT122" i="71"/>
  <c r="DU122" i="71"/>
  <c r="DV122" i="71"/>
  <c r="DW122" i="71"/>
  <c r="DX122" i="71"/>
  <c r="DY122" i="71"/>
  <c r="DZ122" i="71"/>
  <c r="EA122" i="71"/>
  <c r="EB122" i="71"/>
  <c r="EC122" i="71"/>
  <c r="ED122" i="71"/>
  <c r="EE122" i="71"/>
  <c r="DS123" i="71"/>
  <c r="DT123" i="71"/>
  <c r="DU123" i="71"/>
  <c r="DV123" i="71"/>
  <c r="DW123" i="71"/>
  <c r="DX123" i="71"/>
  <c r="DY123" i="71"/>
  <c r="DZ123" i="71"/>
  <c r="EA123" i="71"/>
  <c r="EB123" i="71"/>
  <c r="EB131" i="71"/>
  <c r="EC131" i="71"/>
  <c r="ED131" i="71"/>
  <c r="EE131" i="71"/>
  <c r="EF131" i="71"/>
  <c r="EF149" i="71"/>
  <c r="AP149" i="71"/>
  <c r="AP145" i="71" s="1"/>
  <c r="AQ149" i="71"/>
  <c r="AQ145" i="71" s="1"/>
  <c r="AR149" i="71"/>
  <c r="AR145" i="71" s="1"/>
  <c r="AS149" i="71"/>
  <c r="AS145" i="71" s="1"/>
  <c r="AT149" i="71"/>
  <c r="AT145" i="71" s="1"/>
  <c r="AU149" i="71"/>
  <c r="AU145" i="71" s="1"/>
  <c r="AV149" i="71"/>
  <c r="AV145" i="71" s="1"/>
  <c r="EG156" i="71"/>
  <c r="AM156" i="71"/>
  <c r="AP156" i="71"/>
  <c r="AQ156" i="71"/>
  <c r="AR156" i="71"/>
  <c r="AS156" i="71"/>
  <c r="AT156" i="71"/>
  <c r="AU156" i="71"/>
  <c r="AV156" i="71"/>
  <c r="EG167" i="71"/>
  <c r="EG172" i="71" s="1"/>
  <c r="AM167" i="71"/>
  <c r="AM172" i="71" s="1"/>
  <c r="AM178" i="71" s="1"/>
  <c r="AI187" i="71"/>
  <c r="AI188" i="71" s="1"/>
  <c r="AM187" i="71"/>
  <c r="AM188" i="71" s="1"/>
  <c r="AR187" i="71"/>
  <c r="AQ188" i="71"/>
  <c r="AR206" i="71"/>
  <c r="AS206" i="71" s="1"/>
  <c r="AT206" i="71" s="1"/>
  <c r="AU188" i="71"/>
  <c r="AV206" i="71"/>
  <c r="AW206" i="71" s="1"/>
  <c r="AR193" i="71"/>
  <c r="AS193" i="71" s="1"/>
  <c r="AT193" i="71" s="1"/>
  <c r="AV193" i="71"/>
  <c r="AW193" i="71" s="1"/>
  <c r="AX193" i="71" s="1"/>
  <c r="AR194" i="71"/>
  <c r="AS194" i="71" s="1"/>
  <c r="AT194" i="71" s="1"/>
  <c r="AV194" i="71"/>
  <c r="AW194" i="71" s="1"/>
  <c r="AX194" i="71" s="1"/>
  <c r="AR195" i="71"/>
  <c r="AS195" i="71" s="1"/>
  <c r="AT195" i="71" s="1"/>
  <c r="AV195" i="71"/>
  <c r="AX195" i="71" s="1"/>
  <c r="AR197" i="71"/>
  <c r="AS197" i="71" s="1"/>
  <c r="AT197" i="71" s="1"/>
  <c r="AV197" i="71"/>
  <c r="AW197" i="71" s="1"/>
  <c r="AX197" i="71" s="1"/>
  <c r="AR198" i="71"/>
  <c r="AS198" i="71" s="1"/>
  <c r="AT198" i="71" s="1"/>
  <c r="AV198" i="71"/>
  <c r="AW198" i="71" s="1"/>
  <c r="AX198" i="71" s="1"/>
  <c r="AR199" i="71"/>
  <c r="AS199" i="71" s="1"/>
  <c r="AT199" i="71" s="1"/>
  <c r="AV199" i="71"/>
  <c r="AW199" i="71" s="1"/>
  <c r="AX199" i="71" s="1"/>
  <c r="AR200" i="71"/>
  <c r="AS200" i="71" s="1"/>
  <c r="AT200" i="71" s="1"/>
  <c r="AV200" i="71"/>
  <c r="AW200" i="71" s="1"/>
  <c r="AX200" i="71" s="1"/>
  <c r="AR201" i="71"/>
  <c r="AS201" i="71" s="1"/>
  <c r="AT201" i="71" s="1"/>
  <c r="AV201" i="71"/>
  <c r="AW201" i="71" s="1"/>
  <c r="AX201" i="71" s="1"/>
  <c r="AR202" i="71"/>
  <c r="AS202" i="71" s="1"/>
  <c r="AT202" i="71" s="1"/>
  <c r="AV202" i="71"/>
  <c r="AW202" i="71" s="1"/>
  <c r="AX202" i="71" s="1"/>
  <c r="AR203" i="71"/>
  <c r="AS203" i="71" s="1"/>
  <c r="AT203" i="71" s="1"/>
  <c r="AV203" i="71"/>
  <c r="AW203" i="71" s="1"/>
  <c r="AX203" i="71" s="1"/>
  <c r="DS228" i="71"/>
  <c r="DT228" i="71"/>
  <c r="DU228" i="71"/>
  <c r="DV228" i="71"/>
  <c r="DW228" i="71"/>
  <c r="DX228" i="71"/>
  <c r="DY228" i="71"/>
  <c r="DZ228" i="71"/>
  <c r="EA228" i="71"/>
  <c r="EB228" i="71"/>
  <c r="EC228" i="71"/>
  <c r="ED228" i="71"/>
  <c r="EE228" i="71"/>
  <c r="EF228" i="71"/>
  <c r="DS230" i="71"/>
  <c r="DT230" i="71"/>
  <c r="DU230" i="71"/>
  <c r="DV230" i="71"/>
  <c r="DW230" i="71"/>
  <c r="DX230" i="71"/>
  <c r="DY230" i="71"/>
  <c r="DZ230" i="71"/>
  <c r="EA230" i="71"/>
  <c r="EB230" i="71"/>
  <c r="ED230" i="71"/>
  <c r="DS232" i="71"/>
  <c r="DT232" i="71"/>
  <c r="DU232" i="71"/>
  <c r="DV232" i="71"/>
  <c r="DW232" i="71"/>
  <c r="DX232" i="71"/>
  <c r="DY232" i="71"/>
  <c r="DZ232" i="71"/>
  <c r="EA232" i="71"/>
  <c r="EB232" i="71"/>
  <c r="EC232" i="71"/>
  <c r="ED232" i="71"/>
  <c r="EE232" i="71"/>
  <c r="G248" i="71"/>
  <c r="H248" i="71"/>
  <c r="I248" i="71"/>
  <c r="J248" i="71"/>
  <c r="G249" i="71"/>
  <c r="H249" i="71"/>
  <c r="I249" i="71"/>
  <c r="J249" i="71"/>
  <c r="DY250" i="71"/>
  <c r="DZ250" i="71"/>
  <c r="EA250" i="71"/>
  <c r="EB250" i="71"/>
  <c r="EC250" i="71"/>
  <c r="ED250" i="71"/>
  <c r="EE250" i="71"/>
  <c r="EF250" i="71"/>
  <c r="S250" i="71"/>
  <c r="T250" i="71"/>
  <c r="U250" i="71"/>
  <c r="V250" i="71"/>
  <c r="W250" i="71"/>
  <c r="X250" i="71"/>
  <c r="Y250" i="71"/>
  <c r="Z250" i="71"/>
  <c r="AA250" i="71"/>
  <c r="AB250" i="71"/>
  <c r="AC250" i="71"/>
  <c r="AD250" i="71"/>
  <c r="AE250" i="71"/>
  <c r="EB253" i="71"/>
  <c r="EC253" i="71"/>
  <c r="ED253" i="71"/>
  <c r="EE253" i="71"/>
  <c r="EF253" i="71"/>
  <c r="S253" i="71"/>
  <c r="T253" i="71"/>
  <c r="U253" i="71"/>
  <c r="V253" i="71"/>
  <c r="W253" i="71"/>
  <c r="X253" i="71"/>
  <c r="Y253" i="71"/>
  <c r="Z253" i="71"/>
  <c r="AA253" i="71"/>
  <c r="AB253" i="71"/>
  <c r="AC253" i="71"/>
  <c r="AD253" i="71"/>
  <c r="AE253" i="71"/>
  <c r="EB256" i="71"/>
  <c r="EC256" i="71"/>
  <c r="ED256" i="71"/>
  <c r="EE256" i="71"/>
  <c r="EF256" i="71"/>
  <c r="O28" i="40"/>
  <c r="P28" i="40"/>
  <c r="Q28" i="40"/>
  <c r="R28" i="40"/>
  <c r="K28" i="40"/>
  <c r="L28" i="40"/>
  <c r="M28" i="40"/>
  <c r="N28" i="40"/>
  <c r="O16" i="40"/>
  <c r="P16" i="40"/>
  <c r="Q16" i="40"/>
  <c r="R16" i="40"/>
  <c r="K16" i="40"/>
  <c r="L16" i="40"/>
  <c r="M16" i="40"/>
  <c r="N16" i="40"/>
  <c r="O19" i="40"/>
  <c r="P19" i="40"/>
  <c r="Q19" i="40"/>
  <c r="R19" i="40"/>
  <c r="K19" i="40"/>
  <c r="L19" i="40"/>
  <c r="M19" i="40"/>
  <c r="N19" i="40"/>
  <c r="O25" i="40"/>
  <c r="P25" i="40"/>
  <c r="Q25" i="40"/>
  <c r="R25" i="40"/>
  <c r="K25" i="40"/>
  <c r="L25" i="40"/>
  <c r="M25" i="40"/>
  <c r="N25" i="40"/>
  <c r="B44" i="11"/>
  <c r="B43" i="11"/>
  <c r="B42" i="11"/>
  <c r="B41" i="11"/>
  <c r="B40" i="11"/>
  <c r="B39" i="11"/>
  <c r="B38" i="11"/>
  <c r="B37" i="11"/>
  <c r="B36" i="11"/>
  <c r="B35" i="11"/>
  <c r="B34" i="11"/>
  <c r="C38" i="19"/>
  <c r="C37" i="19"/>
  <c r="C36" i="19" s="1"/>
  <c r="C35" i="19" s="1"/>
  <c r="C34" i="19" s="1"/>
  <c r="C33" i="19" s="1"/>
  <c r="C32" i="19" s="1"/>
  <c r="C31" i="19" s="1"/>
  <c r="C30" i="19" s="1"/>
  <c r="C29" i="19" s="1"/>
  <c r="C28" i="19" s="1"/>
  <c r="J27" i="28"/>
  <c r="K27" i="28"/>
  <c r="R4" i="3"/>
  <c r="AC26" i="40"/>
  <c r="AD26" i="40"/>
  <c r="AE26" i="40"/>
  <c r="AC27" i="40"/>
  <c r="AD27" i="40"/>
  <c r="AE27" i="40"/>
  <c r="I30" i="10"/>
  <c r="H30" i="10"/>
  <c r="G30" i="10"/>
  <c r="F30" i="10"/>
  <c r="E30" i="10"/>
  <c r="D30" i="10"/>
  <c r="D29" i="10"/>
  <c r="E29" i="10"/>
  <c r="F29" i="10"/>
  <c r="G29" i="10"/>
  <c r="H29" i="10"/>
  <c r="I29" i="10"/>
  <c r="D28" i="10"/>
  <c r="E28" i="10"/>
  <c r="F28" i="10"/>
  <c r="G28" i="10"/>
  <c r="H28" i="10"/>
  <c r="I28" i="10"/>
  <c r="Q26" i="10"/>
  <c r="P26" i="10"/>
  <c r="O26" i="10"/>
  <c r="N26" i="10"/>
  <c r="M26" i="10"/>
  <c r="L26" i="10"/>
  <c r="K26" i="10"/>
  <c r="J24" i="10"/>
  <c r="J25" i="10"/>
  <c r="E23" i="10"/>
  <c r="F23" i="10"/>
  <c r="G23" i="10"/>
  <c r="H23" i="10"/>
  <c r="I23" i="10"/>
  <c r="J23" i="10"/>
  <c r="K23" i="10"/>
  <c r="L23" i="10"/>
  <c r="M23" i="10"/>
  <c r="N23" i="10"/>
  <c r="O23" i="10"/>
  <c r="P23" i="10"/>
  <c r="Q23"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D21" i="10"/>
  <c r="C21" i="10"/>
  <c r="I30" i="24"/>
  <c r="H30" i="24"/>
  <c r="G30" i="24"/>
  <c r="F28" i="24"/>
  <c r="F30" i="24"/>
  <c r="E28" i="24"/>
  <c r="E30" i="24"/>
  <c r="D28" i="24"/>
  <c r="D30" i="24"/>
  <c r="F29" i="24"/>
  <c r="E29" i="24"/>
  <c r="D29" i="24"/>
  <c r="P18" i="18"/>
  <c r="K18" i="18"/>
  <c r="F18" i="18"/>
  <c r="D46" i="15"/>
  <c r="C46" i="15"/>
  <c r="G65" i="5"/>
  <c r="G62" i="5"/>
  <c r="H62" i="5"/>
  <c r="I62" i="5"/>
  <c r="J62" i="5"/>
  <c r="K62" i="5"/>
  <c r="L62" i="5"/>
  <c r="L29" i="5"/>
  <c r="G68" i="5"/>
  <c r="G71" i="5"/>
  <c r="H71" i="5"/>
  <c r="I71" i="5"/>
  <c r="J71" i="5"/>
  <c r="K71" i="5"/>
  <c r="L71" i="5"/>
  <c r="M71" i="5"/>
  <c r="N71" i="5"/>
  <c r="O71" i="5"/>
  <c r="P71" i="5"/>
  <c r="Q71" i="5"/>
  <c r="R71" i="5"/>
  <c r="S71" i="5"/>
  <c r="L12" i="43"/>
  <c r="AL12" i="43"/>
  <c r="AL15" i="43"/>
  <c r="AL16" i="43"/>
  <c r="L5" i="43"/>
  <c r="Q5" i="43"/>
  <c r="V5" i="43"/>
  <c r="Q7" i="43"/>
  <c r="Q9" i="43"/>
  <c r="Q11" i="43"/>
  <c r="AK11" i="43"/>
  <c r="H11" i="43"/>
  <c r="Q13" i="43"/>
  <c r="V12" i="43"/>
  <c r="V15" i="43"/>
  <c r="V16" i="43"/>
  <c r="AA12" i="43"/>
  <c r="AA15" i="43"/>
  <c r="AA16" i="43"/>
  <c r="AF12" i="43"/>
  <c r="AF15" i="43"/>
  <c r="AF16" i="43"/>
  <c r="AK15" i="43"/>
  <c r="AK16" i="43"/>
  <c r="AM12" i="43"/>
  <c r="AM15" i="43"/>
  <c r="AM16" i="43"/>
  <c r="C22" i="14"/>
  <c r="C23" i="14"/>
  <c r="F27" i="14"/>
  <c r="G27" i="14"/>
  <c r="G28" i="14"/>
  <c r="G29" i="14"/>
  <c r="H27" i="14"/>
  <c r="F28" i="14"/>
  <c r="H28" i="14"/>
  <c r="K15" i="20"/>
  <c r="L15" i="20"/>
  <c r="M15" i="20"/>
  <c r="R15" i="20"/>
  <c r="S15" i="20"/>
  <c r="T15" i="20"/>
  <c r="U15" i="20"/>
  <c r="V15" i="20"/>
  <c r="V19" i="20"/>
  <c r="W15" i="20"/>
  <c r="W19" i="20"/>
  <c r="X15" i="20"/>
  <c r="Y15" i="20"/>
  <c r="Z15" i="20"/>
  <c r="V17" i="20"/>
  <c r="W17" i="20"/>
  <c r="V18" i="20"/>
  <c r="W18" i="20"/>
  <c r="AC5" i="40"/>
  <c r="AD5" i="40"/>
  <c r="AE5" i="40"/>
  <c r="M32" i="40"/>
  <c r="N32" i="40"/>
  <c r="U32" i="40"/>
  <c r="AC6" i="40"/>
  <c r="C20" i="42"/>
  <c r="AD6" i="40"/>
  <c r="D20" i="42"/>
  <c r="AE6" i="40"/>
  <c r="E20" i="42"/>
  <c r="L33" i="40"/>
  <c r="N33" i="40"/>
  <c r="R33" i="40"/>
  <c r="S33" i="40"/>
  <c r="T33" i="40"/>
  <c r="V33" i="40"/>
  <c r="L7" i="40"/>
  <c r="M7" i="40"/>
  <c r="N7" i="40"/>
  <c r="O7" i="40"/>
  <c r="P7" i="40"/>
  <c r="Q7" i="40"/>
  <c r="R7" i="40"/>
  <c r="S7" i="40"/>
  <c r="T7" i="40"/>
  <c r="U7" i="40"/>
  <c r="V7" i="40"/>
  <c r="C3" i="43"/>
  <c r="AJ12" i="43"/>
  <c r="AJ15" i="43"/>
  <c r="AJ16" i="43"/>
  <c r="I5" i="43"/>
  <c r="K5" i="43"/>
  <c r="W5" i="43"/>
  <c r="C4" i="43"/>
  <c r="E4" i="43"/>
  <c r="E5" i="43"/>
  <c r="F4" i="43"/>
  <c r="F5" i="43"/>
  <c r="G4" i="43"/>
  <c r="G5" i="43"/>
  <c r="H4" i="43"/>
  <c r="H5" i="43"/>
  <c r="I4" i="43"/>
  <c r="J4" i="43"/>
  <c r="N4" i="43"/>
  <c r="O4" i="43"/>
  <c r="P4" i="43"/>
  <c r="Q4" i="43"/>
  <c r="C5" i="43"/>
  <c r="N5" i="43"/>
  <c r="O5" i="43"/>
  <c r="P5" i="43"/>
  <c r="X5" i="43"/>
  <c r="C7" i="43"/>
  <c r="E7" i="43"/>
  <c r="F7" i="43"/>
  <c r="G7" i="43"/>
  <c r="H7" i="43"/>
  <c r="I7" i="43"/>
  <c r="J7" i="43"/>
  <c r="N7" i="43"/>
  <c r="O7" i="43"/>
  <c r="P7" i="43"/>
  <c r="C8" i="43"/>
  <c r="E8" i="43"/>
  <c r="F8" i="43"/>
  <c r="G8" i="43"/>
  <c r="H8" i="43"/>
  <c r="I8" i="43"/>
  <c r="J8" i="43"/>
  <c r="N8" i="43"/>
  <c r="O8" i="43"/>
  <c r="P8" i="43"/>
  <c r="Q8" i="43"/>
  <c r="C9" i="43"/>
  <c r="E9" i="43"/>
  <c r="F9" i="43"/>
  <c r="G9" i="43"/>
  <c r="H9" i="43"/>
  <c r="I9" i="43"/>
  <c r="J9" i="43"/>
  <c r="N9" i="43"/>
  <c r="O9" i="43"/>
  <c r="P9" i="43"/>
  <c r="C10" i="43"/>
  <c r="E10" i="43"/>
  <c r="F10" i="43"/>
  <c r="G10" i="43"/>
  <c r="H10" i="43"/>
  <c r="I10" i="43"/>
  <c r="J10" i="43"/>
  <c r="N10" i="43"/>
  <c r="O10" i="43"/>
  <c r="P10" i="43"/>
  <c r="C11" i="43"/>
  <c r="E11" i="43"/>
  <c r="F11" i="43"/>
  <c r="G11" i="43"/>
  <c r="I11" i="43"/>
  <c r="J11" i="43"/>
  <c r="N11" i="43"/>
  <c r="O11" i="43"/>
  <c r="P11" i="43"/>
  <c r="C12" i="43"/>
  <c r="AE12" i="43"/>
  <c r="AE15" i="43"/>
  <c r="AE16" i="43"/>
  <c r="AN12" i="43"/>
  <c r="AN14" i="43"/>
  <c r="AO12" i="43"/>
  <c r="AO14" i="43"/>
  <c r="AP12" i="43"/>
  <c r="AP14" i="43"/>
  <c r="AQ12" i="43"/>
  <c r="AQ14" i="43"/>
  <c r="AR12" i="43"/>
  <c r="AR14" i="43"/>
  <c r="AS12" i="43"/>
  <c r="AS15" i="43"/>
  <c r="AS16" i="43"/>
  <c r="K12" i="43"/>
  <c r="K14" i="43"/>
  <c r="X12" i="43"/>
  <c r="Z12" i="43"/>
  <c r="Z14" i="43"/>
  <c r="AB12" i="43"/>
  <c r="AC12" i="43"/>
  <c r="AC15" i="43"/>
  <c r="AC16" i="43"/>
  <c r="AI12" i="43"/>
  <c r="AI14" i="43"/>
  <c r="C13" i="43"/>
  <c r="E13" i="43"/>
  <c r="F13" i="43"/>
  <c r="AC11" i="40"/>
  <c r="G13" i="43"/>
  <c r="H13" i="43"/>
  <c r="I13" i="43"/>
  <c r="J13" i="43"/>
  <c r="N13" i="43"/>
  <c r="O13" i="43"/>
  <c r="P13" i="43"/>
  <c r="C14" i="43"/>
  <c r="N14" i="43"/>
  <c r="O14" i="43"/>
  <c r="P14" i="43"/>
  <c r="Q14" i="43"/>
  <c r="AC14" i="43"/>
  <c r="AF14" i="43"/>
  <c r="AK14" i="43"/>
  <c r="D15" i="43"/>
  <c r="D16" i="43"/>
  <c r="AC23" i="40"/>
  <c r="AD23" i="40"/>
  <c r="AE23" i="40"/>
  <c r="AC24" i="40"/>
  <c r="AD24" i="40"/>
  <c r="AE24" i="40"/>
  <c r="AC17" i="40"/>
  <c r="AD17" i="40"/>
  <c r="AE17" i="40"/>
  <c r="AC18" i="40"/>
  <c r="AD18" i="40"/>
  <c r="AE18" i="40"/>
  <c r="AC14" i="40"/>
  <c r="AD14" i="40"/>
  <c r="AE14" i="40"/>
  <c r="AC15" i="40"/>
  <c r="AD15" i="40"/>
  <c r="AE15" i="40"/>
  <c r="AB20" i="40"/>
  <c r="AB21" i="40"/>
  <c r="K22" i="40"/>
  <c r="L22" i="40"/>
  <c r="M22" i="40"/>
  <c r="N22" i="40"/>
  <c r="O22" i="40"/>
  <c r="P22" i="40"/>
  <c r="Q22" i="40"/>
  <c r="R22" i="40"/>
  <c r="S22" i="40"/>
  <c r="T22" i="40"/>
  <c r="U22" i="40"/>
  <c r="V22" i="40"/>
  <c r="AB23" i="40"/>
  <c r="AB24" i="40"/>
  <c r="S25" i="40"/>
  <c r="T25" i="40"/>
  <c r="U25" i="40"/>
  <c r="V25" i="40"/>
  <c r="D46" i="12"/>
  <c r="E46" i="12"/>
  <c r="F46" i="12"/>
  <c r="G46" i="12"/>
  <c r="H46" i="12"/>
  <c r="D47" i="12"/>
  <c r="E47" i="12"/>
  <c r="F47" i="12"/>
  <c r="G47" i="12"/>
  <c r="H47" i="12"/>
  <c r="AC20" i="40"/>
  <c r="AD20" i="40"/>
  <c r="AE20" i="40"/>
  <c r="AC21" i="40"/>
  <c r="AD21" i="40"/>
  <c r="AE21" i="40"/>
  <c r="E27" i="28"/>
  <c r="F27" i="28"/>
  <c r="G27" i="28"/>
  <c r="H27" i="28"/>
  <c r="I27" i="28"/>
  <c r="AB6" i="40"/>
  <c r="H7" i="40"/>
  <c r="I7" i="40"/>
  <c r="AB8" i="40"/>
  <c r="AB9" i="40"/>
  <c r="G10" i="40"/>
  <c r="H10" i="40"/>
  <c r="I10" i="40"/>
  <c r="J10" i="40"/>
  <c r="K10" i="40"/>
  <c r="W10" i="40"/>
  <c r="X10" i="40"/>
  <c r="Y10" i="40"/>
  <c r="J11" i="40"/>
  <c r="J32" i="40"/>
  <c r="O11" i="40"/>
  <c r="AD11" i="40"/>
  <c r="AE11" i="40"/>
  <c r="AE12" i="40"/>
  <c r="G13" i="40"/>
  <c r="H13" i="40"/>
  <c r="I13" i="40"/>
  <c r="K13" i="40"/>
  <c r="L13" i="40"/>
  <c r="M13" i="40"/>
  <c r="N13" i="40"/>
  <c r="P13" i="40"/>
  <c r="Q13" i="40"/>
  <c r="R13" i="40"/>
  <c r="S13" i="40"/>
  <c r="T13" i="40"/>
  <c r="U13" i="40"/>
  <c r="V13" i="40"/>
  <c r="W13" i="40"/>
  <c r="X13" i="40"/>
  <c r="Y13" i="40"/>
  <c r="AB14" i="40"/>
  <c r="AB15" i="40"/>
  <c r="G16" i="40"/>
  <c r="H16" i="40"/>
  <c r="I16" i="40"/>
  <c r="J16" i="40"/>
  <c r="S16" i="40"/>
  <c r="T16" i="40"/>
  <c r="U16" i="40"/>
  <c r="V16" i="40"/>
  <c r="W16" i="40"/>
  <c r="X16" i="40"/>
  <c r="Y16" i="40"/>
  <c r="AB17" i="40"/>
  <c r="AB18" i="40"/>
  <c r="G19" i="40"/>
  <c r="H19" i="40"/>
  <c r="I19" i="40"/>
  <c r="J19" i="40"/>
  <c r="S19" i="40"/>
  <c r="T19" i="40"/>
  <c r="U19" i="40"/>
  <c r="V19" i="40"/>
  <c r="W19" i="40"/>
  <c r="X19" i="40"/>
  <c r="Y19" i="40"/>
  <c r="G22" i="40"/>
  <c r="H22" i="40"/>
  <c r="I22" i="40"/>
  <c r="J22" i="40"/>
  <c r="W22" i="40"/>
  <c r="X22" i="40"/>
  <c r="Y22" i="40"/>
  <c r="G25" i="40"/>
  <c r="H25" i="40"/>
  <c r="I25" i="40"/>
  <c r="J25" i="40"/>
  <c r="W25" i="40"/>
  <c r="X25" i="40"/>
  <c r="Y25" i="40"/>
  <c r="AB26" i="40"/>
  <c r="AB27" i="40"/>
  <c r="G28" i="40"/>
  <c r="H28" i="40"/>
  <c r="I28" i="40"/>
  <c r="J28" i="40"/>
  <c r="S28" i="40"/>
  <c r="T28" i="40"/>
  <c r="U28" i="40"/>
  <c r="V28" i="40"/>
  <c r="W28" i="40"/>
  <c r="X28" i="40"/>
  <c r="Y28" i="40"/>
  <c r="AB29" i="40"/>
  <c r="AB30" i="40"/>
  <c r="AB31" i="40"/>
  <c r="AC29" i="40"/>
  <c r="AD29" i="40"/>
  <c r="AE29" i="40"/>
  <c r="AC30" i="40"/>
  <c r="AD30" i="40"/>
  <c r="AE30" i="40"/>
  <c r="G31" i="40"/>
  <c r="H31" i="40"/>
  <c r="I31" i="40"/>
  <c r="J31" i="40"/>
  <c r="K31" i="40"/>
  <c r="L31" i="40"/>
  <c r="M31" i="40"/>
  <c r="N31" i="40"/>
  <c r="O31" i="40"/>
  <c r="P31" i="40"/>
  <c r="Q31" i="40"/>
  <c r="R31" i="40"/>
  <c r="S31" i="40"/>
  <c r="T31" i="40"/>
  <c r="U31" i="40"/>
  <c r="V31" i="40"/>
  <c r="W31" i="40"/>
  <c r="X31" i="40"/>
  <c r="Y31" i="40"/>
  <c r="G32" i="40"/>
  <c r="H32" i="40"/>
  <c r="I32" i="40"/>
  <c r="K32" i="40"/>
  <c r="P32" i="40"/>
  <c r="R32" i="40"/>
  <c r="W32" i="40"/>
  <c r="X32" i="40"/>
  <c r="Y32" i="40"/>
  <c r="G33" i="40"/>
  <c r="H33" i="40"/>
  <c r="I33" i="40"/>
  <c r="K33" i="40"/>
  <c r="M33" i="40"/>
  <c r="Q33" i="40"/>
  <c r="W33" i="40"/>
  <c r="X33" i="40"/>
  <c r="Y33" i="40"/>
  <c r="C27" i="28"/>
  <c r="D27" i="28"/>
  <c r="C19" i="5"/>
  <c r="D19" i="5"/>
  <c r="E19" i="5"/>
  <c r="F19" i="5"/>
  <c r="G19" i="5"/>
  <c r="H19" i="5"/>
  <c r="I19" i="5"/>
  <c r="I20" i="5"/>
  <c r="J19" i="5"/>
  <c r="J20" i="5"/>
  <c r="K19" i="5"/>
  <c r="L19" i="5"/>
  <c r="M19" i="5"/>
  <c r="N19" i="5"/>
  <c r="O19" i="5"/>
  <c r="C43" i="5"/>
  <c r="P19" i="5"/>
  <c r="D43" i="5"/>
  <c r="Q19" i="5"/>
  <c r="E43" i="5"/>
  <c r="R19" i="5"/>
  <c r="S19" i="5"/>
  <c r="G43" i="5"/>
  <c r="T19" i="5"/>
  <c r="H43" i="5"/>
  <c r="U19" i="5"/>
  <c r="I43" i="5"/>
  <c r="V19" i="5"/>
  <c r="V20" i="5"/>
  <c r="W19" i="5"/>
  <c r="K43" i="5"/>
  <c r="X19" i="5"/>
  <c r="L43" i="5"/>
  <c r="Y19" i="5"/>
  <c r="M43" i="5"/>
  <c r="Z19" i="5"/>
  <c r="AA19" i="5"/>
  <c r="O43" i="5"/>
  <c r="AB19" i="5"/>
  <c r="P43" i="5"/>
  <c r="AC19" i="5"/>
  <c r="Q43" i="5"/>
  <c r="AD19" i="5"/>
  <c r="AE19" i="5"/>
  <c r="S43" i="5"/>
  <c r="AF19" i="5"/>
  <c r="AG19" i="5"/>
  <c r="U43" i="5"/>
  <c r="AH19" i="5"/>
  <c r="V43" i="5"/>
  <c r="G20" i="5"/>
  <c r="H20" i="5"/>
  <c r="K20" i="5"/>
  <c r="L20" i="5"/>
  <c r="N20" i="5"/>
  <c r="O20" i="5"/>
  <c r="P20" i="5"/>
  <c r="Q20" i="5"/>
  <c r="R20" i="5"/>
  <c r="S20" i="5"/>
  <c r="T20" i="5"/>
  <c r="W20" i="5"/>
  <c r="X20" i="5"/>
  <c r="Z20" i="5"/>
  <c r="AA20" i="5"/>
  <c r="AB20" i="5"/>
  <c r="AC20" i="5"/>
  <c r="AD20" i="5"/>
  <c r="AE20" i="5"/>
  <c r="AF20" i="5"/>
  <c r="O22" i="5"/>
  <c r="P22" i="5"/>
  <c r="Q22" i="5"/>
  <c r="R22" i="5"/>
  <c r="S22" i="5"/>
  <c r="T22" i="5"/>
  <c r="U22" i="5"/>
  <c r="V22" i="5"/>
  <c r="K24" i="5"/>
  <c r="L24" i="5"/>
  <c r="M24" i="5"/>
  <c r="N24" i="5"/>
  <c r="O24" i="5"/>
  <c r="P24" i="5"/>
  <c r="Q24" i="5"/>
  <c r="R24" i="5"/>
  <c r="S24" i="5"/>
  <c r="T24" i="5"/>
  <c r="U24" i="5"/>
  <c r="V24" i="5"/>
  <c r="G25" i="5"/>
  <c r="H25" i="5"/>
  <c r="K25" i="5"/>
  <c r="L25" i="5"/>
  <c r="M25" i="5"/>
  <c r="N25" i="5"/>
  <c r="O25" i="5"/>
  <c r="P25" i="5"/>
  <c r="Q25" i="5"/>
  <c r="Q26" i="5"/>
  <c r="R25" i="5"/>
  <c r="S25" i="5"/>
  <c r="T25" i="5"/>
  <c r="K26" i="5"/>
  <c r="L26" i="5"/>
  <c r="O26" i="5"/>
  <c r="P26" i="5"/>
  <c r="R26" i="5"/>
  <c r="S26" i="5"/>
  <c r="T26" i="5"/>
  <c r="M29" i="5"/>
  <c r="O29" i="5"/>
  <c r="P29" i="5"/>
  <c r="L30" i="5"/>
  <c r="M30" i="5"/>
  <c r="O30" i="5"/>
  <c r="P30" i="5"/>
  <c r="Q30" i="5"/>
  <c r="R30" i="5"/>
  <c r="S30" i="5"/>
  <c r="C31" i="5"/>
  <c r="D31" i="5"/>
  <c r="E31" i="5"/>
  <c r="F31" i="5"/>
  <c r="G31" i="5"/>
  <c r="H31" i="5"/>
  <c r="H37" i="5"/>
  <c r="I31" i="5"/>
  <c r="I37" i="5"/>
  <c r="J31" i="5"/>
  <c r="K31" i="5"/>
  <c r="L31" i="5"/>
  <c r="L37" i="5"/>
  <c r="N31" i="5"/>
  <c r="M33" i="5"/>
  <c r="N33" i="5"/>
  <c r="O33" i="5"/>
  <c r="H34" i="5"/>
  <c r="I34" i="5"/>
  <c r="J34" i="5"/>
  <c r="K34" i="5"/>
  <c r="L34" i="5"/>
  <c r="M35" i="5"/>
  <c r="N35" i="5"/>
  <c r="O35" i="5"/>
  <c r="P35" i="5"/>
  <c r="Q35" i="5"/>
  <c r="R35" i="5"/>
  <c r="S35" i="5"/>
  <c r="G36" i="5"/>
  <c r="H36" i="5"/>
  <c r="I36" i="5"/>
  <c r="J36" i="5"/>
  <c r="K36" i="5"/>
  <c r="L36" i="5"/>
  <c r="G37" i="5"/>
  <c r="J37" i="5"/>
  <c r="K37" i="5"/>
  <c r="F43" i="5"/>
  <c r="J43" i="5"/>
  <c r="N43" i="5"/>
  <c r="R43" i="5"/>
  <c r="T43" i="5"/>
  <c r="H44" i="5"/>
  <c r="I44" i="5"/>
  <c r="J44" i="5"/>
  <c r="K44" i="5"/>
  <c r="L44" i="5"/>
  <c r="M44" i="5"/>
  <c r="C45" i="5"/>
  <c r="D45" i="5"/>
  <c r="D46" i="5"/>
  <c r="D47" i="5"/>
  <c r="E45" i="5"/>
  <c r="E46" i="5"/>
  <c r="E47" i="5"/>
  <c r="F45" i="5"/>
  <c r="G45" i="5"/>
  <c r="G46" i="5"/>
  <c r="G47" i="5"/>
  <c r="H45" i="5"/>
  <c r="H46" i="5"/>
  <c r="H47" i="5"/>
  <c r="I45" i="5"/>
  <c r="J45" i="5"/>
  <c r="K45" i="5"/>
  <c r="L45" i="5"/>
  <c r="M45" i="5"/>
  <c r="N45" i="5"/>
  <c r="O45" i="5"/>
  <c r="P45" i="5"/>
  <c r="Q45" i="5"/>
  <c r="R45" i="5"/>
  <c r="S45" i="5"/>
  <c r="T45" i="5"/>
  <c r="U45" i="5"/>
  <c r="V45" i="5"/>
  <c r="C46" i="5"/>
  <c r="C47" i="5"/>
  <c r="F46" i="5"/>
  <c r="F47" i="5"/>
  <c r="D62" i="9"/>
  <c r="D76" i="9"/>
  <c r="Y62" i="9"/>
  <c r="AA62" i="9"/>
  <c r="AB62" i="9"/>
  <c r="AC62" i="9"/>
  <c r="AE62" i="9"/>
  <c r="AF62" i="9"/>
  <c r="AG62" i="9"/>
  <c r="AH62" i="9"/>
  <c r="AH66" i="9"/>
  <c r="AI62" i="9"/>
  <c r="AI66" i="9"/>
  <c r="AJ62" i="9"/>
  <c r="AK62" i="9"/>
  <c r="AK68" i="9"/>
  <c r="AL62" i="9"/>
  <c r="AL68" i="9"/>
  <c r="AM62" i="9"/>
  <c r="AM68" i="9"/>
  <c r="AN62" i="9"/>
  <c r="AN68" i="9"/>
  <c r="AO62" i="9"/>
  <c r="AO68" i="9"/>
  <c r="AP62" i="9"/>
  <c r="AQ62" i="9"/>
  <c r="AR62" i="9"/>
  <c r="AR68" i="9"/>
  <c r="AS62" i="9"/>
  <c r="AS68" i="9"/>
  <c r="E64" i="9"/>
  <c r="F64" i="9"/>
  <c r="G64" i="9"/>
  <c r="H64" i="9"/>
  <c r="U64" i="9"/>
  <c r="V64" i="9"/>
  <c r="W64" i="9"/>
  <c r="X64" i="9"/>
  <c r="Y64" i="9"/>
  <c r="Z64" i="9"/>
  <c r="AA64" i="9"/>
  <c r="AB64" i="9"/>
  <c r="AC64" i="9"/>
  <c r="AD64" i="9"/>
  <c r="AE64" i="9"/>
  <c r="AF64" i="9"/>
  <c r="AG64" i="9"/>
  <c r="AH64" i="9"/>
  <c r="AI64" i="9"/>
  <c r="AJ64" i="9"/>
  <c r="AK64" i="9"/>
  <c r="AL64" i="9"/>
  <c r="AM64" i="9"/>
  <c r="AN64" i="9"/>
  <c r="AO64" i="9"/>
  <c r="AP64" i="9"/>
  <c r="AQ64" i="9"/>
  <c r="E65" i="9"/>
  <c r="F65" i="9"/>
  <c r="G65" i="9"/>
  <c r="H65" i="9"/>
  <c r="I65" i="9"/>
  <c r="J65" i="9"/>
  <c r="V65" i="9"/>
  <c r="W65" i="9"/>
  <c r="X65" i="9"/>
  <c r="Y65" i="9"/>
  <c r="Z65" i="9"/>
  <c r="AA65" i="9"/>
  <c r="AB65" i="9"/>
  <c r="AC65" i="9"/>
  <c r="AD65" i="9"/>
  <c r="AE65" i="9"/>
  <c r="AF65" i="9"/>
  <c r="AG65" i="9"/>
  <c r="AH65" i="9"/>
  <c r="AI65" i="9"/>
  <c r="AJ65" i="9"/>
  <c r="AK65" i="9"/>
  <c r="AL65" i="9"/>
  <c r="AM65" i="9"/>
  <c r="AN65" i="9"/>
  <c r="AO65" i="9"/>
  <c r="AP65" i="9"/>
  <c r="AQ65" i="9"/>
  <c r="U66" i="9"/>
  <c r="V66" i="9"/>
  <c r="W66" i="9"/>
  <c r="X66" i="9"/>
  <c r="Y66" i="9"/>
  <c r="Z66" i="9"/>
  <c r="AB66" i="9"/>
  <c r="AD66" i="9"/>
  <c r="C18" i="6"/>
  <c r="D18" i="6"/>
  <c r="E18" i="6"/>
  <c r="F18" i="6"/>
  <c r="C19" i="6"/>
  <c r="C20" i="6"/>
  <c r="D19" i="6"/>
  <c r="E19" i="6"/>
  <c r="E20" i="6"/>
  <c r="F19" i="6"/>
  <c r="F20" i="6"/>
  <c r="G20" i="6"/>
  <c r="H20" i="6"/>
  <c r="I20" i="6"/>
  <c r="M20" i="6"/>
  <c r="M21" i="6"/>
  <c r="J20" i="6"/>
  <c r="K20" i="6"/>
  <c r="L20" i="6"/>
  <c r="N20" i="6"/>
  <c r="O20" i="6"/>
  <c r="P20" i="6"/>
  <c r="P21" i="6"/>
  <c r="Q20" i="6"/>
  <c r="Q21" i="6"/>
  <c r="R20" i="6"/>
  <c r="S20" i="6"/>
  <c r="S21" i="6"/>
  <c r="T20" i="6"/>
  <c r="U20" i="6"/>
  <c r="U21" i="6"/>
  <c r="V20" i="6"/>
  <c r="W20" i="6"/>
  <c r="W21" i="6"/>
  <c r="X20" i="6"/>
  <c r="Y20" i="6"/>
  <c r="Z20" i="6"/>
  <c r="AA20" i="6"/>
  <c r="AB20" i="6"/>
  <c r="AB21" i="6"/>
  <c r="AC20" i="6"/>
  <c r="AC21" i="6"/>
  <c r="AD20" i="6"/>
  <c r="AD21" i="6"/>
  <c r="AE20" i="6"/>
  <c r="AE21" i="6"/>
  <c r="R21" i="6"/>
  <c r="T21" i="6"/>
  <c r="V21" i="6"/>
  <c r="AA21" i="6"/>
  <c r="C25" i="6"/>
  <c r="C26" i="6"/>
  <c r="D27" i="6"/>
  <c r="C27" i="6"/>
  <c r="E27" i="6"/>
  <c r="F27" i="6"/>
  <c r="G27" i="6"/>
  <c r="H27" i="6"/>
  <c r="I27" i="6"/>
  <c r="J27" i="6"/>
  <c r="K27" i="6"/>
  <c r="L27" i="6"/>
  <c r="M27" i="6"/>
  <c r="N27" i="6"/>
  <c r="AJ14" i="43"/>
  <c r="AL14" i="43"/>
  <c r="L15" i="43"/>
  <c r="L16" i="43"/>
  <c r="L14" i="43"/>
  <c r="K70" i="9"/>
  <c r="K73" i="9"/>
  <c r="L74" i="9"/>
  <c r="T32" i="40"/>
  <c r="AQ15" i="43"/>
  <c r="AQ16" i="43"/>
  <c r="AH12" i="43"/>
  <c r="AH14" i="43"/>
  <c r="Y12" i="43"/>
  <c r="Y14" i="43"/>
  <c r="J12" i="40"/>
  <c r="W12" i="43"/>
  <c r="W15" i="43"/>
  <c r="AG12" i="43"/>
  <c r="AG14" i="43"/>
  <c r="AD12" i="43"/>
  <c r="J5" i="43"/>
  <c r="AD14" i="43"/>
  <c r="O12" i="40"/>
  <c r="AD12" i="40"/>
  <c r="W14" i="43"/>
  <c r="W16" i="43"/>
  <c r="AZ85" i="71"/>
  <c r="F29" i="14"/>
  <c r="W40" i="22"/>
  <c r="Y40" i="22"/>
  <c r="AA40" i="22"/>
  <c r="AE40" i="22"/>
  <c r="AG40" i="22"/>
  <c r="AI40" i="22"/>
  <c r="AM40" i="22"/>
  <c r="AO40" i="22"/>
  <c r="V14" i="43"/>
  <c r="BD27" i="22"/>
  <c r="H28" i="6"/>
  <c r="BD28" i="22"/>
  <c r="F28" i="6"/>
  <c r="AX66" i="9"/>
  <c r="L38" i="5"/>
  <c r="Y20" i="5"/>
  <c r="M20" i="5"/>
  <c r="BE24" i="22"/>
  <c r="AK40" i="22"/>
  <c r="T27" i="45"/>
  <c r="K16" i="69"/>
  <c r="AU22" i="22"/>
  <c r="Z21" i="6"/>
  <c r="N21" i="6"/>
  <c r="D20" i="6"/>
  <c r="H21" i="6"/>
  <c r="V25" i="5"/>
  <c r="V26" i="5"/>
  <c r="J25" i="5"/>
  <c r="N26" i="5"/>
  <c r="AH20" i="5"/>
  <c r="S40" i="22"/>
  <c r="S13" i="44"/>
  <c r="AG15" i="43"/>
  <c r="AG16" i="43"/>
  <c r="Y21" i="6"/>
  <c r="U25" i="5"/>
  <c r="U26" i="5"/>
  <c r="I25" i="5"/>
  <c r="M26" i="5"/>
  <c r="AG20" i="5"/>
  <c r="U20" i="5"/>
  <c r="X21" i="6"/>
  <c r="K28" i="10"/>
  <c r="AL66" i="9"/>
  <c r="K38" i="5"/>
  <c r="BH31" i="22"/>
  <c r="BH66" i="9"/>
  <c r="BD68" i="9"/>
  <c r="L32" i="22"/>
  <c r="L45" i="22"/>
  <c r="AI35" i="22"/>
  <c r="AE49" i="22"/>
  <c r="AM35" i="22"/>
  <c r="AI49" i="22"/>
  <c r="BI6" i="22"/>
  <c r="I32" i="22"/>
  <c r="E45" i="22"/>
  <c r="M32" i="22"/>
  <c r="M45" i="22"/>
  <c r="L35" i="22"/>
  <c r="L49" i="22"/>
  <c r="AF35" i="22"/>
  <c r="AB49" i="22"/>
  <c r="BF23" i="22"/>
  <c r="S30" i="44"/>
  <c r="AU29" i="22"/>
  <c r="AU47" i="22"/>
  <c r="AH15" i="43"/>
  <c r="AH16" i="43"/>
  <c r="AW66" i="9"/>
  <c r="J21" i="6"/>
  <c r="AR66" i="9"/>
  <c r="AC66" i="9"/>
  <c r="E66" i="9"/>
  <c r="H32" i="5"/>
  <c r="AR15" i="43"/>
  <c r="AR16" i="43"/>
  <c r="F12" i="43"/>
  <c r="J26" i="10"/>
  <c r="J66" i="9"/>
  <c r="I76" i="9"/>
  <c r="AZ66" i="9"/>
  <c r="AZ68" i="9"/>
  <c r="I26" i="22"/>
  <c r="E46" i="22"/>
  <c r="M26" i="22"/>
  <c r="M46" i="22"/>
  <c r="M29" i="22"/>
  <c r="M47" i="22"/>
  <c r="N32" i="22"/>
  <c r="N45" i="22"/>
  <c r="BB33" i="22"/>
  <c r="M35" i="22"/>
  <c r="M49" i="22"/>
  <c r="AG35" i="22"/>
  <c r="AC49" i="22"/>
  <c r="AK35" i="22"/>
  <c r="AG49" i="22"/>
  <c r="AO35" i="22"/>
  <c r="AK49" i="22"/>
  <c r="AU35" i="22"/>
  <c r="AQ49" i="22"/>
  <c r="AU40" i="22"/>
  <c r="AU66" i="9"/>
  <c r="AQ68" i="9"/>
  <c r="AJ66" i="9"/>
  <c r="AJ68" i="9"/>
  <c r="G66" i="9"/>
  <c r="G76" i="9"/>
  <c r="BE68" i="9"/>
  <c r="BI66" i="9"/>
  <c r="K26" i="22"/>
  <c r="K46" i="22"/>
  <c r="K29" i="22"/>
  <c r="K47" i="22"/>
  <c r="H32" i="22"/>
  <c r="D45" i="22"/>
  <c r="K35" i="22"/>
  <c r="K49" i="22"/>
  <c r="AE35" i="22"/>
  <c r="AA49" i="22"/>
  <c r="P40" i="22"/>
  <c r="O21" i="6"/>
  <c r="G21" i="6"/>
  <c r="AQ66" i="9"/>
  <c r="AP66" i="9"/>
  <c r="AP68" i="9"/>
  <c r="F48" i="5"/>
  <c r="F49" i="5"/>
  <c r="K46" i="5"/>
  <c r="K47" i="5"/>
  <c r="K48" i="5"/>
  <c r="K49" i="5"/>
  <c r="L66" i="9"/>
  <c r="K76" i="9"/>
  <c r="H26" i="22"/>
  <c r="D46" i="22"/>
  <c r="L26" i="22"/>
  <c r="L46" i="22"/>
  <c r="L29" i="22"/>
  <c r="L47" i="22"/>
  <c r="AJ35" i="22"/>
  <c r="AF49" i="22"/>
  <c r="AN35" i="22"/>
  <c r="AJ49" i="22"/>
  <c r="BB36" i="22"/>
  <c r="J35" i="22"/>
  <c r="F49" i="22"/>
  <c r="Y15" i="43"/>
  <c r="Y16" i="43"/>
  <c r="Z15" i="43"/>
  <c r="Z16" i="43"/>
  <c r="K66" i="9"/>
  <c r="O31" i="5"/>
  <c r="O32" i="5"/>
  <c r="I38" i="5"/>
  <c r="E32" i="5"/>
  <c r="AB11" i="40"/>
  <c r="AN15" i="43"/>
  <c r="AN16" i="43"/>
  <c r="BC66" i="9"/>
  <c r="BC68" i="9"/>
  <c r="BG66" i="9"/>
  <c r="BB68" i="9"/>
  <c r="BF66" i="9"/>
  <c r="J26" i="22"/>
  <c r="F46" i="22"/>
  <c r="N26" i="22"/>
  <c r="N46" i="22"/>
  <c r="N29" i="22"/>
  <c r="N47" i="22"/>
  <c r="G32" i="22"/>
  <c r="C45" i="22"/>
  <c r="K32" i="22"/>
  <c r="K45" i="22"/>
  <c r="I35" i="22"/>
  <c r="N35" i="22"/>
  <c r="N49" i="22"/>
  <c r="AD35" i="22"/>
  <c r="Z49" i="22"/>
  <c r="AH35" i="22"/>
  <c r="AD49" i="22"/>
  <c r="AL35" i="22"/>
  <c r="AH49" i="22"/>
  <c r="AP35" i="22"/>
  <c r="AL49" i="22"/>
  <c r="S26" i="45"/>
  <c r="Y12" i="69"/>
  <c r="U12" i="69"/>
  <c r="S9" i="69"/>
  <c r="BA37" i="22"/>
  <c r="AU32" i="22"/>
  <c r="N66" i="9"/>
  <c r="N74" i="9"/>
  <c r="M74" i="9"/>
  <c r="AP39" i="22"/>
  <c r="N44" i="5"/>
  <c r="O44" i="5"/>
  <c r="O46" i="5"/>
  <c r="O47" i="5"/>
  <c r="O48" i="5"/>
  <c r="O49" i="5"/>
  <c r="BH24" i="22"/>
  <c r="BB23" i="22"/>
  <c r="BB39" i="22"/>
  <c r="P44" i="5"/>
  <c r="Q44" i="5"/>
  <c r="M46" i="5"/>
  <c r="M47" i="5"/>
  <c r="M48" i="5"/>
  <c r="M49" i="5"/>
  <c r="J38" i="5"/>
  <c r="I32" i="5"/>
  <c r="AB14" i="43"/>
  <c r="AB15" i="43"/>
  <c r="AB16" i="43"/>
  <c r="V10" i="37"/>
  <c r="G17" i="69"/>
  <c r="V17" i="69"/>
  <c r="T40" i="22"/>
  <c r="AJ40" i="22"/>
  <c r="AT66" i="9"/>
  <c r="G12" i="43"/>
  <c r="G14" i="43"/>
  <c r="AD15" i="43"/>
  <c r="AD16" i="43"/>
  <c r="BB24" i="22"/>
  <c r="BB40" i="22"/>
  <c r="X40" i="22"/>
  <c r="E48" i="5"/>
  <c r="E49" i="5"/>
  <c r="AG66" i="9"/>
  <c r="D48" i="5"/>
  <c r="D49" i="5"/>
  <c r="C15" i="43"/>
  <c r="C16" i="43"/>
  <c r="O12" i="43"/>
  <c r="Q12" i="43"/>
  <c r="BA66" i="9"/>
  <c r="BG23" i="22"/>
  <c r="J21" i="45"/>
  <c r="I27" i="45"/>
  <c r="AU39" i="22"/>
  <c r="BH36" i="22"/>
  <c r="L46" i="5"/>
  <c r="L47" i="5"/>
  <c r="L48" i="5"/>
  <c r="L49" i="5"/>
  <c r="F15" i="43"/>
  <c r="F16" i="43"/>
  <c r="M66" i="9"/>
  <c r="K15" i="43"/>
  <c r="K16" i="43"/>
  <c r="I12" i="43"/>
  <c r="I15" i="43"/>
  <c r="I16" i="43"/>
  <c r="I28" i="6"/>
  <c r="L21" i="6"/>
  <c r="AM66" i="9"/>
  <c r="AF66" i="9"/>
  <c r="H48" i="5"/>
  <c r="H49" i="5"/>
  <c r="H38" i="5"/>
  <c r="J32" i="5"/>
  <c r="D32" i="5"/>
  <c r="AP15" i="43"/>
  <c r="AP16" i="43"/>
  <c r="AM14" i="43"/>
  <c r="I14" i="43"/>
  <c r="X14" i="43"/>
  <c r="X15" i="43"/>
  <c r="X16" i="43"/>
  <c r="F66" i="9"/>
  <c r="BE66" i="9"/>
  <c r="BD66" i="9"/>
  <c r="AV66" i="9"/>
  <c r="E26" i="45"/>
  <c r="V20" i="45"/>
  <c r="E30" i="44"/>
  <c r="U10" i="37"/>
  <c r="X10" i="37"/>
  <c r="W10" i="37"/>
  <c r="F76" i="42"/>
  <c r="BI34" i="22"/>
  <c r="G28" i="6"/>
  <c r="I21" i="6"/>
  <c r="AO66" i="9"/>
  <c r="I46" i="5"/>
  <c r="I47" i="5"/>
  <c r="I48" i="5"/>
  <c r="I49" i="5"/>
  <c r="G48" i="5"/>
  <c r="G49" i="5"/>
  <c r="C48" i="5"/>
  <c r="C49" i="5"/>
  <c r="P12" i="43"/>
  <c r="E12" i="43"/>
  <c r="N12" i="43"/>
  <c r="K29" i="10"/>
  <c r="H66" i="9"/>
  <c r="BB30" i="22"/>
  <c r="X13" i="45"/>
  <c r="V22" i="44"/>
  <c r="E9" i="38"/>
  <c r="E15" i="69"/>
  <c r="BH12" i="22"/>
  <c r="T29" i="44"/>
  <c r="X22" i="44"/>
  <c r="S16" i="44"/>
  <c r="R44" i="5"/>
  <c r="S44" i="5"/>
  <c r="Q46" i="5"/>
  <c r="Q47" i="5"/>
  <c r="Q48" i="5"/>
  <c r="Q49" i="5"/>
  <c r="P33" i="5"/>
  <c r="O34" i="5"/>
  <c r="AA66" i="9"/>
  <c r="AE66" i="9"/>
  <c r="Q29" i="5"/>
  <c r="P31" i="5"/>
  <c r="G69" i="5"/>
  <c r="G70" i="5"/>
  <c r="H70" i="5"/>
  <c r="I70" i="5"/>
  <c r="J70" i="5"/>
  <c r="K70" i="5"/>
  <c r="L70" i="5"/>
  <c r="M70" i="5"/>
  <c r="N70" i="5"/>
  <c r="O70" i="5"/>
  <c r="P70" i="5"/>
  <c r="Q70" i="5"/>
  <c r="R70" i="5"/>
  <c r="S70" i="5"/>
  <c r="M11" i="69"/>
  <c r="M17" i="69"/>
  <c r="L14" i="69"/>
  <c r="AA14" i="69"/>
  <c r="M62" i="5"/>
  <c r="AS66" i="9"/>
  <c r="O37" i="5"/>
  <c r="E28" i="6"/>
  <c r="D28" i="6"/>
  <c r="K21" i="6"/>
  <c r="AK66" i="9"/>
  <c r="AN66" i="9"/>
  <c r="P46" i="5"/>
  <c r="P47" i="5"/>
  <c r="P48" i="5"/>
  <c r="P49" i="5"/>
  <c r="N46" i="5"/>
  <c r="N47" i="5"/>
  <c r="N48" i="5"/>
  <c r="N49" i="5"/>
  <c r="J46" i="5"/>
  <c r="J47" i="5"/>
  <c r="J48" i="5"/>
  <c r="J49" i="5"/>
  <c r="G32" i="5"/>
  <c r="K22" i="44"/>
  <c r="K32" i="5"/>
  <c r="L32" i="5"/>
  <c r="F37" i="5"/>
  <c r="G38" i="5"/>
  <c r="F32" i="5"/>
  <c r="N37" i="5"/>
  <c r="M31" i="5"/>
  <c r="AE14" i="43"/>
  <c r="AA14" i="43"/>
  <c r="G63" i="5"/>
  <c r="H63" i="5"/>
  <c r="I63" i="5"/>
  <c r="J63" i="5"/>
  <c r="K63" i="5"/>
  <c r="L63" i="5"/>
  <c r="M63" i="5"/>
  <c r="N63" i="5"/>
  <c r="O63" i="5"/>
  <c r="P63" i="5"/>
  <c r="Q63" i="5"/>
  <c r="R63" i="5"/>
  <c r="S63" i="5"/>
  <c r="I66" i="9"/>
  <c r="X22" i="45"/>
  <c r="J26" i="45"/>
  <c r="Y26" i="45"/>
  <c r="Y13" i="45"/>
  <c r="T30" i="44"/>
  <c r="D28" i="44"/>
  <c r="W22" i="44"/>
  <c r="U22" i="44"/>
  <c r="E13" i="44"/>
  <c r="T13" i="44"/>
  <c r="V11" i="37"/>
  <c r="C9" i="37"/>
  <c r="S9" i="37"/>
  <c r="T9" i="37"/>
  <c r="F11" i="38"/>
  <c r="F9" i="38"/>
  <c r="K17" i="69"/>
  <c r="K15" i="69"/>
  <c r="C15" i="69"/>
  <c r="J15" i="69"/>
  <c r="D15" i="69"/>
  <c r="Z12" i="69"/>
  <c r="W12" i="69"/>
  <c r="U64" i="42"/>
  <c r="BH3" i="22"/>
  <c r="H12" i="43"/>
  <c r="H14" i="43"/>
  <c r="E28" i="44"/>
  <c r="T28" i="44"/>
  <c r="C28" i="44"/>
  <c r="H25" i="44"/>
  <c r="J22" i="44"/>
  <c r="Y22" i="44"/>
  <c r="K9" i="69"/>
  <c r="Z9" i="69"/>
  <c r="AA65" i="42"/>
  <c r="EJ11" i="71"/>
  <c r="EJ36" i="71"/>
  <c r="EJ35" i="71"/>
  <c r="EJ10" i="71"/>
  <c r="EJ17" i="71"/>
  <c r="EJ15" i="71"/>
  <c r="T34" i="40"/>
  <c r="K34" i="40"/>
  <c r="X34" i="40"/>
  <c r="Y34" i="40"/>
  <c r="N34" i="40"/>
  <c r="R34" i="40"/>
  <c r="M34" i="40"/>
  <c r="AD22" i="40"/>
  <c r="AC22" i="40"/>
  <c r="AB28" i="40"/>
  <c r="AB16" i="40"/>
  <c r="Q32" i="40"/>
  <c r="Q34" i="40"/>
  <c r="I34" i="40"/>
  <c r="S32" i="40"/>
  <c r="S34" i="40"/>
  <c r="AB25" i="40"/>
  <c r="AB22" i="40"/>
  <c r="AE7" i="40"/>
  <c r="E23" i="42"/>
  <c r="AD7" i="40"/>
  <c r="D23" i="42"/>
  <c r="E21" i="42"/>
  <c r="AE19" i="40"/>
  <c r="AE16" i="40"/>
  <c r="AB5" i="40"/>
  <c r="AB7" i="40"/>
  <c r="AB19" i="40"/>
  <c r="AC33" i="40"/>
  <c r="AC31" i="40"/>
  <c r="AE13" i="40"/>
  <c r="AC8" i="40"/>
  <c r="V32" i="40"/>
  <c r="V34" i="40"/>
  <c r="U33" i="40"/>
  <c r="AE33" i="40"/>
  <c r="H34" i="40"/>
  <c r="W34" i="40"/>
  <c r="L32" i="40"/>
  <c r="G34" i="40"/>
  <c r="AE31" i="40"/>
  <c r="AD31" i="40"/>
  <c r="AE28" i="40"/>
  <c r="AB10" i="40"/>
  <c r="AE25" i="40"/>
  <c r="AE22" i="40"/>
  <c r="D21" i="42"/>
  <c r="AC9" i="40"/>
  <c r="C21" i="42"/>
  <c r="AC25" i="40"/>
  <c r="AD25" i="40"/>
  <c r="AC19" i="40"/>
  <c r="AD19" i="40"/>
  <c r="AC16" i="40"/>
  <c r="AD16" i="40"/>
  <c r="AC28" i="40"/>
  <c r="AD28" i="40"/>
  <c r="AB32" i="40"/>
  <c r="D71" i="40"/>
  <c r="AC7" i="40"/>
  <c r="C23" i="42"/>
  <c r="O32" i="40"/>
  <c r="P33" i="40"/>
  <c r="P34" i="40"/>
  <c r="O33" i="40"/>
  <c r="AB12" i="40"/>
  <c r="AB13" i="40"/>
  <c r="J13" i="40"/>
  <c r="J33" i="40"/>
  <c r="O13" i="40"/>
  <c r="AD13" i="40"/>
  <c r="AI15" i="43"/>
  <c r="AI16" i="43"/>
  <c r="AO15" i="43"/>
  <c r="AO16" i="43"/>
  <c r="J12" i="43"/>
  <c r="J15" i="43"/>
  <c r="J16" i="43"/>
  <c r="AS14" i="43"/>
  <c r="J14" i="43"/>
  <c r="Z17" i="69"/>
  <c r="X12" i="69"/>
  <c r="V12" i="69"/>
  <c r="L10" i="69"/>
  <c r="E9" i="69"/>
  <c r="T9" i="69"/>
  <c r="EJ44" i="71"/>
  <c r="EJ16" i="71"/>
  <c r="K15" i="11" s="1"/>
  <c r="EJ77" i="71"/>
  <c r="EJ240" i="71" s="1"/>
  <c r="EJ68" i="71"/>
  <c r="EJ67" i="71"/>
  <c r="EJ18" i="71"/>
  <c r="BA113" i="71"/>
  <c r="BC9" i="22"/>
  <c r="BE9" i="22"/>
  <c r="BG9" i="22"/>
  <c r="BA9" i="22"/>
  <c r="BA15" i="22"/>
  <c r="AZ4" i="22"/>
  <c r="AZ5" i="22"/>
  <c r="BA34" i="22"/>
  <c r="BB15" i="22"/>
  <c r="BD9" i="22"/>
  <c r="BD29" i="22"/>
  <c r="BF9" i="22"/>
  <c r="BH9" i="22"/>
  <c r="AZ15" i="22"/>
  <c r="C9" i="22"/>
  <c r="E9" i="22"/>
  <c r="AZ10" i="22"/>
  <c r="D9" i="22"/>
  <c r="F9" i="22"/>
  <c r="AZ11" i="22"/>
  <c r="BA31" i="22"/>
  <c r="BF3" i="22"/>
  <c r="BF28" i="22"/>
  <c r="BD3" i="22"/>
  <c r="BD23" i="22"/>
  <c r="BD39" i="22"/>
  <c r="BE23" i="22"/>
  <c r="BC24" i="22"/>
  <c r="BC40" i="22"/>
  <c r="BD24" i="22"/>
  <c r="BE40" i="22"/>
  <c r="BG24" i="22"/>
  <c r="BH40" i="22"/>
  <c r="BF27" i="22"/>
  <c r="R40" i="22"/>
  <c r="V40" i="22"/>
  <c r="Z40" i="22"/>
  <c r="AD40" i="22"/>
  <c r="AH40" i="22"/>
  <c r="AL40" i="22"/>
  <c r="AP40" i="22"/>
  <c r="BB28" i="22"/>
  <c r="BH23" i="22"/>
  <c r="BH22" i="22"/>
  <c r="BG6" i="22"/>
  <c r="BI33" i="22"/>
  <c r="BH37" i="22"/>
  <c r="BH30" i="22"/>
  <c r="BH27" i="22"/>
  <c r="BG34" i="22"/>
  <c r="AR3" i="22"/>
  <c r="AR18" i="22"/>
  <c r="AR50" i="22"/>
  <c r="BD6" i="22"/>
  <c r="AP22" i="22"/>
  <c r="BF24" i="22"/>
  <c r="BF40" i="22"/>
  <c r="AT18" i="22"/>
  <c r="AT50" i="22"/>
  <c r="BH34" i="22"/>
  <c r="BB9" i="22"/>
  <c r="BB29" i="22"/>
  <c r="AQ22" i="22"/>
  <c r="AU38" i="22"/>
  <c r="BC36" i="22"/>
  <c r="BE36" i="22"/>
  <c r="BG36" i="22"/>
  <c r="BC37" i="22"/>
  <c r="BE37" i="22"/>
  <c r="BG37" i="22"/>
  <c r="BC6" i="22"/>
  <c r="AZ8" i="22"/>
  <c r="BA28" i="22"/>
  <c r="BB3" i="22"/>
  <c r="BB32" i="22"/>
  <c r="BI18" i="22"/>
  <c r="AT33" i="22"/>
  <c r="AT7" i="22"/>
  <c r="AZ7" i="22"/>
  <c r="BA6" i="22"/>
  <c r="P39" i="22"/>
  <c r="R39" i="22"/>
  <c r="T39" i="22"/>
  <c r="V39" i="22"/>
  <c r="X39" i="22"/>
  <c r="Z39" i="22"/>
  <c r="AB39" i="22"/>
  <c r="AD39" i="22"/>
  <c r="AF39" i="22"/>
  <c r="AH39" i="22"/>
  <c r="AJ39" i="22"/>
  <c r="AL39" i="22"/>
  <c r="AN39" i="22"/>
  <c r="AQ29" i="22"/>
  <c r="AQ35" i="22"/>
  <c r="AQ40" i="22"/>
  <c r="BI24" i="22"/>
  <c r="BI40" i="22"/>
  <c r="BJ19" i="22"/>
  <c r="C6" i="22"/>
  <c r="BB6" i="22"/>
  <c r="BF6" i="22"/>
  <c r="BF26" i="22"/>
  <c r="BH6" i="22"/>
  <c r="BD30" i="22"/>
  <c r="BF30" i="22"/>
  <c r="BD31" i="22"/>
  <c r="BF31" i="22"/>
  <c r="BC33" i="22"/>
  <c r="BE33" i="22"/>
  <c r="BG33" i="22"/>
  <c r="BC34" i="22"/>
  <c r="BE34" i="22"/>
  <c r="BD36" i="22"/>
  <c r="BF36" i="22"/>
  <c r="BD37" i="22"/>
  <c r="BF37" i="22"/>
  <c r="O39" i="22"/>
  <c r="Q39" i="22"/>
  <c r="S39" i="22"/>
  <c r="U39" i="22"/>
  <c r="W39" i="22"/>
  <c r="Y39" i="22"/>
  <c r="AA39" i="22"/>
  <c r="AC39" i="22"/>
  <c r="AE39" i="22"/>
  <c r="AG39" i="22"/>
  <c r="AI39" i="22"/>
  <c r="AK39" i="22"/>
  <c r="AM39" i="22"/>
  <c r="AQ32" i="22"/>
  <c r="AQ26" i="22"/>
  <c r="BI23" i="22"/>
  <c r="BI12" i="22"/>
  <c r="AR12" i="22"/>
  <c r="AR48" i="22"/>
  <c r="AT13" i="22"/>
  <c r="AT12" i="22"/>
  <c r="AT48" i="22"/>
  <c r="AR15" i="22"/>
  <c r="AT16" i="22"/>
  <c r="AT36" i="22"/>
  <c r="AS28" i="22"/>
  <c r="AT8" i="22"/>
  <c r="AT28" i="22"/>
  <c r="P26" i="22"/>
  <c r="R26" i="22"/>
  <c r="T26" i="22"/>
  <c r="V26" i="22"/>
  <c r="X26" i="22"/>
  <c r="Z26" i="22"/>
  <c r="AB26" i="22"/>
  <c r="AD26" i="22"/>
  <c r="AF26" i="22"/>
  <c r="AH26" i="22"/>
  <c r="AJ26" i="22"/>
  <c r="AL26" i="22"/>
  <c r="AN26" i="22"/>
  <c r="AP26" i="22"/>
  <c r="P29" i="22"/>
  <c r="R29" i="22"/>
  <c r="T29" i="22"/>
  <c r="V29" i="22"/>
  <c r="X29" i="22"/>
  <c r="Z29" i="22"/>
  <c r="AB29" i="22"/>
  <c r="AD29" i="22"/>
  <c r="AF29" i="22"/>
  <c r="AH29" i="22"/>
  <c r="AJ29" i="22"/>
  <c r="AL29" i="22"/>
  <c r="AN29" i="22"/>
  <c r="AP29" i="22"/>
  <c r="P32" i="22"/>
  <c r="R32" i="22"/>
  <c r="T32" i="22"/>
  <c r="V32" i="22"/>
  <c r="X32" i="22"/>
  <c r="Z32" i="22"/>
  <c r="AB32" i="22"/>
  <c r="AD32" i="22"/>
  <c r="AF32" i="22"/>
  <c r="AH32" i="22"/>
  <c r="AJ32" i="22"/>
  <c r="AL32" i="22"/>
  <c r="AN32" i="22"/>
  <c r="AP32" i="22"/>
  <c r="O35" i="22"/>
  <c r="Q35" i="22"/>
  <c r="S35" i="22"/>
  <c r="U35" i="22"/>
  <c r="W35" i="22"/>
  <c r="Y35" i="22"/>
  <c r="AQ39" i="22"/>
  <c r="AS6" i="22"/>
  <c r="BJ4" i="22"/>
  <c r="BJ33" i="22"/>
  <c r="BJ8" i="22"/>
  <c r="BJ28" i="22"/>
  <c r="BJ14" i="22"/>
  <c r="BJ20" i="22"/>
  <c r="AR28" i="22"/>
  <c r="AR30" i="22"/>
  <c r="AR34" i="22"/>
  <c r="AR36" i="22"/>
  <c r="AS33" i="22"/>
  <c r="O26" i="22"/>
  <c r="Q26" i="22"/>
  <c r="S26" i="22"/>
  <c r="U26" i="22"/>
  <c r="W26" i="22"/>
  <c r="Y26" i="22"/>
  <c r="AA26" i="22"/>
  <c r="AC26" i="22"/>
  <c r="AE26" i="22"/>
  <c r="AG26" i="22"/>
  <c r="AI26" i="22"/>
  <c r="AK26" i="22"/>
  <c r="AM26" i="22"/>
  <c r="AO26" i="22"/>
  <c r="BI26" i="22"/>
  <c r="BC27" i="22"/>
  <c r="BE27" i="22"/>
  <c r="BG27" i="22"/>
  <c r="BC28" i="22"/>
  <c r="BE28" i="22"/>
  <c r="BG28" i="22"/>
  <c r="O29" i="22"/>
  <c r="Q29" i="22"/>
  <c r="S29" i="22"/>
  <c r="U29" i="22"/>
  <c r="W29" i="22"/>
  <c r="Y29" i="22"/>
  <c r="AA29" i="22"/>
  <c r="AC29" i="22"/>
  <c r="AE29" i="22"/>
  <c r="AG29" i="22"/>
  <c r="AI29" i="22"/>
  <c r="AK29" i="22"/>
  <c r="AM29" i="22"/>
  <c r="AO29" i="22"/>
  <c r="BC30" i="22"/>
  <c r="BE30" i="22"/>
  <c r="BG30" i="22"/>
  <c r="BC31" i="22"/>
  <c r="BE31" i="22"/>
  <c r="BG31" i="22"/>
  <c r="O32" i="22"/>
  <c r="Q32" i="22"/>
  <c r="S32" i="22"/>
  <c r="U32" i="22"/>
  <c r="W32" i="22"/>
  <c r="Y32" i="22"/>
  <c r="AA32" i="22"/>
  <c r="AC32" i="22"/>
  <c r="AE32" i="22"/>
  <c r="AG32" i="22"/>
  <c r="AI32" i="22"/>
  <c r="AK32" i="22"/>
  <c r="AM32" i="22"/>
  <c r="AO32" i="22"/>
  <c r="BC3" i="22"/>
  <c r="BC32" i="22"/>
  <c r="BE3" i="22"/>
  <c r="BG3" i="22"/>
  <c r="BD33" i="22"/>
  <c r="BF33" i="22"/>
  <c r="BD34" i="22"/>
  <c r="BF34" i="22"/>
  <c r="P35" i="22"/>
  <c r="R35" i="22"/>
  <c r="T35" i="22"/>
  <c r="V35" i="22"/>
  <c r="X35" i="22"/>
  <c r="BB35" i="22"/>
  <c r="BC15" i="22"/>
  <c r="BD15" i="22"/>
  <c r="BE15" i="22"/>
  <c r="BF15" i="22"/>
  <c r="BG15" i="22"/>
  <c r="BH15" i="22"/>
  <c r="K22" i="22"/>
  <c r="K38" i="22"/>
  <c r="L22" i="22"/>
  <c r="L38" i="22"/>
  <c r="M22" i="22"/>
  <c r="M38" i="22"/>
  <c r="N22" i="22"/>
  <c r="N38" i="22"/>
  <c r="O22" i="22"/>
  <c r="P22" i="22"/>
  <c r="Q22" i="22"/>
  <c r="Q38" i="22"/>
  <c r="R22" i="22"/>
  <c r="S22" i="22"/>
  <c r="S38" i="22"/>
  <c r="T22" i="22"/>
  <c r="T38" i="22"/>
  <c r="U22" i="22"/>
  <c r="V22" i="22"/>
  <c r="W22" i="22"/>
  <c r="X22" i="22"/>
  <c r="X38" i="22"/>
  <c r="Y22" i="22"/>
  <c r="Y38" i="22"/>
  <c r="Z22" i="22"/>
  <c r="Z38" i="22"/>
  <c r="AA22" i="22"/>
  <c r="AB22" i="22"/>
  <c r="AC22" i="22"/>
  <c r="AC38" i="22"/>
  <c r="AD22" i="22"/>
  <c r="AE22" i="22"/>
  <c r="AF22" i="22"/>
  <c r="AF38" i="22"/>
  <c r="AG22" i="22"/>
  <c r="AH22" i="22"/>
  <c r="AI22" i="22"/>
  <c r="AJ22" i="22"/>
  <c r="AJ38" i="22"/>
  <c r="AK22" i="22"/>
  <c r="AK38" i="22"/>
  <c r="AL22" i="22"/>
  <c r="AL38" i="22"/>
  <c r="AM22" i="22"/>
  <c r="AN22" i="22"/>
  <c r="AO39" i="22"/>
  <c r="AR23" i="22"/>
  <c r="AR39" i="22"/>
  <c r="AR6" i="22"/>
  <c r="AR31" i="22"/>
  <c r="AR37" i="22"/>
  <c r="AS18" i="22"/>
  <c r="AS50" i="22"/>
  <c r="AT17" i="22"/>
  <c r="AT37" i="22"/>
  <c r="AR24" i="22"/>
  <c r="AT11" i="22"/>
  <c r="AS24" i="22"/>
  <c r="AT10" i="22"/>
  <c r="AS9" i="22"/>
  <c r="AR9" i="22"/>
  <c r="AT5" i="22"/>
  <c r="AT34" i="22"/>
  <c r="AS3" i="22"/>
  <c r="BI30" i="22"/>
  <c r="BI3" i="22"/>
  <c r="BI32" i="22"/>
  <c r="AO22" i="22"/>
  <c r="O40" i="22"/>
  <c r="U40" i="22"/>
  <c r="Z35" i="22"/>
  <c r="AA35" i="22"/>
  <c r="AB35" i="22"/>
  <c r="AC35" i="22"/>
  <c r="Q40" i="22"/>
  <c r="O81" i="40"/>
  <c r="P81" i="40"/>
  <c r="Q81" i="40"/>
  <c r="Q80" i="40"/>
  <c r="O77" i="40"/>
  <c r="I71" i="42"/>
  <c r="F62" i="42"/>
  <c r="N11" i="69"/>
  <c r="I11" i="69"/>
  <c r="I17" i="69"/>
  <c r="H17" i="69"/>
  <c r="U17" i="69"/>
  <c r="Z16" i="69"/>
  <c r="AB14" i="69"/>
  <c r="M10" i="69"/>
  <c r="F10" i="69"/>
  <c r="M27" i="44"/>
  <c r="N27" i="44"/>
  <c r="O27" i="44"/>
  <c r="P27" i="44"/>
  <c r="Q27" i="44"/>
  <c r="L25" i="44"/>
  <c r="F16" i="44"/>
  <c r="G17" i="44"/>
  <c r="F30" i="44"/>
  <c r="U30" i="44"/>
  <c r="G15" i="44"/>
  <c r="S29" i="44"/>
  <c r="N26" i="44"/>
  <c r="I26" i="44"/>
  <c r="L23" i="44"/>
  <c r="H20" i="44"/>
  <c r="E16" i="44"/>
  <c r="T16" i="44"/>
  <c r="F14" i="44"/>
  <c r="F13" i="45"/>
  <c r="F26" i="45"/>
  <c r="G15" i="45"/>
  <c r="W15" i="45"/>
  <c r="F27" i="45"/>
  <c r="U27" i="45"/>
  <c r="S27" i="45"/>
  <c r="H25" i="45"/>
  <c r="J22" i="45"/>
  <c r="Y22" i="45"/>
  <c r="E13" i="45"/>
  <c r="T13" i="45"/>
  <c r="S13" i="45"/>
  <c r="D25" i="45"/>
  <c r="W16" i="45"/>
  <c r="O23" i="45"/>
  <c r="N17" i="45"/>
  <c r="M15" i="45"/>
  <c r="L13" i="45"/>
  <c r="M14" i="45"/>
  <c r="K22" i="45"/>
  <c r="L24" i="45"/>
  <c r="M24" i="45"/>
  <c r="N24" i="45"/>
  <c r="O24" i="45"/>
  <c r="P24" i="45"/>
  <c r="Q24" i="45"/>
  <c r="J27" i="45"/>
  <c r="Y27" i="45"/>
  <c r="K21" i="45"/>
  <c r="L21" i="45"/>
  <c r="M21" i="45"/>
  <c r="N21" i="45"/>
  <c r="O21" i="45"/>
  <c r="P21" i="45"/>
  <c r="Q21" i="45"/>
  <c r="L18" i="45"/>
  <c r="M18" i="45"/>
  <c r="N18" i="45"/>
  <c r="O18" i="45"/>
  <c r="P18" i="45"/>
  <c r="Q18" i="45"/>
  <c r="J19" i="45"/>
  <c r="K16" i="45"/>
  <c r="C25" i="45"/>
  <c r="I19" i="45"/>
  <c r="X19" i="45"/>
  <c r="G19" i="45"/>
  <c r="W19" i="45"/>
  <c r="J16" i="45"/>
  <c r="Y16" i="45"/>
  <c r="K13" i="45"/>
  <c r="Z13" i="45"/>
  <c r="X26" i="45"/>
  <c r="Z23" i="45"/>
  <c r="K20" i="45"/>
  <c r="G14" i="45"/>
  <c r="BR96" i="71"/>
  <c r="M22" i="45"/>
  <c r="AI38" i="22"/>
  <c r="W38" i="22"/>
  <c r="BC22" i="22"/>
  <c r="AH38" i="22"/>
  <c r="V38" i="22"/>
  <c r="AG38" i="22"/>
  <c r="U38" i="22"/>
  <c r="Z22" i="44"/>
  <c r="AD38" i="22"/>
  <c r="R38" i="22"/>
  <c r="BH29" i="22"/>
  <c r="AN38" i="22"/>
  <c r="AB38" i="22"/>
  <c r="AM38" i="22"/>
  <c r="AA38" i="22"/>
  <c r="O38" i="22"/>
  <c r="BG29" i="22"/>
  <c r="R46" i="5"/>
  <c r="R47" i="5"/>
  <c r="R48" i="5"/>
  <c r="R49" i="5"/>
  <c r="AS29" i="22"/>
  <c r="AS47" i="22"/>
  <c r="J29" i="22"/>
  <c r="F47" i="22"/>
  <c r="F14" i="43"/>
  <c r="AC12" i="40"/>
  <c r="AC13" i="40"/>
  <c r="G27" i="45"/>
  <c r="W27" i="45"/>
  <c r="R9" i="37"/>
  <c r="AS32" i="22"/>
  <c r="AS45" i="22"/>
  <c r="AR26" i="22"/>
  <c r="AR46" i="22"/>
  <c r="AS26" i="22"/>
  <c r="AS46" i="22"/>
  <c r="BC26" i="22"/>
  <c r="AR32" i="22"/>
  <c r="AR45" i="22"/>
  <c r="T26" i="45"/>
  <c r="E25" i="45"/>
  <c r="T25" i="45"/>
  <c r="AS40" i="22"/>
  <c r="AS22" i="22"/>
  <c r="AR35" i="22"/>
  <c r="AR49" i="22"/>
  <c r="BI39" i="22"/>
  <c r="G26" i="22"/>
  <c r="C46" i="22"/>
  <c r="BF39" i="22"/>
  <c r="H15" i="43"/>
  <c r="H16" i="43"/>
  <c r="G29" i="22"/>
  <c r="C47" i="22"/>
  <c r="BD40" i="22"/>
  <c r="H29" i="22"/>
  <c r="D47" i="22"/>
  <c r="AR29" i="22"/>
  <c r="AR47" i="22"/>
  <c r="BC39" i="22"/>
  <c r="I29" i="22"/>
  <c r="E47" i="22"/>
  <c r="BG39" i="22"/>
  <c r="AE38" i="22"/>
  <c r="BH39" i="22"/>
  <c r="L16" i="45"/>
  <c r="AA16" i="45"/>
  <c r="AT3" i="22"/>
  <c r="BG22" i="22"/>
  <c r="BH38" i="22"/>
  <c r="K27" i="45"/>
  <c r="M25" i="44"/>
  <c r="AB25" i="44"/>
  <c r="BF29" i="22"/>
  <c r="BB22" i="22"/>
  <c r="BB38" i="22"/>
  <c r="E15" i="43"/>
  <c r="E16" i="43"/>
  <c r="E14" i="43"/>
  <c r="P38" i="22"/>
  <c r="I25" i="45"/>
  <c r="X25" i="45"/>
  <c r="X27" i="45"/>
  <c r="W17" i="69"/>
  <c r="BI22" i="22"/>
  <c r="BI38" i="22"/>
  <c r="AT27" i="22"/>
  <c r="AT6" i="22"/>
  <c r="BG26" i="22"/>
  <c r="G15" i="43"/>
  <c r="G16" i="43"/>
  <c r="M65" i="5"/>
  <c r="N62" i="5"/>
  <c r="P37" i="5"/>
  <c r="P38" i="5"/>
  <c r="P32" i="5"/>
  <c r="S46" i="5"/>
  <c r="S47" i="5"/>
  <c r="S48" i="5"/>
  <c r="S49" i="5"/>
  <c r="T44" i="5"/>
  <c r="S25" i="45"/>
  <c r="Z16" i="45"/>
  <c r="L22" i="45"/>
  <c r="AA22" i="45"/>
  <c r="Z22" i="45"/>
  <c r="AO38" i="22"/>
  <c r="AS12" i="22"/>
  <c r="AS48" i="22"/>
  <c r="AS15" i="22"/>
  <c r="AS36" i="22"/>
  <c r="BG32" i="22"/>
  <c r="BC29" i="22"/>
  <c r="BE39" i="22"/>
  <c r="BA35" i="22"/>
  <c r="Z15" i="69"/>
  <c r="H65" i="5"/>
  <c r="O38" i="5"/>
  <c r="I65" i="5"/>
  <c r="L65" i="5"/>
  <c r="L17" i="69"/>
  <c r="AA17" i="69"/>
  <c r="M32" i="5"/>
  <c r="M37" i="5"/>
  <c r="M38" i="5"/>
  <c r="H69" i="5"/>
  <c r="G74" i="5"/>
  <c r="Q31" i="5"/>
  <c r="R29" i="5"/>
  <c r="Q33" i="5"/>
  <c r="P34" i="5"/>
  <c r="S28" i="44"/>
  <c r="K65" i="5"/>
  <c r="J65" i="5"/>
  <c r="N32" i="5"/>
  <c r="AD33" i="40"/>
  <c r="U34" i="40"/>
  <c r="AE34" i="40"/>
  <c r="AC10" i="40"/>
  <c r="AE32" i="40"/>
  <c r="AC32" i="40"/>
  <c r="L34" i="40"/>
  <c r="AC34" i="40"/>
  <c r="AD32" i="40"/>
  <c r="O34" i="40"/>
  <c r="AD34" i="40"/>
  <c r="Q79" i="40"/>
  <c r="J34" i="40"/>
  <c r="AB33" i="40"/>
  <c r="AB34" i="40"/>
  <c r="L9" i="69"/>
  <c r="AA9" i="69"/>
  <c r="L13" i="69"/>
  <c r="L16" i="69"/>
  <c r="BB113" i="71"/>
  <c r="AZ3" i="22"/>
  <c r="BA32" i="22"/>
  <c r="BA33" i="22"/>
  <c r="BD26" i="22"/>
  <c r="AS39" i="22"/>
  <c r="BJ7" i="22"/>
  <c r="BJ27" i="22"/>
  <c r="BE32" i="22"/>
  <c r="BI29" i="22"/>
  <c r="BE29" i="22"/>
  <c r="BE26" i="22"/>
  <c r="AS27" i="22"/>
  <c r="BE22" i="22"/>
  <c r="BH26" i="22"/>
  <c r="AZ6" i="22"/>
  <c r="BA26" i="22"/>
  <c r="AZ9" i="22"/>
  <c r="BA29" i="22"/>
  <c r="BA30" i="22"/>
  <c r="BA27" i="22"/>
  <c r="BD22" i="22"/>
  <c r="BG40" i="22"/>
  <c r="BB26" i="22"/>
  <c r="BF22" i="22"/>
  <c r="BG38" i="22"/>
  <c r="BF35" i="22"/>
  <c r="BD35" i="22"/>
  <c r="BJ13" i="22"/>
  <c r="BJ12" i="22"/>
  <c r="BJ16" i="22"/>
  <c r="BJ36" i="22"/>
  <c r="AT9" i="22"/>
  <c r="AT30" i="22"/>
  <c r="AT24" i="22"/>
  <c r="AT40" i="22"/>
  <c r="AT31" i="22"/>
  <c r="AR22" i="22"/>
  <c r="AR38" i="22"/>
  <c r="AR42" i="22"/>
  <c r="AR40" i="22"/>
  <c r="AR44" i="22"/>
  <c r="AT15" i="22"/>
  <c r="BJ10" i="22"/>
  <c r="BG35" i="22"/>
  <c r="BE35" i="22"/>
  <c r="BC35" i="22"/>
  <c r="BJ17" i="22"/>
  <c r="BJ11" i="22"/>
  <c r="BJ31" i="22"/>
  <c r="AP38" i="22"/>
  <c r="BD32" i="22"/>
  <c r="BI35" i="22"/>
  <c r="BH35" i="22"/>
  <c r="BJ5" i="22"/>
  <c r="BH32" i="22"/>
  <c r="BF32" i="22"/>
  <c r="BJ18" i="22"/>
  <c r="AQ38" i="22"/>
  <c r="AT23" i="22"/>
  <c r="O75" i="40"/>
  <c r="P77" i="40"/>
  <c r="P79" i="40"/>
  <c r="O79" i="40"/>
  <c r="N10" i="69"/>
  <c r="M9" i="69"/>
  <c r="AB9" i="69"/>
  <c r="X17" i="69"/>
  <c r="Y17" i="69"/>
  <c r="O11" i="69"/>
  <c r="N17" i="69"/>
  <c r="AC17" i="69"/>
  <c r="F9" i="69"/>
  <c r="U9" i="69"/>
  <c r="G10" i="69"/>
  <c r="F16" i="69"/>
  <c r="AC12" i="69"/>
  <c r="M23" i="44"/>
  <c r="L22" i="44"/>
  <c r="AA22" i="44"/>
  <c r="O26" i="44"/>
  <c r="N25" i="44"/>
  <c r="F13" i="44"/>
  <c r="U13" i="44"/>
  <c r="G14" i="44"/>
  <c r="F29" i="44"/>
  <c r="H19" i="44"/>
  <c r="W19" i="44"/>
  <c r="I20" i="44"/>
  <c r="I25" i="44"/>
  <c r="X25" i="44"/>
  <c r="J26" i="44"/>
  <c r="H15" i="44"/>
  <c r="G30" i="44"/>
  <c r="V30" i="44"/>
  <c r="H17" i="44"/>
  <c r="G16" i="44"/>
  <c r="V16" i="44"/>
  <c r="U13" i="45"/>
  <c r="F25" i="45"/>
  <c r="U25" i="45"/>
  <c r="U26" i="45"/>
  <c r="K26" i="45"/>
  <c r="K19" i="45"/>
  <c r="Z19" i="45"/>
  <c r="L20" i="45"/>
  <c r="Y19" i="45"/>
  <c r="Z27" i="45"/>
  <c r="AA13" i="45"/>
  <c r="L27" i="45"/>
  <c r="AA27" i="45"/>
  <c r="M16" i="45"/>
  <c r="AB16" i="45"/>
  <c r="N22" i="45"/>
  <c r="AC22" i="45"/>
  <c r="G26" i="45"/>
  <c r="G13" i="45"/>
  <c r="W14" i="45"/>
  <c r="N14" i="45"/>
  <c r="M13" i="45"/>
  <c r="AB13" i="45"/>
  <c r="N15" i="45"/>
  <c r="M27" i="45"/>
  <c r="O17" i="45"/>
  <c r="N16" i="45"/>
  <c r="P23" i="45"/>
  <c r="O22" i="45"/>
  <c r="J25" i="45"/>
  <c r="BF38" i="22"/>
  <c r="AT29" i="22"/>
  <c r="AT47" i="22"/>
  <c r="AS35" i="22"/>
  <c r="AS49" i="22"/>
  <c r="AT32" i="22"/>
  <c r="AT45" i="22"/>
  <c r="V27" i="45"/>
  <c r="AT35" i="22"/>
  <c r="AT49" i="22"/>
  <c r="AT26" i="22"/>
  <c r="AT46" i="22"/>
  <c r="AS38" i="22"/>
  <c r="AC16" i="45"/>
  <c r="Y25" i="45"/>
  <c r="BC38" i="22"/>
  <c r="AB22" i="45"/>
  <c r="AC25" i="44"/>
  <c r="S29" i="5"/>
  <c r="S31" i="5"/>
  <c r="R31" i="5"/>
  <c r="AD22" i="45"/>
  <c r="AB27" i="45"/>
  <c r="BJ6" i="22"/>
  <c r="BJ26" i="22"/>
  <c r="N38" i="5"/>
  <c r="AB17" i="69"/>
  <c r="Q34" i="5"/>
  <c r="R33" i="5"/>
  <c r="Q32" i="5"/>
  <c r="Q37" i="5"/>
  <c r="Q38" i="5"/>
  <c r="H68" i="5"/>
  <c r="I69" i="5"/>
  <c r="T46" i="5"/>
  <c r="T47" i="5"/>
  <c r="T48" i="5"/>
  <c r="T49" i="5"/>
  <c r="U44" i="5"/>
  <c r="N65" i="5"/>
  <c r="O62" i="5"/>
  <c r="H74" i="5"/>
  <c r="H75" i="5"/>
  <c r="L15" i="69"/>
  <c r="AA15" i="69"/>
  <c r="AA16" i="69"/>
  <c r="AA13" i="69"/>
  <c r="L12" i="69"/>
  <c r="AB13" i="69"/>
  <c r="BE38" i="22"/>
  <c r="BD38" i="22"/>
  <c r="BJ23" i="22"/>
  <c r="BJ39" i="22"/>
  <c r="BJ24" i="22"/>
  <c r="BJ40" i="22"/>
  <c r="AT22" i="22"/>
  <c r="AT38" i="22"/>
  <c r="AT39" i="22"/>
  <c r="BJ34" i="22"/>
  <c r="BJ3" i="22"/>
  <c r="BJ32" i="22"/>
  <c r="BJ37" i="22"/>
  <c r="BJ15" i="22"/>
  <c r="BJ35" i="22"/>
  <c r="BJ9" i="22"/>
  <c r="BJ29" i="22"/>
  <c r="BJ30" i="22"/>
  <c r="P75" i="40"/>
  <c r="Q77" i="40"/>
  <c r="Q75" i="40"/>
  <c r="AD12" i="69"/>
  <c r="U16" i="69"/>
  <c r="F15" i="69"/>
  <c r="U15" i="69"/>
  <c r="P11" i="69"/>
  <c r="O17" i="69"/>
  <c r="AD17" i="69"/>
  <c r="G9" i="69"/>
  <c r="V9" i="69"/>
  <c r="H10" i="69"/>
  <c r="G16" i="69"/>
  <c r="AB16" i="69"/>
  <c r="N9" i="69"/>
  <c r="AC9" i="69"/>
  <c r="O10" i="69"/>
  <c r="J25" i="44"/>
  <c r="Y25" i="44"/>
  <c r="K26" i="44"/>
  <c r="K25" i="44"/>
  <c r="I19" i="44"/>
  <c r="X19" i="44"/>
  <c r="J20" i="44"/>
  <c r="F28" i="44"/>
  <c r="U28" i="44"/>
  <c r="U29" i="44"/>
  <c r="O25" i="44"/>
  <c r="AD25" i="44"/>
  <c r="P26" i="44"/>
  <c r="M22" i="44"/>
  <c r="AB22" i="44"/>
  <c r="N23" i="44"/>
  <c r="H16" i="44"/>
  <c r="W16" i="44"/>
  <c r="I17" i="44"/>
  <c r="H30" i="44"/>
  <c r="W30" i="44"/>
  <c r="I15" i="44"/>
  <c r="G13" i="44"/>
  <c r="V13" i="44"/>
  <c r="H14" i="44"/>
  <c r="G29" i="44"/>
  <c r="P22" i="45"/>
  <c r="AE22" i="45"/>
  <c r="Q23" i="45"/>
  <c r="Q22" i="45"/>
  <c r="O16" i="45"/>
  <c r="AD16" i="45"/>
  <c r="P17" i="45"/>
  <c r="N27" i="45"/>
  <c r="AC27" i="45"/>
  <c r="O15" i="45"/>
  <c r="V26" i="45"/>
  <c r="G25" i="45"/>
  <c r="W26" i="45"/>
  <c r="L19" i="45"/>
  <c r="AA19" i="45"/>
  <c r="M20" i="45"/>
  <c r="L26" i="45"/>
  <c r="Z26" i="45"/>
  <c r="K25" i="45"/>
  <c r="Z25" i="45"/>
  <c r="N13" i="45"/>
  <c r="AC13" i="45"/>
  <c r="O14" i="45"/>
  <c r="W13" i="45"/>
  <c r="V13" i="45"/>
  <c r="EK65" i="71"/>
  <c r="AB15" i="69"/>
  <c r="P62" i="5"/>
  <c r="O65" i="5"/>
  <c r="V44" i="5"/>
  <c r="V46" i="5"/>
  <c r="V47" i="5"/>
  <c r="V48" i="5"/>
  <c r="V49" i="5"/>
  <c r="U46" i="5"/>
  <c r="U47" i="5"/>
  <c r="U48" i="5"/>
  <c r="U49" i="5"/>
  <c r="I68" i="5"/>
  <c r="J69" i="5"/>
  <c r="S33" i="5"/>
  <c r="S34" i="5"/>
  <c r="R34" i="5"/>
  <c r="S32" i="5"/>
  <c r="AF22" i="45"/>
  <c r="R32" i="5"/>
  <c r="R37" i="5"/>
  <c r="R38" i="5"/>
  <c r="I74" i="5"/>
  <c r="I75" i="5"/>
  <c r="AA12" i="69"/>
  <c r="AB12" i="69"/>
  <c r="EN95" i="71"/>
  <c r="EN94" i="71"/>
  <c r="BJ22" i="22"/>
  <c r="BJ38" i="22"/>
  <c r="P10" i="69"/>
  <c r="O9" i="69"/>
  <c r="AD9" i="69"/>
  <c r="H9" i="69"/>
  <c r="W9" i="69"/>
  <c r="I10" i="69"/>
  <c r="H16" i="69"/>
  <c r="AE12" i="69"/>
  <c r="AC16" i="69"/>
  <c r="AC15" i="69"/>
  <c r="G15" i="69"/>
  <c r="V15" i="69"/>
  <c r="V16" i="69"/>
  <c r="Q11" i="69"/>
  <c r="Q17" i="69"/>
  <c r="P17" i="69"/>
  <c r="AE17" i="69"/>
  <c r="V29" i="44"/>
  <c r="G28" i="44"/>
  <c r="V28" i="44"/>
  <c r="H13" i="44"/>
  <c r="W13" i="44"/>
  <c r="I14" i="44"/>
  <c r="H29" i="44"/>
  <c r="J15" i="44"/>
  <c r="I30" i="44"/>
  <c r="X30" i="44"/>
  <c r="J17" i="44"/>
  <c r="I16" i="44"/>
  <c r="X16" i="44"/>
  <c r="O23" i="44"/>
  <c r="N22" i="44"/>
  <c r="AC22" i="44"/>
  <c r="Q26" i="44"/>
  <c r="Q25" i="44"/>
  <c r="P25" i="44"/>
  <c r="AE25" i="44"/>
  <c r="J19" i="44"/>
  <c r="Y19" i="44"/>
  <c r="K20" i="44"/>
  <c r="Z25" i="44"/>
  <c r="AA25" i="44"/>
  <c r="M19" i="45"/>
  <c r="AB19" i="45"/>
  <c r="N20" i="45"/>
  <c r="M26" i="45"/>
  <c r="P14" i="45"/>
  <c r="O13" i="45"/>
  <c r="AD13" i="45"/>
  <c r="L25" i="45"/>
  <c r="AA25" i="45"/>
  <c r="AA26" i="45"/>
  <c r="V25" i="45"/>
  <c r="W25" i="45"/>
  <c r="P15" i="45"/>
  <c r="O27" i="45"/>
  <c r="AD27" i="45"/>
  <c r="Q17" i="45"/>
  <c r="Q16" i="45"/>
  <c r="P16" i="45"/>
  <c r="AE16" i="45"/>
  <c r="S37" i="5"/>
  <c r="S38" i="5"/>
  <c r="Q62" i="5"/>
  <c r="P65" i="5"/>
  <c r="J68" i="5"/>
  <c r="K69" i="5"/>
  <c r="J74" i="5"/>
  <c r="J75" i="5"/>
  <c r="AF17" i="69"/>
  <c r="EO95" i="71"/>
  <c r="EO94" i="71"/>
  <c r="I9" i="69"/>
  <c r="I16" i="69"/>
  <c r="AD15" i="69"/>
  <c r="AD16" i="69"/>
  <c r="P9" i="69"/>
  <c r="AE9" i="69"/>
  <c r="Q10" i="69"/>
  <c r="W16" i="69"/>
  <c r="H15" i="69"/>
  <c r="W15" i="69"/>
  <c r="AF12" i="69"/>
  <c r="K19" i="44"/>
  <c r="Z19" i="44"/>
  <c r="L20" i="44"/>
  <c r="H28" i="44"/>
  <c r="W28" i="44"/>
  <c r="W29" i="44"/>
  <c r="O22" i="44"/>
  <c r="AD22" i="44"/>
  <c r="P23" i="44"/>
  <c r="J16" i="44"/>
  <c r="Y16" i="44"/>
  <c r="K17" i="44"/>
  <c r="J30" i="44"/>
  <c r="Y30" i="44"/>
  <c r="K15" i="44"/>
  <c r="I13" i="44"/>
  <c r="X13" i="44"/>
  <c r="J14" i="44"/>
  <c r="I29" i="44"/>
  <c r="AF25" i="44"/>
  <c r="P27" i="45"/>
  <c r="AE27" i="45"/>
  <c r="Q15" i="45"/>
  <c r="Q27" i="45"/>
  <c r="AB26" i="45"/>
  <c r="M25" i="45"/>
  <c r="AB25" i="45"/>
  <c r="AF16" i="45"/>
  <c r="P13" i="45"/>
  <c r="AE13" i="45"/>
  <c r="Q14" i="45"/>
  <c r="N19" i="45"/>
  <c r="AC19" i="45"/>
  <c r="O20" i="45"/>
  <c r="N26" i="45"/>
  <c r="AF27" i="45"/>
  <c r="R62" i="5"/>
  <c r="Q65" i="5"/>
  <c r="L69" i="5"/>
  <c r="K68" i="5"/>
  <c r="K74" i="5"/>
  <c r="K75" i="5"/>
  <c r="EP95" i="71"/>
  <c r="EQ95" i="71"/>
  <c r="EQ94" i="71"/>
  <c r="EP94" i="71"/>
  <c r="Q9" i="69"/>
  <c r="AF9" i="69"/>
  <c r="Y9" i="69"/>
  <c r="X9" i="69"/>
  <c r="AE16" i="69"/>
  <c r="AE15" i="69"/>
  <c r="I15" i="69"/>
  <c r="Y16" i="69"/>
  <c r="X16" i="69"/>
  <c r="X29" i="44"/>
  <c r="I28" i="44"/>
  <c r="X28" i="44"/>
  <c r="J13" i="44"/>
  <c r="Y13" i="44"/>
  <c r="K14" i="44"/>
  <c r="J29" i="44"/>
  <c r="L15" i="44"/>
  <c r="K30" i="44"/>
  <c r="Z30" i="44"/>
  <c r="L17" i="44"/>
  <c r="K16" i="44"/>
  <c r="Z16" i="44"/>
  <c r="Q23" i="44"/>
  <c r="Q22" i="44"/>
  <c r="P22" i="44"/>
  <c r="AF22" i="44"/>
  <c r="AE22" i="44"/>
  <c r="L19" i="44"/>
  <c r="AA19" i="44"/>
  <c r="M20" i="44"/>
  <c r="N25" i="45"/>
  <c r="AC25" i="45"/>
  <c r="AC26" i="45"/>
  <c r="Q13" i="45"/>
  <c r="AF13" i="45"/>
  <c r="O19" i="45"/>
  <c r="AD19" i="45"/>
  <c r="P20" i="45"/>
  <c r="O26" i="45"/>
  <c r="M69" i="5"/>
  <c r="L68" i="5"/>
  <c r="L74" i="5"/>
  <c r="L75" i="5"/>
  <c r="S62" i="5"/>
  <c r="S65" i="5"/>
  <c r="R65" i="5"/>
  <c r="X15" i="69"/>
  <c r="Y15" i="69"/>
  <c r="AF15" i="69"/>
  <c r="AF16" i="69"/>
  <c r="M19" i="44"/>
  <c r="AB19" i="44"/>
  <c r="N20" i="44"/>
  <c r="J28" i="44"/>
  <c r="Y28" i="44"/>
  <c r="Y29" i="44"/>
  <c r="L16" i="44"/>
  <c r="AA16" i="44"/>
  <c r="M17" i="44"/>
  <c r="L30" i="44"/>
  <c r="AA30" i="44"/>
  <c r="M15" i="44"/>
  <c r="K13" i="44"/>
  <c r="Z13" i="44"/>
  <c r="L14" i="44"/>
  <c r="K29" i="44"/>
  <c r="AD26" i="45"/>
  <c r="O25" i="45"/>
  <c r="AD25" i="45"/>
  <c r="P19" i="45"/>
  <c r="AE19" i="45"/>
  <c r="Q20" i="45"/>
  <c r="P26" i="45"/>
  <c r="M68" i="5"/>
  <c r="N69" i="5"/>
  <c r="M74" i="5"/>
  <c r="M75" i="5"/>
  <c r="Z29" i="44"/>
  <c r="K28" i="44"/>
  <c r="Z28" i="44"/>
  <c r="L13" i="44"/>
  <c r="AA13" i="44"/>
  <c r="M14" i="44"/>
  <c r="L29" i="44"/>
  <c r="N15" i="44"/>
  <c r="M30" i="44"/>
  <c r="AB30" i="44"/>
  <c r="N17" i="44"/>
  <c r="M16" i="44"/>
  <c r="AB16" i="44"/>
  <c r="N19" i="44"/>
  <c r="AC19" i="44"/>
  <c r="O20" i="44"/>
  <c r="P25" i="45"/>
  <c r="AE25" i="45"/>
  <c r="AE26" i="45"/>
  <c r="Q19" i="45"/>
  <c r="AF19" i="45"/>
  <c r="Q26" i="45"/>
  <c r="O69" i="5"/>
  <c r="N68" i="5"/>
  <c r="N74" i="5"/>
  <c r="N75" i="5"/>
  <c r="O19" i="44"/>
  <c r="AD19" i="44"/>
  <c r="P20" i="44"/>
  <c r="L28" i="44"/>
  <c r="AA28" i="44"/>
  <c r="AA29" i="44"/>
  <c r="N16" i="44"/>
  <c r="AC16" i="44"/>
  <c r="O17" i="44"/>
  <c r="N30" i="44"/>
  <c r="AC30" i="44"/>
  <c r="O15" i="44"/>
  <c r="M13" i="44"/>
  <c r="AB13" i="44"/>
  <c r="N14" i="44"/>
  <c r="M29" i="44"/>
  <c r="AF26" i="45"/>
  <c r="Q25" i="45"/>
  <c r="AF25" i="45"/>
  <c r="O68" i="5"/>
  <c r="P69" i="5"/>
  <c r="O74" i="5"/>
  <c r="O75" i="5"/>
  <c r="AB29" i="44"/>
  <c r="M28" i="44"/>
  <c r="AB28" i="44"/>
  <c r="N13" i="44"/>
  <c r="AC13" i="44"/>
  <c r="O14" i="44"/>
  <c r="N29" i="44"/>
  <c r="P15" i="44"/>
  <c r="O30" i="44"/>
  <c r="AD30" i="44"/>
  <c r="P17" i="44"/>
  <c r="O16" i="44"/>
  <c r="AD16" i="44"/>
  <c r="P19" i="44"/>
  <c r="AE19" i="44"/>
  <c r="Q20" i="44"/>
  <c r="Q19" i="44"/>
  <c r="AF19" i="44"/>
  <c r="Q69" i="5"/>
  <c r="P68" i="5"/>
  <c r="P74" i="5"/>
  <c r="P75" i="5"/>
  <c r="N28" i="44"/>
  <c r="AC28" i="44"/>
  <c r="AC29" i="44"/>
  <c r="P16" i="44"/>
  <c r="AE16" i="44"/>
  <c r="Q17" i="44"/>
  <c r="Q16" i="44"/>
  <c r="P30" i="44"/>
  <c r="AE30" i="44"/>
  <c r="Q15" i="44"/>
  <c r="Q30" i="44"/>
  <c r="O13" i="44"/>
  <c r="AD13" i="44"/>
  <c r="P14" i="44"/>
  <c r="O29" i="44"/>
  <c r="AF30" i="44"/>
  <c r="R69" i="5"/>
  <c r="Q68" i="5"/>
  <c r="Q74" i="5"/>
  <c r="Q75" i="5"/>
  <c r="AD29" i="44"/>
  <c r="O28" i="44"/>
  <c r="AD28" i="44"/>
  <c r="P13" i="44"/>
  <c r="AE13" i="44"/>
  <c r="Q14" i="44"/>
  <c r="P29" i="44"/>
  <c r="AF16" i="44"/>
  <c r="S69" i="5"/>
  <c r="R68" i="5"/>
  <c r="R74" i="5"/>
  <c r="R75" i="5"/>
  <c r="P28" i="44"/>
  <c r="AE28" i="44"/>
  <c r="AE29" i="44"/>
  <c r="Q13" i="44"/>
  <c r="AF13" i="44"/>
  <c r="Q29" i="44"/>
  <c r="S68" i="5"/>
  <c r="S74" i="5"/>
  <c r="S75" i="5"/>
  <c r="AF29" i="44"/>
  <c r="Q28" i="44"/>
  <c r="AF28" i="44"/>
  <c r="FA29" i="71" l="1"/>
  <c r="FB29" i="71" s="1"/>
  <c r="FC29" i="71" s="1"/>
  <c r="FD29" i="71" s="1"/>
  <c r="FE29" i="71" s="1"/>
  <c r="FF29" i="71" s="1"/>
  <c r="FG29" i="71" s="1"/>
  <c r="FH29" i="71" s="1"/>
  <c r="FI29" i="71" s="1"/>
  <c r="FJ29" i="71" s="1"/>
  <c r="V65" i="42"/>
  <c r="AD65" i="42"/>
  <c r="AA64" i="42"/>
  <c r="T62" i="42"/>
  <c r="V62" i="42"/>
  <c r="S62" i="42"/>
  <c r="I76" i="42"/>
  <c r="X76" i="42" s="1"/>
  <c r="X71" i="42"/>
  <c r="U65" i="42"/>
  <c r="W62" i="42"/>
  <c r="R62" i="42"/>
  <c r="Z68" i="42"/>
  <c r="V76" i="42"/>
  <c r="G74" i="42"/>
  <c r="AC65" i="42"/>
  <c r="V75" i="42"/>
  <c r="D83" i="40"/>
  <c r="U62" i="42"/>
  <c r="R65" i="42"/>
  <c r="T75" i="42"/>
  <c r="W75" i="42"/>
  <c r="U68" i="42"/>
  <c r="AE62" i="42"/>
  <c r="U75" i="42"/>
  <c r="F83" i="40"/>
  <c r="X62" i="42"/>
  <c r="C83" i="40"/>
  <c r="L62" i="42"/>
  <c r="AA62" i="42" s="1"/>
  <c r="AB65" i="42"/>
  <c r="D74" i="42"/>
  <c r="Z65" i="42"/>
  <c r="FD6" i="71"/>
  <c r="FE6" i="71" s="1"/>
  <c r="FF6" i="71" s="1"/>
  <c r="FG6" i="71" s="1"/>
  <c r="FH6" i="71" s="1"/>
  <c r="FI6" i="71" s="1"/>
  <c r="FJ6" i="71" s="1"/>
  <c r="DI220" i="71"/>
  <c r="DD218" i="71"/>
  <c r="DE217" i="71"/>
  <c r="CZ218" i="71"/>
  <c r="DA216" i="71"/>
  <c r="DB216" i="71" s="1"/>
  <c r="DB218" i="71" s="1"/>
  <c r="DB204" i="71"/>
  <c r="DA218" i="71"/>
  <c r="DB214" i="71"/>
  <c r="DB209" i="71"/>
  <c r="DA209" i="71"/>
  <c r="DA208" i="71"/>
  <c r="DB208" i="71" s="1"/>
  <c r="DB212" i="71" s="1"/>
  <c r="DH212" i="71"/>
  <c r="DA204" i="71"/>
  <c r="DH218" i="71"/>
  <c r="DL26" i="71"/>
  <c r="DM26" i="71" s="1"/>
  <c r="DN26" i="71" s="1"/>
  <c r="DL30" i="71"/>
  <c r="DM30" i="71" s="1"/>
  <c r="DN30" i="71" s="1"/>
  <c r="CI84" i="71"/>
  <c r="DG70" i="71"/>
  <c r="DG73" i="71" s="1"/>
  <c r="DG75" i="71" s="1"/>
  <c r="CH84" i="71"/>
  <c r="CZ212" i="71"/>
  <c r="CZ220" i="71" s="1"/>
  <c r="CY220" i="71"/>
  <c r="CG84" i="71"/>
  <c r="CH80" i="71"/>
  <c r="CF80" i="71"/>
  <c r="CG80" i="71"/>
  <c r="DD220" i="71"/>
  <c r="CF84" i="71"/>
  <c r="CE80" i="71"/>
  <c r="CE84" i="71"/>
  <c r="CL84" i="71"/>
  <c r="CJ84" i="71"/>
  <c r="EY4" i="71"/>
  <c r="BZ82" i="71"/>
  <c r="CD82" i="71"/>
  <c r="BZ69" i="71"/>
  <c r="BX64" i="71"/>
  <c r="BX66" i="71" s="1"/>
  <c r="BX70" i="71" s="1"/>
  <c r="CL80" i="71"/>
  <c r="EY26" i="71"/>
  <c r="EW71" i="71"/>
  <c r="EY30" i="71"/>
  <c r="DF89" i="71"/>
  <c r="DE85" i="71"/>
  <c r="CO69" i="71"/>
  <c r="ET67" i="71"/>
  <c r="CK69" i="71"/>
  <c r="ES67" i="71"/>
  <c r="EX12" i="71"/>
  <c r="EY12" i="71"/>
  <c r="EX18" i="71"/>
  <c r="EY18" i="71"/>
  <c r="EX13" i="71"/>
  <c r="EY37" i="71"/>
  <c r="FA37" i="71" s="1"/>
  <c r="FB37" i="71" s="1"/>
  <c r="FC37" i="71" s="1"/>
  <c r="FD37" i="71" s="1"/>
  <c r="FE37" i="71" s="1"/>
  <c r="FF37" i="71" s="1"/>
  <c r="FG37" i="71" s="1"/>
  <c r="FH37" i="71" s="1"/>
  <c r="FI37" i="71" s="1"/>
  <c r="FJ37" i="71" s="1"/>
  <c r="EX37" i="71"/>
  <c r="EY38" i="71"/>
  <c r="FA38" i="71" s="1"/>
  <c r="FB38" i="71" s="1"/>
  <c r="FC38" i="71" s="1"/>
  <c r="FD38" i="71" s="1"/>
  <c r="FE38" i="71" s="1"/>
  <c r="FF38" i="71" s="1"/>
  <c r="EX38" i="71"/>
  <c r="EY19" i="71"/>
  <c r="EX19" i="71"/>
  <c r="EY14" i="71"/>
  <c r="EX14" i="71"/>
  <c r="EY49" i="71"/>
  <c r="EX49" i="71"/>
  <c r="EY29" i="71"/>
  <c r="CO64" i="71"/>
  <c r="CO66" i="71" s="1"/>
  <c r="ET57" i="71"/>
  <c r="DD89" i="71"/>
  <c r="EX11" i="71"/>
  <c r="DE89" i="71"/>
  <c r="CK64" i="71"/>
  <c r="CK80" i="71" s="1"/>
  <c r="ES57" i="71"/>
  <c r="DF85" i="71"/>
  <c r="DK13" i="71"/>
  <c r="CU64" i="71"/>
  <c r="CU80" i="71" s="1"/>
  <c r="EV49" i="71"/>
  <c r="CX66" i="71"/>
  <c r="CX98" i="71" s="1"/>
  <c r="DB80" i="71"/>
  <c r="EW82" i="71"/>
  <c r="EJ95" i="71"/>
  <c r="CX154" i="71"/>
  <c r="CX159" i="71" s="1"/>
  <c r="AA63" i="42"/>
  <c r="H74" i="42"/>
  <c r="W74" i="42" s="1"/>
  <c r="U71" i="42"/>
  <c r="X65" i="42"/>
  <c r="F74" i="42"/>
  <c r="T76" i="42"/>
  <c r="W68" i="42"/>
  <c r="E83" i="40"/>
  <c r="Y68" i="42"/>
  <c r="T65" i="42"/>
  <c r="S75" i="42"/>
  <c r="J62" i="42"/>
  <c r="Y62" i="42" s="1"/>
  <c r="M68" i="42"/>
  <c r="AB68" i="42" s="1"/>
  <c r="S68" i="42"/>
  <c r="E74" i="42"/>
  <c r="Z63" i="42"/>
  <c r="I75" i="42"/>
  <c r="K75" i="42"/>
  <c r="L72" i="42"/>
  <c r="O70" i="42"/>
  <c r="N68" i="42"/>
  <c r="J71" i="42"/>
  <c r="Y71" i="42" s="1"/>
  <c r="J76" i="42"/>
  <c r="Y76" i="42" s="1"/>
  <c r="K73" i="42"/>
  <c r="AB64" i="42"/>
  <c r="M62" i="42"/>
  <c r="AC64" i="42"/>
  <c r="Y65" i="42"/>
  <c r="S76" i="42"/>
  <c r="W76" i="42"/>
  <c r="R75" i="42"/>
  <c r="C74" i="42"/>
  <c r="Y63" i="42"/>
  <c r="B74" i="42"/>
  <c r="R76" i="42"/>
  <c r="U76" i="42"/>
  <c r="DA85" i="71"/>
  <c r="DB85" i="71"/>
  <c r="CS94" i="71"/>
  <c r="CO94" i="71"/>
  <c r="CO83" i="71"/>
  <c r="CS83" i="71"/>
  <c r="CY148" i="71"/>
  <c r="CT80" i="71"/>
  <c r="CP66" i="71"/>
  <c r="CP70" i="71" s="1"/>
  <c r="CP73" i="71" s="1"/>
  <c r="CP75" i="71" s="1"/>
  <c r="CP76" i="71" s="1"/>
  <c r="CP84" i="71" s="1"/>
  <c r="R7" i="3"/>
  <c r="CR80" i="71"/>
  <c r="CN66" i="71"/>
  <c r="CN70" i="71" s="1"/>
  <c r="CN73" i="71" s="1"/>
  <c r="CN75" i="71" s="1"/>
  <c r="CN76" i="71" s="1"/>
  <c r="CN84" i="71" s="1"/>
  <c r="CN80" i="71"/>
  <c r="CM66" i="71"/>
  <c r="CM70" i="71" s="1"/>
  <c r="CM73" i="71" s="1"/>
  <c r="CM75" i="71" s="1"/>
  <c r="CM76" i="71" s="1"/>
  <c r="CM80" i="71"/>
  <c r="CQ80" i="71"/>
  <c r="CP80" i="71"/>
  <c r="BI189" i="71"/>
  <c r="CX172" i="71"/>
  <c r="CX178" i="71" s="1"/>
  <c r="CY172" i="71"/>
  <c r="CY178" i="71" s="1"/>
  <c r="EV69" i="71"/>
  <c r="EW85" i="71"/>
  <c r="EV71" i="71"/>
  <c r="CY154" i="71"/>
  <c r="CY159" i="71" s="1"/>
  <c r="EW10" i="71"/>
  <c r="FA27" i="71"/>
  <c r="FB27" i="71" s="1"/>
  <c r="FC27" i="71" s="1"/>
  <c r="FD27" i="71" s="1"/>
  <c r="FE27" i="71" s="1"/>
  <c r="FF27" i="71" s="1"/>
  <c r="FG27" i="71" s="1"/>
  <c r="FH27" i="71" s="1"/>
  <c r="FI27" i="71" s="1"/>
  <c r="FJ27" i="71" s="1"/>
  <c r="EX58" i="71"/>
  <c r="EY58" i="71" s="1"/>
  <c r="EZ58" i="71" s="1"/>
  <c r="FA58" i="71" s="1"/>
  <c r="FB58" i="71" s="1"/>
  <c r="FC58" i="71" s="1"/>
  <c r="FD58" i="71" s="1"/>
  <c r="FE58" i="71" s="1"/>
  <c r="FF58" i="71" s="1"/>
  <c r="FG58" i="71" s="1"/>
  <c r="FH58" i="71" s="1"/>
  <c r="FI58" i="71" s="1"/>
  <c r="FJ58" i="71" s="1"/>
  <c r="EW11" i="71"/>
  <c r="FA28" i="71"/>
  <c r="FB28" i="71" s="1"/>
  <c r="FC28" i="71" s="1"/>
  <c r="FD28" i="71" s="1"/>
  <c r="FE28" i="71" s="1"/>
  <c r="FF28" i="71" s="1"/>
  <c r="FG28" i="71" s="1"/>
  <c r="FH28" i="71" s="1"/>
  <c r="FI28" i="71" s="1"/>
  <c r="FJ28" i="71" s="1"/>
  <c r="EW14" i="71"/>
  <c r="EW96" i="71"/>
  <c r="FA47" i="71"/>
  <c r="FB47" i="71" s="1"/>
  <c r="FC47" i="71" s="1"/>
  <c r="FD47" i="71" s="1"/>
  <c r="FE47" i="71" s="1"/>
  <c r="FF47" i="71" s="1"/>
  <c r="FG47" i="71" s="1"/>
  <c r="FH47" i="71" s="1"/>
  <c r="FI47" i="71" s="1"/>
  <c r="FJ47" i="71" s="1"/>
  <c r="EW19" i="71"/>
  <c r="FA33" i="71"/>
  <c r="FB33" i="71" s="1"/>
  <c r="FC33" i="71" s="1"/>
  <c r="FD33" i="71" s="1"/>
  <c r="FE33" i="71" s="1"/>
  <c r="FF33" i="71" s="1"/>
  <c r="FG33" i="71" s="1"/>
  <c r="FH33" i="71" s="1"/>
  <c r="FI33" i="71" s="1"/>
  <c r="FJ33" i="71" s="1"/>
  <c r="EW4" i="71"/>
  <c r="EX50" i="71"/>
  <c r="EY50" i="71" s="1"/>
  <c r="FA50" i="71" s="1"/>
  <c r="FB50" i="71" s="1"/>
  <c r="FC50" i="71" s="1"/>
  <c r="FD50" i="71" s="1"/>
  <c r="FE50" i="71" s="1"/>
  <c r="FF50" i="71" s="1"/>
  <c r="FG50" i="71" s="1"/>
  <c r="FH50" i="71" s="1"/>
  <c r="FI50" i="71" s="1"/>
  <c r="FJ50" i="71" s="1"/>
  <c r="EW5" i="71"/>
  <c r="FD5" i="71" s="1"/>
  <c r="FE5" i="71" s="1"/>
  <c r="FF5" i="71" s="1"/>
  <c r="FG5" i="71" s="1"/>
  <c r="FH5" i="71" s="1"/>
  <c r="FI5" i="71" s="1"/>
  <c r="FJ5" i="71" s="1"/>
  <c r="EX54" i="71"/>
  <c r="EY54" i="71" s="1"/>
  <c r="EZ54" i="71" s="1"/>
  <c r="FA54" i="71" s="1"/>
  <c r="FB54" i="71" s="1"/>
  <c r="FC54" i="71" s="1"/>
  <c r="FD54" i="71" s="1"/>
  <c r="FE54" i="71" s="1"/>
  <c r="FF54" i="71" s="1"/>
  <c r="FG54" i="71" s="1"/>
  <c r="FH54" i="71" s="1"/>
  <c r="FI54" i="71" s="1"/>
  <c r="FJ54" i="71" s="1"/>
  <c r="EX77" i="71"/>
  <c r="EY77" i="71" s="1"/>
  <c r="EZ77" i="71" s="1"/>
  <c r="FA77" i="71" s="1"/>
  <c r="FB77" i="71" s="1"/>
  <c r="EW6" i="71"/>
  <c r="AZ70" i="71"/>
  <c r="AZ73" i="71" s="1"/>
  <c r="AZ75" i="71" s="1"/>
  <c r="AZ104" i="71" s="1"/>
  <c r="AZ100" i="71"/>
  <c r="AZ106" i="71"/>
  <c r="AZ109" i="71" s="1"/>
  <c r="EG93" i="71"/>
  <c r="DA95" i="71"/>
  <c r="DD88" i="71"/>
  <c r="DD93" i="71"/>
  <c r="CZ95" i="71"/>
  <c r="CZ89" i="71"/>
  <c r="DE94" i="71"/>
  <c r="CZ92" i="71"/>
  <c r="DA92" i="71"/>
  <c r="DB92" i="71"/>
  <c r="CQ99" i="71"/>
  <c r="DA88" i="71"/>
  <c r="CR99" i="71"/>
  <c r="DA93" i="71"/>
  <c r="DB94" i="71"/>
  <c r="CS99" i="71"/>
  <c r="DD94" i="71"/>
  <c r="CW99" i="71"/>
  <c r="CT100" i="71"/>
  <c r="CX99" i="71"/>
  <c r="CV100" i="71"/>
  <c r="CW100" i="71"/>
  <c r="CX100" i="71"/>
  <c r="CY99" i="71"/>
  <c r="CY100" i="71"/>
  <c r="DA89" i="71"/>
  <c r="DB93" i="71"/>
  <c r="DB95" i="71"/>
  <c r="CT99" i="71"/>
  <c r="CQ100" i="71"/>
  <c r="DB89" i="71"/>
  <c r="CR100" i="71"/>
  <c r="DB87" i="71"/>
  <c r="CV99" i="71"/>
  <c r="CS100" i="71"/>
  <c r="DA90" i="71"/>
  <c r="CZ90" i="71"/>
  <c r="DA87" i="71"/>
  <c r="DF86" i="71"/>
  <c r="CY70" i="71"/>
  <c r="DE86" i="71"/>
  <c r="DB91" i="71"/>
  <c r="DA86" i="71"/>
  <c r="DD86" i="71"/>
  <c r="DB88" i="71"/>
  <c r="DA64" i="71"/>
  <c r="CZ64" i="71"/>
  <c r="CZ66" i="71" s="1"/>
  <c r="CZ70" i="71" s="1"/>
  <c r="DD91" i="71"/>
  <c r="CV80" i="71"/>
  <c r="DD87" i="71"/>
  <c r="DA91" i="71"/>
  <c r="CQ70" i="71"/>
  <c r="CR70" i="71"/>
  <c r="CV70" i="71"/>
  <c r="BR64" i="71"/>
  <c r="BR100" i="71" s="1"/>
  <c r="CW70" i="71"/>
  <c r="BV93" i="71"/>
  <c r="CW80" i="71"/>
  <c r="CX80" i="71"/>
  <c r="CS70" i="71"/>
  <c r="CT70" i="71"/>
  <c r="BV86" i="71"/>
  <c r="L70" i="71"/>
  <c r="L101" i="71" s="1"/>
  <c r="AW154" i="71"/>
  <c r="AW159" i="71" s="1"/>
  <c r="D55" i="71"/>
  <c r="H94" i="71" s="1"/>
  <c r="EH95" i="71"/>
  <c r="EK83" i="71"/>
  <c r="EQ96" i="71"/>
  <c r="EP96" i="71"/>
  <c r="EO96" i="71"/>
  <c r="BA106" i="71"/>
  <c r="BE110" i="71" s="1"/>
  <c r="BD64" i="71"/>
  <c r="BD116" i="71" s="1"/>
  <c r="EH93" i="71"/>
  <c r="E61" i="71"/>
  <c r="I96" i="71" s="1"/>
  <c r="S85" i="71"/>
  <c r="BE178" i="71"/>
  <c r="AL253" i="71"/>
  <c r="EG94" i="71"/>
  <c r="AC85" i="71"/>
  <c r="AM115" i="71"/>
  <c r="BP180" i="71"/>
  <c r="EO10" i="71"/>
  <c r="EP10" i="71" s="1"/>
  <c r="EQ10" i="71" s="1"/>
  <c r="D70" i="71"/>
  <c r="D101" i="71" s="1"/>
  <c r="EJ93" i="71"/>
  <c r="EO35" i="71"/>
  <c r="EP35" i="71" s="1"/>
  <c r="EQ35" i="71" s="1"/>
  <c r="AL117" i="71"/>
  <c r="P98" i="71"/>
  <c r="EH96" i="71"/>
  <c r="AN85" i="71"/>
  <c r="EP63" i="71"/>
  <c r="EQ63" i="71" s="1"/>
  <c r="EQ120" i="71" s="1"/>
  <c r="EQ232" i="71" s="1"/>
  <c r="EO120" i="71"/>
  <c r="EO232" i="71" s="1"/>
  <c r="EI96" i="71"/>
  <c r="BB159" i="71"/>
  <c r="EK74" i="71"/>
  <c r="BJ64" i="71"/>
  <c r="BJ100" i="71" s="1"/>
  <c r="EG95" i="71"/>
  <c r="EN120" i="71"/>
  <c r="EN232" i="71" s="1"/>
  <c r="I98" i="71"/>
  <c r="EI94" i="71"/>
  <c r="EG12" i="71"/>
  <c r="AB85" i="71"/>
  <c r="ED96" i="71"/>
  <c r="EN96" i="71"/>
  <c r="BF124" i="71"/>
  <c r="BN106" i="71"/>
  <c r="DU98" i="71"/>
  <c r="N98" i="71"/>
  <c r="EC16" i="71"/>
  <c r="ED15" i="71"/>
  <c r="H250" i="71"/>
  <c r="H73" i="71"/>
  <c r="H75" i="71" s="1"/>
  <c r="H104" i="71" s="1"/>
  <c r="H98" i="71"/>
  <c r="AN253" i="71"/>
  <c r="DU70" i="71"/>
  <c r="DU101" i="71" s="1"/>
  <c r="AW64" i="71"/>
  <c r="BA80" i="71" s="1"/>
  <c r="BA131" i="71" s="1"/>
  <c r="BA128" i="71" s="1"/>
  <c r="BA265" i="71" s="1"/>
  <c r="V85" i="71"/>
  <c r="EG35" i="71"/>
  <c r="J94" i="71"/>
  <c r="DV233" i="71"/>
  <c r="DS234" i="71"/>
  <c r="AY159" i="71"/>
  <c r="EM85" i="71"/>
  <c r="DY15" i="71"/>
  <c r="Y73" i="71"/>
  <c r="Y103" i="71" s="1"/>
  <c r="EG42" i="71"/>
  <c r="Z85" i="71"/>
  <c r="EE41" i="71"/>
  <c r="EA50" i="71"/>
  <c r="EF93" i="71"/>
  <c r="BI180" i="71"/>
  <c r="AV146" i="71"/>
  <c r="ED233" i="71"/>
  <c r="EG16" i="71"/>
  <c r="EF96" i="71"/>
  <c r="AE85" i="71"/>
  <c r="EG22" i="71"/>
  <c r="Y101" i="71"/>
  <c r="AY64" i="71"/>
  <c r="AY263" i="71" s="1"/>
  <c r="DZ42" i="71"/>
  <c r="EA41" i="71"/>
  <c r="DX41" i="71"/>
  <c r="K94" i="71"/>
  <c r="N94" i="71"/>
  <c r="EG17" i="71"/>
  <c r="Q98" i="71"/>
  <c r="BI64" i="71"/>
  <c r="BV82" i="71"/>
  <c r="BV85" i="71"/>
  <c r="BU87" i="71"/>
  <c r="BT106" i="71"/>
  <c r="Y98" i="71"/>
  <c r="AS64" i="71"/>
  <c r="AS100" i="71" s="1"/>
  <c r="BL180" i="71"/>
  <c r="BD124" i="71"/>
  <c r="BD125" i="71" s="1"/>
  <c r="EK96" i="71"/>
  <c r="EL85" i="71"/>
  <c r="EK82" i="71"/>
  <c r="EE15" i="71"/>
  <c r="EB22" i="71"/>
  <c r="EJ94" i="71"/>
  <c r="EA98" i="71"/>
  <c r="BB145" i="71"/>
  <c r="BC189" i="71" s="1"/>
  <c r="BK159" i="71"/>
  <c r="BC108" i="71"/>
  <c r="BC110" i="71"/>
  <c r="AI115" i="71"/>
  <c r="AM117" i="71"/>
  <c r="EE35" i="71"/>
  <c r="BC64" i="71"/>
  <c r="BC146" i="71" s="1"/>
  <c r="EI95" i="71"/>
  <c r="EB41" i="71"/>
  <c r="EN87" i="71"/>
  <c r="BT83" i="71"/>
  <c r="BC124" i="71"/>
  <c r="DT233" i="71"/>
  <c r="EB94" i="71"/>
  <c r="EC42" i="71"/>
  <c r="ED35" i="71"/>
  <c r="AD85" i="71"/>
  <c r="BN145" i="71"/>
  <c r="BN189" i="71" s="1"/>
  <c r="BR145" i="71"/>
  <c r="BR189" i="71" s="1"/>
  <c r="DV234" i="71"/>
  <c r="BC154" i="71"/>
  <c r="BC159" i="71" s="1"/>
  <c r="EH94" i="71"/>
  <c r="DZ17" i="71"/>
  <c r="EC35" i="71"/>
  <c r="EI113" i="71"/>
  <c r="EI230" i="71" s="1"/>
  <c r="EJ96" i="71"/>
  <c r="G73" i="71"/>
  <c r="G102" i="71" s="1"/>
  <c r="EB17" i="71"/>
  <c r="EB35" i="71"/>
  <c r="DX8" i="71"/>
  <c r="EB8" i="71"/>
  <c r="EF94" i="71"/>
  <c r="EA95" i="71"/>
  <c r="AA64" i="71"/>
  <c r="AA109" i="71" s="1"/>
  <c r="AL85" i="71"/>
  <c r="EC96" i="71"/>
  <c r="EE93" i="71"/>
  <c r="AM159" i="71"/>
  <c r="BM64" i="71"/>
  <c r="BM146" i="71" s="1"/>
  <c r="G98" i="71"/>
  <c r="BM180" i="71"/>
  <c r="EN85" i="71"/>
  <c r="EK85" i="71"/>
  <c r="R98" i="71"/>
  <c r="I250" i="71"/>
  <c r="DY55" i="71"/>
  <c r="DY94" i="71" s="1"/>
  <c r="EG3" i="71"/>
  <c r="EG85" i="71" s="1"/>
  <c r="AV189" i="71"/>
  <c r="BP83" i="71"/>
  <c r="BH178" i="71"/>
  <c r="EO24" i="71"/>
  <c r="EP24" i="71" s="1"/>
  <c r="DZ70" i="71"/>
  <c r="DZ98" i="71"/>
  <c r="AZ99" i="71"/>
  <c r="M98" i="71"/>
  <c r="AS124" i="71"/>
  <c r="DX98" i="71"/>
  <c r="EA94" i="71"/>
  <c r="DY41" i="71"/>
  <c r="DX35" i="71"/>
  <c r="AR49" i="71"/>
  <c r="AR106" i="71" s="1"/>
  <c r="AE49" i="71"/>
  <c r="AE64" i="71" s="1"/>
  <c r="AE66" i="71" s="1"/>
  <c r="AE70" i="71" s="1"/>
  <c r="AE101" i="71" s="1"/>
  <c r="EB15" i="71"/>
  <c r="EG15" i="71"/>
  <c r="EF22" i="71"/>
  <c r="X85" i="71"/>
  <c r="AJ85" i="71"/>
  <c r="ED95" i="71"/>
  <c r="EF95" i="71"/>
  <c r="BA124" i="71"/>
  <c r="BA125" i="71" s="1"/>
  <c r="AY145" i="71"/>
  <c r="AY189" i="71" s="1"/>
  <c r="BI124" i="71"/>
  <c r="BR106" i="71"/>
  <c r="DZ22" i="71"/>
  <c r="F70" i="71"/>
  <c r="F101" i="71" s="1"/>
  <c r="DS98" i="71"/>
  <c r="DS73" i="71"/>
  <c r="DS102" i="71" s="1"/>
  <c r="AZ80" i="71"/>
  <c r="AZ131" i="71" s="1"/>
  <c r="AZ128" i="71" s="1"/>
  <c r="AZ265" i="71" s="1"/>
  <c r="AV100" i="71"/>
  <c r="AI85" i="71"/>
  <c r="AW124" i="71"/>
  <c r="AH253" i="71"/>
  <c r="EB98" i="71"/>
  <c r="BA154" i="71"/>
  <c r="BA159" i="71" s="1"/>
  <c r="AQ124" i="71"/>
  <c r="S73" i="71"/>
  <c r="S102" i="71" s="1"/>
  <c r="BB256" i="71"/>
  <c r="AV66" i="71"/>
  <c r="AV98" i="71" s="1"/>
  <c r="V70" i="71"/>
  <c r="EJ49" i="71"/>
  <c r="EJ64" i="71" s="1"/>
  <c r="Z123" i="71"/>
  <c r="C56" i="71"/>
  <c r="G95" i="71" s="1"/>
  <c r="AV99" i="71"/>
  <c r="AX154" i="71"/>
  <c r="AX159" i="71" s="1"/>
  <c r="J95" i="71"/>
  <c r="DY22" i="71"/>
  <c r="BO64" i="71"/>
  <c r="BO100" i="71" s="1"/>
  <c r="BV92" i="71"/>
  <c r="BF64" i="71"/>
  <c r="BF109" i="71" s="1"/>
  <c r="AZ123" i="71"/>
  <c r="AV116" i="71"/>
  <c r="AI253" i="71"/>
  <c r="BB106" i="71"/>
  <c r="BB109" i="71" s="1"/>
  <c r="AO124" i="71"/>
  <c r="AV106" i="71"/>
  <c r="AV109" i="71" s="1"/>
  <c r="J250" i="71"/>
  <c r="EB233" i="71"/>
  <c r="EB235" i="71" s="1"/>
  <c r="EE94" i="71"/>
  <c r="K73" i="71"/>
  <c r="K103" i="71" s="1"/>
  <c r="EK113" i="71"/>
  <c r="EK230" i="71" s="1"/>
  <c r="K98" i="71"/>
  <c r="AS106" i="71"/>
  <c r="AS110" i="71" s="1"/>
  <c r="DX233" i="71"/>
  <c r="BE117" i="71"/>
  <c r="EL95" i="71"/>
  <c r="BK178" i="71"/>
  <c r="BQ187" i="71"/>
  <c r="BQ186" i="71" s="1"/>
  <c r="AS117" i="71"/>
  <c r="BG64" i="71"/>
  <c r="BG99" i="71" s="1"/>
  <c r="AZ154" i="71"/>
  <c r="AZ159" i="71" s="1"/>
  <c r="EL94" i="71"/>
  <c r="T70" i="71"/>
  <c r="DV98" i="71"/>
  <c r="DZ59" i="71"/>
  <c r="AQ256" i="71"/>
  <c r="D61" i="71"/>
  <c r="H96" i="71" s="1"/>
  <c r="BI117" i="71"/>
  <c r="BQ106" i="71"/>
  <c r="BO180" i="71"/>
  <c r="BU82" i="71"/>
  <c r="EK94" i="71"/>
  <c r="AF85" i="71"/>
  <c r="EE95" i="71"/>
  <c r="AX106" i="71"/>
  <c r="AX110" i="71" s="1"/>
  <c r="AZ188" i="71"/>
  <c r="BA188" i="71"/>
  <c r="EB70" i="71"/>
  <c r="X98" i="71"/>
  <c r="AU124" i="71"/>
  <c r="BK180" i="71"/>
  <c r="J101" i="71"/>
  <c r="AX99" i="71"/>
  <c r="U98" i="71"/>
  <c r="DT70" i="71"/>
  <c r="DT101" i="71" s="1"/>
  <c r="EK49" i="71"/>
  <c r="EK64" i="71" s="1"/>
  <c r="DW233" i="71"/>
  <c r="M73" i="71"/>
  <c r="M75" i="71" s="1"/>
  <c r="EF62" i="71"/>
  <c r="EF113" i="71" s="1"/>
  <c r="AU117" i="71"/>
  <c r="EI85" i="71"/>
  <c r="EE16" i="71"/>
  <c r="EC15" i="71"/>
  <c r="EC3" i="71"/>
  <c r="EC85" i="71" s="1"/>
  <c r="AI49" i="71"/>
  <c r="AI106" i="71" s="1"/>
  <c r="AI108" i="71" s="1"/>
  <c r="ED41" i="71"/>
  <c r="EG159" i="71"/>
  <c r="EG177" i="71" s="1"/>
  <c r="T85" i="71"/>
  <c r="AX146" i="71"/>
  <c r="EB93" i="71"/>
  <c r="BA256" i="71"/>
  <c r="AX116" i="71"/>
  <c r="AW106" i="71"/>
  <c r="AP124" i="71"/>
  <c r="EC17" i="71"/>
  <c r="ED42" i="71"/>
  <c r="ED17" i="71"/>
  <c r="EE42" i="71"/>
  <c r="EM83" i="71"/>
  <c r="EO36" i="71"/>
  <c r="EP36" i="71" s="1"/>
  <c r="EQ36" i="71" s="1"/>
  <c r="BV83" i="71"/>
  <c r="AX100" i="71"/>
  <c r="Q73" i="71"/>
  <c r="Q75" i="71" s="1"/>
  <c r="AX66" i="71"/>
  <c r="DT234" i="71"/>
  <c r="DU233" i="71"/>
  <c r="DU235" i="71" s="1"/>
  <c r="EN83" i="71"/>
  <c r="BL178" i="71"/>
  <c r="BJ159" i="71"/>
  <c r="EF35" i="71"/>
  <c r="AO64" i="71"/>
  <c r="AO116" i="71" s="1"/>
  <c r="DP98" i="71"/>
  <c r="EG62" i="71"/>
  <c r="EG113" i="71" s="1"/>
  <c r="EG230" i="71" s="1"/>
  <c r="BJ117" i="71"/>
  <c r="BR159" i="71"/>
  <c r="BI178" i="71"/>
  <c r="EO25" i="71"/>
  <c r="EP25" i="71" s="1"/>
  <c r="EQ25" i="71" s="1"/>
  <c r="ES25" i="71" s="1"/>
  <c r="ET25" i="71" s="1"/>
  <c r="BE64" i="71"/>
  <c r="BE116" i="71" s="1"/>
  <c r="U73" i="71"/>
  <c r="U102" i="71" s="1"/>
  <c r="DV73" i="71"/>
  <c r="DV102" i="71" s="1"/>
  <c r="EA42" i="71"/>
  <c r="DX42" i="71"/>
  <c r="DZ40" i="71"/>
  <c r="DZ15" i="71"/>
  <c r="EA22" i="71"/>
  <c r="DX22" i="71"/>
  <c r="EH22" i="71"/>
  <c r="ED16" i="71"/>
  <c r="AN49" i="71"/>
  <c r="AN106" i="71" s="1"/>
  <c r="AL49" i="71"/>
  <c r="AL106" i="71" s="1"/>
  <c r="AP110" i="71" s="1"/>
  <c r="BE145" i="71"/>
  <c r="BF189" i="71" s="1"/>
  <c r="EM11" i="71"/>
  <c r="BQ64" i="71"/>
  <c r="BQ146" i="71" s="1"/>
  <c r="AR117" i="71"/>
  <c r="AV117" i="71"/>
  <c r="BB263" i="71"/>
  <c r="BB264" i="71" s="1"/>
  <c r="BB66" i="71"/>
  <c r="BB98" i="71" s="1"/>
  <c r="BB146" i="71"/>
  <c r="BB123" i="71"/>
  <c r="BB80" i="71"/>
  <c r="BB131" i="71" s="1"/>
  <c r="BB128" i="71" s="1"/>
  <c r="BB265" i="71" s="1"/>
  <c r="BB100" i="71"/>
  <c r="BB99" i="71"/>
  <c r="AJ253" i="71"/>
  <c r="AJ115" i="71"/>
  <c r="AN117" i="71"/>
  <c r="X101" i="71"/>
  <c r="X73" i="71"/>
  <c r="DP101" i="71"/>
  <c r="DP73" i="71"/>
  <c r="AT124" i="71"/>
  <c r="AP113" i="71"/>
  <c r="AP117" i="71" s="1"/>
  <c r="EI93" i="71"/>
  <c r="EM87" i="71"/>
  <c r="EO60" i="71"/>
  <c r="EP60" i="71" s="1"/>
  <c r="EQ60" i="71" s="1"/>
  <c r="EM96" i="71"/>
  <c r="AF49" i="71"/>
  <c r="AF106" i="71" s="1"/>
  <c r="AF250" i="71" s="1"/>
  <c r="AQ117" i="71"/>
  <c r="AQ49" i="71"/>
  <c r="ED3" i="71"/>
  <c r="BE159" i="71"/>
  <c r="BF178" i="71"/>
  <c r="BL106" i="71"/>
  <c r="BY96" i="71"/>
  <c r="EJ85" i="71"/>
  <c r="EA3" i="71"/>
  <c r="DY61" i="71"/>
  <c r="DZ60" i="71"/>
  <c r="AZ263" i="71"/>
  <c r="AZ264" i="71" s="1"/>
  <c r="AM85" i="71"/>
  <c r="E56" i="71"/>
  <c r="I95" i="71" s="1"/>
  <c r="AQ189" i="71"/>
  <c r="EL83" i="71"/>
  <c r="AY124" i="71"/>
  <c r="AH85" i="71"/>
  <c r="AA85" i="71"/>
  <c r="I73" i="71"/>
  <c r="J96" i="71"/>
  <c r="EG8" i="71"/>
  <c r="AT64" i="71"/>
  <c r="AT123" i="71" s="1"/>
  <c r="BH117" i="71"/>
  <c r="BG178" i="71"/>
  <c r="BM178" i="71"/>
  <c r="N101" i="71"/>
  <c r="AD64" i="71"/>
  <c r="W85" i="71"/>
  <c r="AZ146" i="71"/>
  <c r="DR98" i="71"/>
  <c r="EE17" i="71"/>
  <c r="DQ70" i="71"/>
  <c r="DQ101" i="71" s="1"/>
  <c r="EN49" i="71"/>
  <c r="EO49" i="71" s="1"/>
  <c r="EP49" i="71" s="1"/>
  <c r="EQ49" i="71" s="1"/>
  <c r="EO4" i="71"/>
  <c r="EO86" i="71" s="1"/>
  <c r="BU86" i="71"/>
  <c r="C98" i="71"/>
  <c r="AM49" i="71"/>
  <c r="AM64" i="71" s="1"/>
  <c r="AM123" i="71" s="1"/>
  <c r="BU92" i="71"/>
  <c r="BB116" i="71"/>
  <c r="EK95" i="71"/>
  <c r="EA233" i="71"/>
  <c r="EA235" i="71" s="1"/>
  <c r="AK113" i="71"/>
  <c r="AK117" i="71" s="1"/>
  <c r="BM106" i="71"/>
  <c r="AP64" i="71"/>
  <c r="DX234" i="71"/>
  <c r="EA8" i="71"/>
  <c r="EC41" i="71"/>
  <c r="EK72" i="71"/>
  <c r="BN64" i="71"/>
  <c r="BN99" i="71" s="1"/>
  <c r="EJ154" i="71"/>
  <c r="EJ159" i="71" s="1"/>
  <c r="AT189" i="71"/>
  <c r="DY42" i="71"/>
  <c r="DZ41" i="71"/>
  <c r="EA40" i="71"/>
  <c r="DX15" i="71"/>
  <c r="DY8" i="71"/>
  <c r="BE124" i="71"/>
  <c r="BG180" i="71"/>
  <c r="BK49" i="71"/>
  <c r="BK106" i="71" s="1"/>
  <c r="BJ145" i="71"/>
  <c r="BJ189" i="71" s="1"/>
  <c r="BP188" i="71"/>
  <c r="BR178" i="71"/>
  <c r="BL159" i="71"/>
  <c r="EH62" i="71"/>
  <c r="EH113" i="71" s="1"/>
  <c r="P73" i="71"/>
  <c r="P102" i="71" s="1"/>
  <c r="BH124" i="71"/>
  <c r="BG188" i="71"/>
  <c r="BG145" i="71"/>
  <c r="BG189" i="71" s="1"/>
  <c r="BG154" i="71"/>
  <c r="BG159" i="71" s="1"/>
  <c r="EG124" i="71"/>
  <c r="EG126" i="71" s="1"/>
  <c r="EG122" i="71"/>
  <c r="EG232" i="71"/>
  <c r="BV64" i="71"/>
  <c r="O73" i="71"/>
  <c r="O75" i="71" s="1"/>
  <c r="O101" i="71"/>
  <c r="AK49" i="71"/>
  <c r="AK64" i="71" s="1"/>
  <c r="AC64" i="71"/>
  <c r="AC123" i="71" s="1"/>
  <c r="AH49" i="71"/>
  <c r="AH64" i="71" s="1"/>
  <c r="AX189" i="71"/>
  <c r="AW189" i="71"/>
  <c r="AR256" i="71"/>
  <c r="AR124" i="71"/>
  <c r="EJ232" i="71"/>
  <c r="EJ124" i="71"/>
  <c r="EJ126" i="71" s="1"/>
  <c r="C73" i="71"/>
  <c r="C101" i="71"/>
  <c r="AF113" i="71"/>
  <c r="EE62" i="71"/>
  <c r="EE113" i="71" s="1"/>
  <c r="EE230" i="71" s="1"/>
  <c r="EE233" i="71" s="1"/>
  <c r="AZ253" i="71"/>
  <c r="AZ116" i="71"/>
  <c r="AZ117" i="71"/>
  <c r="AZ119" i="71" s="1"/>
  <c r="BD117" i="71"/>
  <c r="BD119" i="71" s="1"/>
  <c r="AZ204" i="71"/>
  <c r="AZ221" i="71" s="1"/>
  <c r="BA200" i="71"/>
  <c r="BB200" i="71" s="1"/>
  <c r="G250" i="71"/>
  <c r="W98" i="71"/>
  <c r="W70" i="71"/>
  <c r="W101" i="71" s="1"/>
  <c r="EH232" i="71"/>
  <c r="EH124" i="71"/>
  <c r="EH122" i="71"/>
  <c r="ED94" i="71"/>
  <c r="EC94" i="71"/>
  <c r="EF122" i="71"/>
  <c r="EF232" i="71"/>
  <c r="BE204" i="71"/>
  <c r="L95" i="71"/>
  <c r="D56" i="71"/>
  <c r="DW55" i="71"/>
  <c r="DX94" i="71" s="1"/>
  <c r="DY35" i="71"/>
  <c r="AY253" i="71"/>
  <c r="AY117" i="71"/>
  <c r="BC117" i="71"/>
  <c r="BA146" i="71"/>
  <c r="BA263" i="71"/>
  <c r="BA100" i="71"/>
  <c r="BA116" i="71"/>
  <c r="BA123" i="71"/>
  <c r="BA66" i="71"/>
  <c r="EL113" i="71"/>
  <c r="EL230" i="71" s="1"/>
  <c r="DY56" i="71"/>
  <c r="DP240" i="71"/>
  <c r="U85" i="71"/>
  <c r="Y85" i="71"/>
  <c r="AG85" i="71"/>
  <c r="AK85" i="71"/>
  <c r="AG49" i="71"/>
  <c r="AG64" i="71" s="1"/>
  <c r="AG116" i="71" s="1"/>
  <c r="J102" i="71"/>
  <c r="J75" i="71"/>
  <c r="J103" i="71"/>
  <c r="BD189" i="71"/>
  <c r="BU64" i="71"/>
  <c r="AC122" i="71"/>
  <c r="BA117" i="71"/>
  <c r="DX101" i="71"/>
  <c r="DX73" i="71"/>
  <c r="DX103" i="71" s="1"/>
  <c r="DY234" i="71"/>
  <c r="DY98" i="71"/>
  <c r="DY70" i="71"/>
  <c r="E59" i="71"/>
  <c r="DY59" i="71"/>
  <c r="AU49" i="71"/>
  <c r="EI49" i="71" s="1"/>
  <c r="EI42" i="71"/>
  <c r="EA35" i="71"/>
  <c r="BP106" i="71"/>
  <c r="BP64" i="71"/>
  <c r="BB194" i="71"/>
  <c r="DW234" i="71"/>
  <c r="DW70" i="71"/>
  <c r="DW98" i="71"/>
  <c r="EI124" i="71"/>
  <c r="S98" i="71"/>
  <c r="BN159" i="71"/>
  <c r="AX124" i="71"/>
  <c r="DS233" i="71"/>
  <c r="DX96" i="71"/>
  <c r="EC22" i="71"/>
  <c r="EC8" i="71"/>
  <c r="ED22" i="71"/>
  <c r="EE22" i="71"/>
  <c r="BH204" i="71"/>
  <c r="BH221" i="71" s="1"/>
  <c r="BO159" i="71"/>
  <c r="BU93" i="71"/>
  <c r="BU83" i="71"/>
  <c r="BM154" i="71"/>
  <c r="BM159" i="71" s="1"/>
  <c r="AU189" i="71"/>
  <c r="BF117" i="71"/>
  <c r="BB124" i="71"/>
  <c r="BE206" i="71"/>
  <c r="BH64" i="71"/>
  <c r="BH154" i="71"/>
  <c r="BH159" i="71" s="1"/>
  <c r="EL82" i="71"/>
  <c r="BK145" i="71"/>
  <c r="BB117" i="71"/>
  <c r="EL96" i="71"/>
  <c r="J98" i="71"/>
  <c r="EA70" i="71"/>
  <c r="EA73" i="71" s="1"/>
  <c r="DY50" i="71"/>
  <c r="EE96" i="71"/>
  <c r="BP159" i="71"/>
  <c r="BQ154" i="71"/>
  <c r="BQ159" i="71" s="1"/>
  <c r="BJ178" i="71"/>
  <c r="AW117" i="71"/>
  <c r="EN11" i="71"/>
  <c r="BZ87" i="71"/>
  <c r="AX123" i="71"/>
  <c r="DY233" i="71"/>
  <c r="DZ233" i="71"/>
  <c r="DZ235" i="71" s="1"/>
  <c r="BJ124" i="71"/>
  <c r="E73" i="71"/>
  <c r="E103" i="71" s="1"/>
  <c r="EM82" i="71"/>
  <c r="BP204" i="71"/>
  <c r="BP221" i="71" s="1"/>
  <c r="BT64" i="71"/>
  <c r="EM57" i="71"/>
  <c r="EM113" i="71" s="1"/>
  <c r="EO18" i="71"/>
  <c r="EP18" i="71" s="1"/>
  <c r="EQ18" i="71" s="1"/>
  <c r="EB42" i="71"/>
  <c r="EA15" i="71"/>
  <c r="EA17" i="71"/>
  <c r="DZ35" i="71"/>
  <c r="EL71" i="71"/>
  <c r="BV96" i="71"/>
  <c r="EO6" i="71"/>
  <c r="AG115" i="71"/>
  <c r="AG253" i="71"/>
  <c r="EF8" i="71"/>
  <c r="AJ49" i="71"/>
  <c r="AJ64" i="71" s="1"/>
  <c r="AB64" i="71"/>
  <c r="ED8" i="71"/>
  <c r="EE8" i="71"/>
  <c r="BJ110" i="71"/>
  <c r="EC95" i="71"/>
  <c r="EB95" i="71"/>
  <c r="N75" i="71"/>
  <c r="N103" i="71"/>
  <c r="N102" i="71"/>
  <c r="DR101" i="71"/>
  <c r="DR73" i="71"/>
  <c r="EA96" i="71"/>
  <c r="EB96" i="71"/>
  <c r="AX206" i="71"/>
  <c r="AX188" i="71" s="1"/>
  <c r="AW188" i="71"/>
  <c r="Z70" i="71"/>
  <c r="Z98" i="71"/>
  <c r="R73" i="71"/>
  <c r="R101" i="71"/>
  <c r="AT110" i="71"/>
  <c r="BG124" i="71"/>
  <c r="AR189" i="71"/>
  <c r="AS189" i="71"/>
  <c r="AV256" i="71"/>
  <c r="AZ124" i="71"/>
  <c r="AZ125" i="71" s="1"/>
  <c r="AV124" i="71"/>
  <c r="AV123" i="71"/>
  <c r="EJ113" i="71"/>
  <c r="AS187" i="71"/>
  <c r="AR188" i="71"/>
  <c r="EI122" i="71"/>
  <c r="EI232" i="71"/>
  <c r="EC113" i="71"/>
  <c r="EC93" i="71"/>
  <c r="ED93" i="71"/>
  <c r="EG96" i="71"/>
  <c r="BA189" i="71"/>
  <c r="EO12" i="71"/>
  <c r="EP12" i="71" s="1"/>
  <c r="EQ12" i="71" s="1"/>
  <c r="BI206" i="71"/>
  <c r="BQ178" i="71"/>
  <c r="BQ180" i="71"/>
  <c r="BS64" i="71"/>
  <c r="BS66" i="71" s="1"/>
  <c r="BS106" i="71"/>
  <c r="EO47" i="71"/>
  <c r="EP47" i="71" s="1"/>
  <c r="EQ47" i="71" s="1"/>
  <c r="AV188" i="71"/>
  <c r="O98" i="71"/>
  <c r="E55" i="71"/>
  <c r="I94" i="71" s="1"/>
  <c r="BH110" i="71"/>
  <c r="BV106" i="71"/>
  <c r="EO11" i="71"/>
  <c r="EP11" i="71" s="1"/>
  <c r="EQ11" i="71" s="1"/>
  <c r="E98" i="71"/>
  <c r="C61" i="71"/>
  <c r="G96" i="71" s="1"/>
  <c r="E60" i="71"/>
  <c r="BF192" i="71"/>
  <c r="BF204" i="71" s="1"/>
  <c r="BN178" i="71"/>
  <c r="BN180" i="71"/>
  <c r="BR180" i="71"/>
  <c r="D60" i="71"/>
  <c r="G94" i="71"/>
  <c r="EN86" i="71"/>
  <c r="EM86" i="71"/>
  <c r="BL145" i="71"/>
  <c r="EN82" i="71"/>
  <c r="EO82" i="71"/>
  <c r="EO19" i="71"/>
  <c r="EP19" i="71" s="1"/>
  <c r="EQ19" i="71" s="1"/>
  <c r="DY60" i="71"/>
  <c r="BH188" i="71"/>
  <c r="EL11" i="71"/>
  <c r="BI106" i="71"/>
  <c r="BQ204" i="71"/>
  <c r="BQ221" i="71" s="1"/>
  <c r="BR192" i="71"/>
  <c r="BR204" i="71" s="1"/>
  <c r="BZ86" i="71"/>
  <c r="BI204" i="71"/>
  <c r="BG106" i="71"/>
  <c r="EL49" i="71"/>
  <c r="BR206" i="71"/>
  <c r="EO3" i="71"/>
  <c r="BU106" i="71"/>
  <c r="BU85" i="71"/>
  <c r="AX117" i="71"/>
  <c r="BH186" i="71"/>
  <c r="BF186" i="71"/>
  <c r="BG186" i="71"/>
  <c r="EN57" i="71"/>
  <c r="BG221" i="71"/>
  <c r="BO106" i="71"/>
  <c r="BG117" i="71"/>
  <c r="BD204" i="71"/>
  <c r="BD221" i="71" s="1"/>
  <c r="BI154" i="71"/>
  <c r="BI159" i="71" s="1"/>
  <c r="BO145" i="71"/>
  <c r="BP145" i="71"/>
  <c r="BF154" i="71"/>
  <c r="BF159" i="71" s="1"/>
  <c r="BI187" i="71"/>
  <c r="BO204" i="71"/>
  <c r="BO221" i="71" s="1"/>
  <c r="BJ180" i="71"/>
  <c r="BL64" i="71"/>
  <c r="BO178" i="71"/>
  <c r="BD154" i="71"/>
  <c r="BD159" i="71" s="1"/>
  <c r="BP178" i="71"/>
  <c r="T74" i="42" l="1"/>
  <c r="R74" i="42"/>
  <c r="EZ26" i="71"/>
  <c r="FA26" i="71" s="1"/>
  <c r="FB26" i="71" s="1"/>
  <c r="FC26" i="71" s="1"/>
  <c r="FD26" i="71" s="1"/>
  <c r="FE26" i="71" s="1"/>
  <c r="FF26" i="71" s="1"/>
  <c r="FG26" i="71" s="1"/>
  <c r="FH26" i="71" s="1"/>
  <c r="FI26" i="71" s="1"/>
  <c r="FJ26" i="71" s="1"/>
  <c r="DA212" i="71"/>
  <c r="DH220" i="71"/>
  <c r="DA220" i="71"/>
  <c r="DG101" i="71"/>
  <c r="DF217" i="71"/>
  <c r="DF218" i="71" s="1"/>
  <c r="DF220" i="71" s="1"/>
  <c r="DE218" i="71"/>
  <c r="DE220" i="71" s="1"/>
  <c r="DB220" i="71"/>
  <c r="EZ30" i="71"/>
  <c r="FA30" i="71" s="1"/>
  <c r="FB30" i="71" s="1"/>
  <c r="FC30" i="71" s="1"/>
  <c r="FD30" i="71" s="1"/>
  <c r="FE30" i="71" s="1"/>
  <c r="FF30" i="71" s="1"/>
  <c r="FG30" i="71" s="1"/>
  <c r="FH30" i="71" s="1"/>
  <c r="FI30" i="71" s="1"/>
  <c r="FJ30" i="71" s="1"/>
  <c r="DL13" i="71"/>
  <c r="DM13" i="71" s="1"/>
  <c r="DN13" i="71" s="1"/>
  <c r="DJ85" i="71"/>
  <c r="DN3" i="71"/>
  <c r="DG76" i="71"/>
  <c r="DG191" i="71"/>
  <c r="DN11" i="71"/>
  <c r="DJ89" i="71"/>
  <c r="FA4" i="71"/>
  <c r="FB4" i="71" s="1"/>
  <c r="FC4" i="71" s="1"/>
  <c r="FD4" i="71" s="1"/>
  <c r="FE4" i="71" s="1"/>
  <c r="FF4" i="71" s="1"/>
  <c r="FG4" i="71" s="1"/>
  <c r="FH4" i="71" s="1"/>
  <c r="FI4" i="71" s="1"/>
  <c r="FJ4" i="71" s="1"/>
  <c r="BU99" i="71"/>
  <c r="BU66" i="71"/>
  <c r="BU70" i="71" s="1"/>
  <c r="BU101" i="71" s="1"/>
  <c r="CO70" i="71"/>
  <c r="CO73" i="71" s="1"/>
  <c r="CO75" i="71" s="1"/>
  <c r="CO76" i="71" s="1"/>
  <c r="BV100" i="71"/>
  <c r="BV66" i="71"/>
  <c r="BV70" i="71" s="1"/>
  <c r="EY11" i="71"/>
  <c r="CK66" i="71"/>
  <c r="CK70" i="71" s="1"/>
  <c r="CK73" i="71" s="1"/>
  <c r="CK75" i="71" s="1"/>
  <c r="CK76" i="71" s="1"/>
  <c r="CK84" i="71" s="1"/>
  <c r="BZ64" i="71"/>
  <c r="BY64" i="71"/>
  <c r="BY66" i="71" s="1"/>
  <c r="BY70" i="71" s="1"/>
  <c r="FG38" i="71"/>
  <c r="EX32" i="71"/>
  <c r="CX70" i="71"/>
  <c r="CX101" i="71" s="1"/>
  <c r="CU100" i="71"/>
  <c r="CU99" i="71"/>
  <c r="FA14" i="71"/>
  <c r="FB14" i="71" s="1"/>
  <c r="FC14" i="71" s="1"/>
  <c r="FD14" i="71" s="1"/>
  <c r="FE14" i="71" s="1"/>
  <c r="FF14" i="71" s="1"/>
  <c r="FG14" i="71" s="1"/>
  <c r="FH14" i="71" s="1"/>
  <c r="FI14" i="71" s="1"/>
  <c r="FJ14" i="71" s="1"/>
  <c r="CU66" i="71"/>
  <c r="CU98" i="71" s="1"/>
  <c r="EY13" i="71"/>
  <c r="DD85" i="71"/>
  <c r="EX3" i="71"/>
  <c r="CY80" i="71"/>
  <c r="CS80" i="71"/>
  <c r="CO80" i="71"/>
  <c r="DA66" i="71"/>
  <c r="DA98" i="71" s="1"/>
  <c r="X75" i="42"/>
  <c r="I74" i="42"/>
  <c r="X74" i="42" s="1"/>
  <c r="Z62" i="42"/>
  <c r="U74" i="42"/>
  <c r="AC68" i="42"/>
  <c r="Y75" i="42"/>
  <c r="V74" i="42"/>
  <c r="S74" i="42"/>
  <c r="AB62" i="42"/>
  <c r="AC62" i="42"/>
  <c r="L73" i="42"/>
  <c r="K71" i="42"/>
  <c r="Z71" i="42" s="1"/>
  <c r="K76" i="42"/>
  <c r="Z76" i="42" s="1"/>
  <c r="O68" i="42"/>
  <c r="AD68" i="42" s="1"/>
  <c r="P70" i="42"/>
  <c r="M72" i="42"/>
  <c r="L75" i="42"/>
  <c r="J74" i="42"/>
  <c r="Z75" i="42"/>
  <c r="FA19" i="71"/>
  <c r="FB19" i="71" s="1"/>
  <c r="FC19" i="71" s="1"/>
  <c r="FD19" i="71" s="1"/>
  <c r="FE19" i="71" s="1"/>
  <c r="FF19" i="71" s="1"/>
  <c r="FG19" i="71" s="1"/>
  <c r="FH19" i="71" s="1"/>
  <c r="FI19" i="71" s="1"/>
  <c r="FJ19" i="71" s="1"/>
  <c r="AZ101" i="71"/>
  <c r="CM84" i="71"/>
  <c r="AZ179" i="71"/>
  <c r="AZ191" i="71"/>
  <c r="AZ102" i="71"/>
  <c r="AZ103" i="71"/>
  <c r="AZ76" i="71"/>
  <c r="FA49" i="71"/>
  <c r="FB49" i="71" s="1"/>
  <c r="FC49" i="71" s="1"/>
  <c r="FD49" i="71" s="1"/>
  <c r="FE49" i="71" s="1"/>
  <c r="FF49" i="71" s="1"/>
  <c r="FG49" i="71" s="1"/>
  <c r="FH49" i="71" s="1"/>
  <c r="FI49" i="71" s="1"/>
  <c r="FJ49" i="71" s="1"/>
  <c r="FA12" i="71"/>
  <c r="FB12" i="71" s="1"/>
  <c r="FC12" i="71" s="1"/>
  <c r="FD12" i="71" s="1"/>
  <c r="FE12" i="71" s="1"/>
  <c r="FF12" i="71" s="1"/>
  <c r="FG12" i="71" s="1"/>
  <c r="FH12" i="71" s="1"/>
  <c r="FI12" i="71" s="1"/>
  <c r="FJ12" i="71" s="1"/>
  <c r="EW7" i="71"/>
  <c r="BD110" i="71"/>
  <c r="BD112" i="71" s="1"/>
  <c r="AZ250" i="71"/>
  <c r="EX61" i="71"/>
  <c r="FC77" i="71"/>
  <c r="BR99" i="71"/>
  <c r="BD100" i="71"/>
  <c r="BR109" i="71"/>
  <c r="BD99" i="71"/>
  <c r="DB98" i="71"/>
  <c r="BR66" i="71"/>
  <c r="BR98" i="71" s="1"/>
  <c r="EP120" i="71"/>
  <c r="EP232" i="71" s="1"/>
  <c r="EX63" i="71"/>
  <c r="EY63" i="71" s="1"/>
  <c r="BR146" i="71"/>
  <c r="BD66" i="71"/>
  <c r="BD70" i="71" s="1"/>
  <c r="BD73" i="71" s="1"/>
  <c r="CT73" i="71"/>
  <c r="CT75" i="71" s="1"/>
  <c r="CT76" i="71" s="1"/>
  <c r="CT84" i="71" s="1"/>
  <c r="CT101" i="71"/>
  <c r="CS73" i="71"/>
  <c r="CS75" i="71" s="1"/>
  <c r="CS76" i="71" s="1"/>
  <c r="CS101" i="71"/>
  <c r="CQ73" i="71"/>
  <c r="CQ75" i="71" s="1"/>
  <c r="CQ76" i="71" s="1"/>
  <c r="CQ84" i="71" s="1"/>
  <c r="CQ101" i="71"/>
  <c r="CW73" i="71"/>
  <c r="CW75" i="71" s="1"/>
  <c r="CW76" i="71" s="1"/>
  <c r="CW101" i="71"/>
  <c r="CZ80" i="71"/>
  <c r="CZ98" i="71"/>
  <c r="CZ100" i="71"/>
  <c r="DA80" i="71"/>
  <c r="DA100" i="71"/>
  <c r="CV73" i="71"/>
  <c r="CV75" i="71" s="1"/>
  <c r="CV76" i="71" s="1"/>
  <c r="CV101" i="71"/>
  <c r="CR73" i="71"/>
  <c r="CR75" i="71" s="1"/>
  <c r="CR76" i="71" s="1"/>
  <c r="CR84" i="71" s="1"/>
  <c r="CR101" i="71"/>
  <c r="CY73" i="71"/>
  <c r="CY75" i="71" s="1"/>
  <c r="CY101" i="71"/>
  <c r="DB90" i="71"/>
  <c r="L73" i="71"/>
  <c r="L102" i="71" s="1"/>
  <c r="AE73" i="71"/>
  <c r="AE102" i="71" s="1"/>
  <c r="BD263" i="71"/>
  <c r="BD264" i="71" s="1"/>
  <c r="BD146" i="71"/>
  <c r="BD80" i="71"/>
  <c r="BD131" i="71" s="1"/>
  <c r="BD123" i="71"/>
  <c r="AZ110" i="71"/>
  <c r="AZ112" i="71" s="1"/>
  <c r="U103" i="71"/>
  <c r="U75" i="71"/>
  <c r="U76" i="71" s="1"/>
  <c r="BA110" i="71"/>
  <c r="BA109" i="71"/>
  <c r="BK189" i="71"/>
  <c r="K75" i="71"/>
  <c r="K76" i="71" s="1"/>
  <c r="BH189" i="71"/>
  <c r="K102" i="71"/>
  <c r="BD109" i="71"/>
  <c r="BE80" i="71"/>
  <c r="BE131" i="71" s="1"/>
  <c r="AZ189" i="71"/>
  <c r="AS263" i="71"/>
  <c r="AV250" i="71"/>
  <c r="AN64" i="71"/>
  <c r="AN99" i="71" s="1"/>
  <c r="H76" i="71"/>
  <c r="BM100" i="71"/>
  <c r="DS235" i="71"/>
  <c r="AE98" i="71"/>
  <c r="BM66" i="71"/>
  <c r="BM70" i="71" s="1"/>
  <c r="AE100" i="71"/>
  <c r="AP116" i="71"/>
  <c r="AE123" i="71"/>
  <c r="BM109" i="71"/>
  <c r="AT117" i="71"/>
  <c r="BM99" i="71"/>
  <c r="AE99" i="71"/>
  <c r="H103" i="71"/>
  <c r="AE109" i="71"/>
  <c r="D73" i="71"/>
  <c r="D103" i="71" s="1"/>
  <c r="H102" i="71"/>
  <c r="AE116" i="71"/>
  <c r="BM80" i="71"/>
  <c r="BJ66" i="71"/>
  <c r="BJ98" i="71" s="1"/>
  <c r="BJ146" i="71"/>
  <c r="BJ99" i="71"/>
  <c r="BJ109" i="71"/>
  <c r="BN80" i="71"/>
  <c r="BJ123" i="71"/>
  <c r="BN66" i="71"/>
  <c r="BN70" i="71" s="1"/>
  <c r="BQ66" i="71"/>
  <c r="BQ70" i="71" s="1"/>
  <c r="BN109" i="71"/>
  <c r="EJ106" i="71"/>
  <c r="EJ228" i="71" s="1"/>
  <c r="BU109" i="71"/>
  <c r="BJ116" i="71"/>
  <c r="DU73" i="71"/>
  <c r="DU103" i="71" s="1"/>
  <c r="Q102" i="71"/>
  <c r="AW80" i="71"/>
  <c r="AW131" i="71" s="1"/>
  <c r="AW100" i="71"/>
  <c r="BB189" i="71"/>
  <c r="DX235" i="71"/>
  <c r="Y102" i="71"/>
  <c r="Y75" i="71"/>
  <c r="Y104" i="71" s="1"/>
  <c r="AC109" i="71"/>
  <c r="BF110" i="71"/>
  <c r="AY116" i="71"/>
  <c r="AY99" i="71"/>
  <c r="AY109" i="71"/>
  <c r="AY123" i="71"/>
  <c r="AY146" i="71"/>
  <c r="EI117" i="71"/>
  <c r="AY100" i="71"/>
  <c r="AY66" i="71"/>
  <c r="EJ66" i="71" s="1"/>
  <c r="EJ234" i="71" s="1"/>
  <c r="EI106" i="71"/>
  <c r="EI228" i="71" s="1"/>
  <c r="EI233" i="71" s="1"/>
  <c r="AS146" i="71"/>
  <c r="AS99" i="71"/>
  <c r="O102" i="71"/>
  <c r="BN100" i="71"/>
  <c r="P75" i="71"/>
  <c r="P76" i="71" s="1"/>
  <c r="Q103" i="71"/>
  <c r="AW99" i="71"/>
  <c r="AS123" i="71"/>
  <c r="AS116" i="71"/>
  <c r="DX102" i="71"/>
  <c r="BR80" i="71"/>
  <c r="P103" i="71"/>
  <c r="AW123" i="71"/>
  <c r="DW235" i="71"/>
  <c r="AW263" i="71"/>
  <c r="BB204" i="71"/>
  <c r="BB221" i="71" s="1"/>
  <c r="AW109" i="71"/>
  <c r="G75" i="71"/>
  <c r="G76" i="71" s="1"/>
  <c r="AW146" i="71"/>
  <c r="AV110" i="71"/>
  <c r="AW66" i="71"/>
  <c r="AS66" i="71"/>
  <c r="BN146" i="71"/>
  <c r="AP109" i="71"/>
  <c r="AC80" i="71"/>
  <c r="AW116" i="71"/>
  <c r="DV235" i="71"/>
  <c r="BE189" i="71"/>
  <c r="BR187" i="71"/>
  <c r="BR186" i="71" s="1"/>
  <c r="S103" i="71"/>
  <c r="BC109" i="71"/>
  <c r="EI64" i="71"/>
  <c r="EJ80" i="71" s="1"/>
  <c r="F73" i="71"/>
  <c r="F103" i="71" s="1"/>
  <c r="BC116" i="71"/>
  <c r="BC263" i="71"/>
  <c r="BC264" i="71" s="1"/>
  <c r="BC66" i="71"/>
  <c r="BC98" i="71" s="1"/>
  <c r="BG80" i="71"/>
  <c r="BG131" i="71" s="1"/>
  <c r="BC80" i="71"/>
  <c r="BC131" i="71" s="1"/>
  <c r="BQ188" i="71"/>
  <c r="AR110" i="71"/>
  <c r="AR64" i="71"/>
  <c r="AR263" i="71" s="1"/>
  <c r="AV264" i="71" s="1"/>
  <c r="BC100" i="71"/>
  <c r="BU100" i="71"/>
  <c r="BT109" i="71"/>
  <c r="S75" i="71"/>
  <c r="S104" i="71" s="1"/>
  <c r="O103" i="71"/>
  <c r="AF108" i="71"/>
  <c r="M102" i="71"/>
  <c r="DX75" i="71"/>
  <c r="DX242" i="71" s="1"/>
  <c r="BO109" i="71"/>
  <c r="EE49" i="71"/>
  <c r="EE64" i="71" s="1"/>
  <c r="BG116" i="71"/>
  <c r="BG123" i="71"/>
  <c r="BO146" i="71"/>
  <c r="BG66" i="71"/>
  <c r="BG98" i="71" s="1"/>
  <c r="BO66" i="71"/>
  <c r="BG100" i="71"/>
  <c r="BG146" i="71"/>
  <c r="BO99" i="71"/>
  <c r="BE123" i="71"/>
  <c r="M103" i="71"/>
  <c r="DT235" i="71"/>
  <c r="BI66" i="71"/>
  <c r="BI100" i="71"/>
  <c r="BI146" i="71"/>
  <c r="BI99" i="71"/>
  <c r="BI123" i="71"/>
  <c r="BI116" i="71"/>
  <c r="BF80" i="71"/>
  <c r="BF66" i="71"/>
  <c r="BF70" i="71" s="1"/>
  <c r="EK106" i="71"/>
  <c r="EK109" i="71" s="1"/>
  <c r="AT109" i="71"/>
  <c r="AA123" i="71"/>
  <c r="DZ94" i="71"/>
  <c r="BC123" i="71"/>
  <c r="BC99" i="71"/>
  <c r="BF100" i="71"/>
  <c r="BF123" i="71"/>
  <c r="AA66" i="71"/>
  <c r="AA70" i="71" s="1"/>
  <c r="BF146" i="71"/>
  <c r="DS103" i="71"/>
  <c r="AE80" i="71"/>
  <c r="AE131" i="71" s="1"/>
  <c r="BO189" i="71"/>
  <c r="DS75" i="71"/>
  <c r="DS242" i="71" s="1"/>
  <c r="G103" i="71"/>
  <c r="EH85" i="71"/>
  <c r="AV70" i="71"/>
  <c r="AV101" i="71" s="1"/>
  <c r="AA100" i="71"/>
  <c r="AA116" i="71"/>
  <c r="AA99" i="71"/>
  <c r="EF49" i="71"/>
  <c r="EF64" i="71" s="1"/>
  <c r="EF66" i="71" s="1"/>
  <c r="AM116" i="71"/>
  <c r="AA80" i="71"/>
  <c r="BS109" i="71"/>
  <c r="BB70" i="71"/>
  <c r="BB73" i="71" s="1"/>
  <c r="BF99" i="71"/>
  <c r="BF116" i="71"/>
  <c r="V101" i="71"/>
  <c r="V73" i="71"/>
  <c r="AS109" i="71"/>
  <c r="BJ80" i="71"/>
  <c r="BJ131" i="71" s="1"/>
  <c r="EN64" i="71"/>
  <c r="EN66" i="71" s="1"/>
  <c r="DQ73" i="71"/>
  <c r="DQ75" i="71" s="1"/>
  <c r="BQ100" i="71"/>
  <c r="AL64" i="71"/>
  <c r="AL66" i="71" s="1"/>
  <c r="AL98" i="71" s="1"/>
  <c r="BA204" i="71"/>
  <c r="BA221" i="71" s="1"/>
  <c r="E75" i="71"/>
  <c r="E76" i="71" s="1"/>
  <c r="AW110" i="71"/>
  <c r="DZ101" i="71"/>
  <c r="DZ73" i="71"/>
  <c r="AM66" i="71"/>
  <c r="AM98" i="71" s="1"/>
  <c r="AX109" i="71"/>
  <c r="BB110" i="71"/>
  <c r="AM99" i="71"/>
  <c r="BL109" i="71"/>
  <c r="AI250" i="71"/>
  <c r="DV75" i="71"/>
  <c r="DV104" i="71" s="1"/>
  <c r="AX98" i="71"/>
  <c r="AX70" i="71"/>
  <c r="AM100" i="71"/>
  <c r="AI64" i="71"/>
  <c r="AI66" i="71" s="1"/>
  <c r="AK115" i="71"/>
  <c r="DV103" i="71"/>
  <c r="T101" i="71"/>
  <c r="T73" i="71"/>
  <c r="BQ80" i="71"/>
  <c r="W73" i="71"/>
  <c r="W75" i="71" s="1"/>
  <c r="W76" i="71" s="1"/>
  <c r="AK253" i="71"/>
  <c r="AO109" i="71"/>
  <c r="AO123" i="71"/>
  <c r="AO66" i="71"/>
  <c r="AO99" i="71"/>
  <c r="AO100" i="71"/>
  <c r="EG49" i="71"/>
  <c r="EG64" i="71" s="1"/>
  <c r="AO117" i="71"/>
  <c r="DT73" i="71"/>
  <c r="DT102" i="71" s="1"/>
  <c r="AS80" i="71"/>
  <c r="AS131" i="71" s="1"/>
  <c r="BT99" i="71"/>
  <c r="BU80" i="71"/>
  <c r="BE109" i="71"/>
  <c r="BE66" i="71"/>
  <c r="BE100" i="71"/>
  <c r="BE99" i="71"/>
  <c r="BI80" i="71"/>
  <c r="BI131" i="71" s="1"/>
  <c r="BE146" i="71"/>
  <c r="EB101" i="71"/>
  <c r="EB73" i="71"/>
  <c r="AC66" i="71"/>
  <c r="AC70" i="71" s="1"/>
  <c r="EM49" i="71"/>
  <c r="EM106" i="71" s="1"/>
  <c r="EM228" i="71" s="1"/>
  <c r="DY235" i="71"/>
  <c r="BP189" i="71"/>
  <c r="E102" i="71"/>
  <c r="AC100" i="71"/>
  <c r="BQ109" i="71"/>
  <c r="BQ99" i="71"/>
  <c r="BE221" i="71"/>
  <c r="EC64" i="71"/>
  <c r="EC100" i="71" s="1"/>
  <c r="DX56" i="71"/>
  <c r="DW56" i="71" s="1"/>
  <c r="DX95" i="71" s="1"/>
  <c r="AH106" i="71"/>
  <c r="AH250" i="71" s="1"/>
  <c r="EE115" i="71"/>
  <c r="AJ106" i="71"/>
  <c r="AJ109" i="71" s="1"/>
  <c r="AK106" i="71"/>
  <c r="AK108" i="71" s="1"/>
  <c r="AM106" i="71"/>
  <c r="AM109" i="71" s="1"/>
  <c r="DZ96" i="71"/>
  <c r="DY96" i="71"/>
  <c r="AQ64" i="71"/>
  <c r="EH49" i="71"/>
  <c r="M104" i="71"/>
  <c r="M76" i="71"/>
  <c r="AP100" i="71"/>
  <c r="AP66" i="71"/>
  <c r="AP146" i="71"/>
  <c r="AP99" i="71"/>
  <c r="AP123" i="71"/>
  <c r="AQ106" i="71"/>
  <c r="EP4" i="71"/>
  <c r="BA70" i="71"/>
  <c r="BA101" i="71" s="1"/>
  <c r="BA98" i="71"/>
  <c r="BP109" i="71"/>
  <c r="AL108" i="71"/>
  <c r="BK64" i="71"/>
  <c r="AL250" i="71"/>
  <c r="AT99" i="71"/>
  <c r="AT100" i="71"/>
  <c r="AT263" i="71"/>
  <c r="AX264" i="71" s="1"/>
  <c r="AT66" i="71"/>
  <c r="AT116" i="71"/>
  <c r="AX80" i="71"/>
  <c r="AX131" i="71" s="1"/>
  <c r="AT146" i="71"/>
  <c r="AT80" i="71"/>
  <c r="AT131" i="71" s="1"/>
  <c r="H95" i="71"/>
  <c r="AD109" i="71"/>
  <c r="AD123" i="71"/>
  <c r="AD100" i="71"/>
  <c r="AD99" i="71"/>
  <c r="AD80" i="71"/>
  <c r="AD66" i="71"/>
  <c r="AD116" i="71"/>
  <c r="DP102" i="71"/>
  <c r="DP75" i="71"/>
  <c r="DP103" i="71"/>
  <c r="EE85" i="71"/>
  <c r="ED85" i="71"/>
  <c r="EN106" i="71"/>
  <c r="I102" i="71"/>
  <c r="I75" i="71"/>
  <c r="I103" i="71"/>
  <c r="X75" i="71"/>
  <c r="X103" i="71"/>
  <c r="X102" i="71"/>
  <c r="AF64" i="71"/>
  <c r="AF116" i="71" s="1"/>
  <c r="AH66" i="71"/>
  <c r="AH98" i="71" s="1"/>
  <c r="AH116" i="71"/>
  <c r="AH80" i="71"/>
  <c r="AH131" i="71" s="1"/>
  <c r="AH100" i="71"/>
  <c r="AH99" i="71"/>
  <c r="AH123" i="71"/>
  <c r="AK123" i="71"/>
  <c r="AK99" i="71"/>
  <c r="AK66" i="71"/>
  <c r="AK100" i="71"/>
  <c r="AO80" i="71"/>
  <c r="AO131" i="71" s="1"/>
  <c r="AK116" i="71"/>
  <c r="ED64" i="71"/>
  <c r="ED66" i="71" s="1"/>
  <c r="BP146" i="71"/>
  <c r="BP66" i="71"/>
  <c r="BP99" i="71"/>
  <c r="BP100" i="71"/>
  <c r="BH66" i="71"/>
  <c r="BH80" i="71"/>
  <c r="BH116" i="71"/>
  <c r="BH146" i="71"/>
  <c r="BH100" i="71"/>
  <c r="BF206" i="71"/>
  <c r="BE188" i="71"/>
  <c r="DY101" i="71"/>
  <c r="DY73" i="71"/>
  <c r="BH99" i="71"/>
  <c r="BV109" i="71"/>
  <c r="EH230" i="71"/>
  <c r="EH117" i="71"/>
  <c r="DX59" i="71"/>
  <c r="DW59" i="71" s="1"/>
  <c r="EP6" i="71"/>
  <c r="EO87" i="71"/>
  <c r="AJ117" i="71"/>
  <c r="AF253" i="71"/>
  <c r="AF115" i="71"/>
  <c r="DZ95" i="71"/>
  <c r="EA101" i="71"/>
  <c r="AU106" i="71"/>
  <c r="BV80" i="71"/>
  <c r="BV99" i="71"/>
  <c r="DW101" i="71"/>
  <c r="DW73" i="71"/>
  <c r="C103" i="71"/>
  <c r="C102" i="71"/>
  <c r="C75" i="71"/>
  <c r="Q104" i="71"/>
  <c r="Q76" i="71"/>
  <c r="AU64" i="71"/>
  <c r="BH123" i="71"/>
  <c r="AG106" i="71"/>
  <c r="AG109" i="71" s="1"/>
  <c r="EM230" i="71"/>
  <c r="BH109" i="71"/>
  <c r="AC99" i="71"/>
  <c r="AC116" i="71"/>
  <c r="BT66" i="71"/>
  <c r="BT80" i="71"/>
  <c r="BT100" i="71"/>
  <c r="J76" i="71"/>
  <c r="J104" i="71"/>
  <c r="AJ100" i="71"/>
  <c r="AJ99" i="71"/>
  <c r="AJ116" i="71"/>
  <c r="AJ123" i="71"/>
  <c r="AJ66" i="71"/>
  <c r="BM189" i="71"/>
  <c r="BL189" i="71"/>
  <c r="Z101" i="71"/>
  <c r="Z73" i="71"/>
  <c r="BW64" i="71"/>
  <c r="EJ146" i="71"/>
  <c r="EJ99" i="71"/>
  <c r="EK99" i="71" s="1"/>
  <c r="EJ123" i="71"/>
  <c r="EJ100" i="71"/>
  <c r="AN108" i="71"/>
  <c r="AN250" i="71"/>
  <c r="O104" i="71"/>
  <c r="O76" i="71"/>
  <c r="EK66" i="71"/>
  <c r="EK80" i="71"/>
  <c r="EK123" i="71"/>
  <c r="EK116" i="71"/>
  <c r="BY85" i="71"/>
  <c r="EP3" i="71"/>
  <c r="EO85" i="71"/>
  <c r="EO106" i="71"/>
  <c r="BS99" i="71"/>
  <c r="BS100" i="71"/>
  <c r="BS80" i="71"/>
  <c r="EJ117" i="71"/>
  <c r="EJ119" i="71" s="1"/>
  <c r="EJ230" i="71"/>
  <c r="EJ116" i="71"/>
  <c r="EC115" i="71"/>
  <c r="EC230" i="71"/>
  <c r="EC233" i="71" s="1"/>
  <c r="BI110" i="71"/>
  <c r="BI109" i="71"/>
  <c r="CB80" i="71"/>
  <c r="BL186" i="71"/>
  <c r="BI188" i="71"/>
  <c r="BJ186" i="71"/>
  <c r="BK186" i="71"/>
  <c r="EO57" i="71"/>
  <c r="EO64" i="71" s="1"/>
  <c r="EN113" i="71"/>
  <c r="BR221" i="71"/>
  <c r="EL64" i="71"/>
  <c r="EL106" i="71"/>
  <c r="AB99" i="71"/>
  <c r="AB80" i="71"/>
  <c r="AB66" i="71"/>
  <c r="AB109" i="71"/>
  <c r="AB100" i="71"/>
  <c r="AB116" i="71"/>
  <c r="AB123" i="71"/>
  <c r="BQ189" i="71"/>
  <c r="AT187" i="71"/>
  <c r="AT188" i="71" s="1"/>
  <c r="AS188" i="71"/>
  <c r="DR75" i="71"/>
  <c r="DR103" i="71"/>
  <c r="DR102" i="71"/>
  <c r="AK80" i="71"/>
  <c r="AK131" i="71" s="1"/>
  <c r="AG66" i="71"/>
  <c r="AG100" i="71"/>
  <c r="AG123" i="71"/>
  <c r="AG80" i="71"/>
  <c r="AG131" i="71" s="1"/>
  <c r="AG99" i="71"/>
  <c r="BL100" i="71"/>
  <c r="BL146" i="71"/>
  <c r="BL99" i="71"/>
  <c r="BL80" i="71"/>
  <c r="BL66" i="71"/>
  <c r="BP80" i="71"/>
  <c r="BI186" i="71"/>
  <c r="BG109" i="71"/>
  <c r="BG110" i="71"/>
  <c r="EG117" i="71"/>
  <c r="EF115" i="71"/>
  <c r="EF230" i="71"/>
  <c r="EF233" i="71" s="1"/>
  <c r="R75" i="71"/>
  <c r="R103" i="71"/>
  <c r="R102" i="71"/>
  <c r="EA103" i="71"/>
  <c r="EA102" i="71"/>
  <c r="EA75" i="71"/>
  <c r="BI221" i="71"/>
  <c r="N76" i="71"/>
  <c r="N104" i="71"/>
  <c r="K74" i="42" l="1"/>
  <c r="Y74" i="42"/>
  <c r="EZ13" i="71"/>
  <c r="DK32" i="71"/>
  <c r="DL32" i="71" s="1"/>
  <c r="DM32" i="71" s="1"/>
  <c r="DN32" i="71" s="1"/>
  <c r="EY32" i="71"/>
  <c r="DN89" i="71"/>
  <c r="EZ11" i="71"/>
  <c r="FA11" i="71" s="1"/>
  <c r="FB11" i="71" s="1"/>
  <c r="FC11" i="71" s="1"/>
  <c r="FD11" i="71" s="1"/>
  <c r="FE11" i="71" s="1"/>
  <c r="FF11" i="71" s="1"/>
  <c r="FG11" i="71" s="1"/>
  <c r="FH11" i="71" s="1"/>
  <c r="FI11" i="71" s="1"/>
  <c r="FJ11" i="71" s="1"/>
  <c r="DN85" i="71"/>
  <c r="EZ3" i="71"/>
  <c r="CS84" i="71"/>
  <c r="CD80" i="71"/>
  <c r="BZ66" i="71"/>
  <c r="BZ70" i="71" s="1"/>
  <c r="BZ73" i="71" s="1"/>
  <c r="CO84" i="71"/>
  <c r="CA80" i="71"/>
  <c r="BW66" i="71"/>
  <c r="BW70" i="71" s="1"/>
  <c r="BW73" i="71" s="1"/>
  <c r="EY3" i="71"/>
  <c r="CX73" i="71"/>
  <c r="CX75" i="71" s="1"/>
  <c r="CX76" i="71" s="1"/>
  <c r="CX84" i="71" s="1"/>
  <c r="CU70" i="71"/>
  <c r="CU101" i="71" s="1"/>
  <c r="FH38" i="71"/>
  <c r="DA69" i="71"/>
  <c r="DA70" i="71" s="1"/>
  <c r="EW67" i="71"/>
  <c r="EW69" i="71" s="1"/>
  <c r="CY76" i="71"/>
  <c r="CY191" i="71"/>
  <c r="Z74" i="42"/>
  <c r="M73" i="42"/>
  <c r="L71" i="42"/>
  <c r="AA71" i="42" s="1"/>
  <c r="L76" i="42"/>
  <c r="AA76" i="42" s="1"/>
  <c r="P68" i="42"/>
  <c r="AE68" i="42" s="1"/>
  <c r="N72" i="42"/>
  <c r="M75" i="42"/>
  <c r="AA75" i="42"/>
  <c r="L74" i="42"/>
  <c r="AA74" i="42" s="1"/>
  <c r="AE75" i="71"/>
  <c r="AE76" i="71" s="1"/>
  <c r="L75" i="71"/>
  <c r="L76" i="71" s="1"/>
  <c r="P84" i="71" s="1"/>
  <c r="BR70" i="71"/>
  <c r="BR101" i="71" s="1"/>
  <c r="K104" i="71"/>
  <c r="EY61" i="71"/>
  <c r="EX96" i="71"/>
  <c r="FD77" i="71"/>
  <c r="CV84" i="71"/>
  <c r="U104" i="71"/>
  <c r="BD101" i="71"/>
  <c r="BD98" i="71"/>
  <c r="DB69" i="71"/>
  <c r="DB70" i="71" s="1"/>
  <c r="AE103" i="71"/>
  <c r="DB100" i="71"/>
  <c r="DA99" i="71"/>
  <c r="DA83" i="71"/>
  <c r="L103" i="71"/>
  <c r="CW84" i="71"/>
  <c r="CZ99" i="71"/>
  <c r="CZ83" i="71"/>
  <c r="CZ73" i="71"/>
  <c r="DC80" i="71"/>
  <c r="DC98" i="71"/>
  <c r="DC100" i="71"/>
  <c r="EC109" i="71"/>
  <c r="E104" i="71"/>
  <c r="DD64" i="71"/>
  <c r="AW128" i="71"/>
  <c r="AW265" i="71" s="1"/>
  <c r="BM98" i="71"/>
  <c r="BQ98" i="71"/>
  <c r="EC123" i="71"/>
  <c r="EC66" i="71"/>
  <c r="EC98" i="71" s="1"/>
  <c r="AW264" i="71"/>
  <c r="AN66" i="71"/>
  <c r="AN70" i="71" s="1"/>
  <c r="AN100" i="71"/>
  <c r="S76" i="71"/>
  <c r="W84" i="71" s="1"/>
  <c r="AN123" i="71"/>
  <c r="AN80" i="71"/>
  <c r="AN131" i="71" s="1"/>
  <c r="AN109" i="71"/>
  <c r="AN116" i="71"/>
  <c r="EI100" i="71"/>
  <c r="D75" i="71"/>
  <c r="D104" i="71" s="1"/>
  <c r="BN98" i="71"/>
  <c r="D102" i="71"/>
  <c r="EI66" i="71"/>
  <c r="EI98" i="71" s="1"/>
  <c r="EI99" i="71"/>
  <c r="EI123" i="71"/>
  <c r="EI116" i="71"/>
  <c r="AY70" i="71"/>
  <c r="AY73" i="71" s="1"/>
  <c r="AY98" i="71"/>
  <c r="BG70" i="71"/>
  <c r="BG73" i="71" s="1"/>
  <c r="DQ103" i="71"/>
  <c r="BJ70" i="71"/>
  <c r="BJ73" i="71" s="1"/>
  <c r="EC116" i="71"/>
  <c r="DT75" i="71"/>
  <c r="DT242" i="71" s="1"/>
  <c r="DX76" i="71"/>
  <c r="DX241" i="71" s="1"/>
  <c r="DX104" i="71"/>
  <c r="BF98" i="71"/>
  <c r="DU75" i="71"/>
  <c r="DU76" i="71" s="1"/>
  <c r="DU241" i="71" s="1"/>
  <c r="DU102" i="71"/>
  <c r="DT103" i="71"/>
  <c r="EJ233" i="71"/>
  <c r="EJ235" i="71" s="1"/>
  <c r="EK110" i="71"/>
  <c r="BC70" i="71"/>
  <c r="BC101" i="71" s="1"/>
  <c r="EJ109" i="71"/>
  <c r="Y76" i="71"/>
  <c r="Y84" i="71" s="1"/>
  <c r="F102" i="71"/>
  <c r="F75" i="71"/>
  <c r="F104" i="71" s="1"/>
  <c r="EI109" i="71"/>
  <c r="EE100" i="71"/>
  <c r="EE109" i="71"/>
  <c r="P104" i="71"/>
  <c r="G104" i="71"/>
  <c r="AR116" i="71"/>
  <c r="BR188" i="71"/>
  <c r="AR100" i="71"/>
  <c r="AR123" i="71"/>
  <c r="BA264" i="71"/>
  <c r="AR80" i="71"/>
  <c r="AR131" i="71" s="1"/>
  <c r="AR146" i="71"/>
  <c r="AR99" i="71"/>
  <c r="EJ110" i="71"/>
  <c r="EJ112" i="71" s="1"/>
  <c r="AH70" i="71"/>
  <c r="AH101" i="71" s="1"/>
  <c r="AR66" i="71"/>
  <c r="Q84" i="71"/>
  <c r="DV242" i="71"/>
  <c r="AL99" i="71"/>
  <c r="AS70" i="71"/>
  <c r="AS98" i="71"/>
  <c r="AV73" i="71"/>
  <c r="AV102" i="71" s="1"/>
  <c r="ED100" i="71"/>
  <c r="EL66" i="71"/>
  <c r="EL70" i="71" s="1"/>
  <c r="DV76" i="71"/>
  <c r="DV241" i="71" s="1"/>
  <c r="AR109" i="71"/>
  <c r="AW98" i="71"/>
  <c r="AW70" i="71"/>
  <c r="AJ250" i="71"/>
  <c r="ED109" i="71"/>
  <c r="AL70" i="71"/>
  <c r="AL101" i="71" s="1"/>
  <c r="ED123" i="71"/>
  <c r="ED116" i="71"/>
  <c r="EE80" i="71"/>
  <c r="AL100" i="71"/>
  <c r="AL123" i="71"/>
  <c r="AL116" i="71"/>
  <c r="AL80" i="71"/>
  <c r="AL131" i="71" s="1"/>
  <c r="AL109" i="71"/>
  <c r="AV80" i="71"/>
  <c r="AV128" i="71" s="1"/>
  <c r="AV265" i="71" s="1"/>
  <c r="AG250" i="71"/>
  <c r="EF100" i="71"/>
  <c r="AG108" i="71"/>
  <c r="EE116" i="71"/>
  <c r="BU73" i="71"/>
  <c r="BU102" i="71" s="1"/>
  <c r="EE123" i="71"/>
  <c r="DQ102" i="71"/>
  <c r="EC80" i="71"/>
  <c r="EC99" i="71"/>
  <c r="EF109" i="71"/>
  <c r="EE99" i="71"/>
  <c r="EE66" i="71"/>
  <c r="EE70" i="71" s="1"/>
  <c r="BB101" i="71"/>
  <c r="EM233" i="71"/>
  <c r="DS76" i="71"/>
  <c r="DS241" i="71" s="1"/>
  <c r="AI99" i="71"/>
  <c r="AC98" i="71"/>
  <c r="ED80" i="71"/>
  <c r="DS104" i="71"/>
  <c r="AI109" i="71"/>
  <c r="BO98" i="71"/>
  <c r="BO70" i="71"/>
  <c r="EK228" i="71"/>
  <c r="EK233" i="71" s="1"/>
  <c r="EN123" i="71"/>
  <c r="EN109" i="71"/>
  <c r="K84" i="71"/>
  <c r="EM64" i="71"/>
  <c r="EM116" i="71" s="1"/>
  <c r="BI70" i="71"/>
  <c r="BI98" i="71"/>
  <c r="EF80" i="71"/>
  <c r="EF123" i="71"/>
  <c r="AJ80" i="71"/>
  <c r="AJ131" i="71" s="1"/>
  <c r="EJ98" i="71"/>
  <c r="AM70" i="71"/>
  <c r="EF99" i="71"/>
  <c r="EJ65" i="71"/>
  <c r="AA98" i="71"/>
  <c r="EF116" i="71"/>
  <c r="AF80" i="71"/>
  <c r="AF131" i="71" s="1"/>
  <c r="AP80" i="71"/>
  <c r="DZ102" i="71"/>
  <c r="DZ103" i="71"/>
  <c r="DZ75" i="71"/>
  <c r="V102" i="71"/>
  <c r="V75" i="71"/>
  <c r="V103" i="71"/>
  <c r="DY95" i="71"/>
  <c r="EJ70" i="71"/>
  <c r="EJ73" i="71" s="1"/>
  <c r="EJ102" i="71" s="1"/>
  <c r="EG80" i="71"/>
  <c r="EG66" i="71"/>
  <c r="EG70" i="71" s="1"/>
  <c r="EG100" i="71"/>
  <c r="EG99" i="71"/>
  <c r="EG123" i="71"/>
  <c r="EG116" i="71"/>
  <c r="T103" i="71"/>
  <c r="T75" i="71"/>
  <c r="T102" i="71"/>
  <c r="AJ108" i="71"/>
  <c r="BE98" i="71"/>
  <c r="BE70" i="71"/>
  <c r="AO98" i="71"/>
  <c r="AO70" i="71"/>
  <c r="AM80" i="71"/>
  <c r="AM131" i="71" s="1"/>
  <c r="AI100" i="71"/>
  <c r="EG106" i="71"/>
  <c r="EG228" i="71" s="1"/>
  <c r="EG233" i="71" s="1"/>
  <c r="BA73" i="71"/>
  <c r="BA103" i="71" s="1"/>
  <c r="EN228" i="71"/>
  <c r="AI123" i="71"/>
  <c r="EN110" i="71"/>
  <c r="AI80" i="71"/>
  <c r="AI131" i="71" s="1"/>
  <c r="EB75" i="71"/>
  <c r="EB102" i="71"/>
  <c r="EB103" i="71"/>
  <c r="AX73" i="71"/>
  <c r="AX101" i="71"/>
  <c r="AI116" i="71"/>
  <c r="W103" i="71"/>
  <c r="W102" i="71"/>
  <c r="N84" i="71"/>
  <c r="AH109" i="71"/>
  <c r="AK250" i="71"/>
  <c r="AO110" i="71"/>
  <c r="AK109" i="71"/>
  <c r="AH108" i="71"/>
  <c r="AM108" i="71"/>
  <c r="AM250" i="71"/>
  <c r="ED99" i="71"/>
  <c r="DP104" i="71"/>
  <c r="DP76" i="71"/>
  <c r="DP241" i="71" s="1"/>
  <c r="EH106" i="71"/>
  <c r="EH64" i="71"/>
  <c r="EQ4" i="71"/>
  <c r="EP86" i="71"/>
  <c r="AA101" i="71"/>
  <c r="AA73" i="71"/>
  <c r="AQ66" i="71"/>
  <c r="AQ123" i="71"/>
  <c r="AQ99" i="71"/>
  <c r="AQ263" i="71"/>
  <c r="AQ80" i="71"/>
  <c r="AQ116" i="71"/>
  <c r="AQ100" i="71"/>
  <c r="AQ146" i="71"/>
  <c r="AQ110" i="71"/>
  <c r="AQ109" i="71"/>
  <c r="AF100" i="71"/>
  <c r="AF123" i="71"/>
  <c r="AF66" i="71"/>
  <c r="AF109" i="71"/>
  <c r="AF99" i="71"/>
  <c r="AD70" i="71"/>
  <c r="AD98" i="71"/>
  <c r="AT70" i="71"/>
  <c r="AT98" i="71"/>
  <c r="BK100" i="71"/>
  <c r="BK66" i="71"/>
  <c r="BK99" i="71"/>
  <c r="BK146" i="71"/>
  <c r="BK80" i="71"/>
  <c r="BO80" i="71"/>
  <c r="AP70" i="71"/>
  <c r="AP98" i="71"/>
  <c r="I104" i="71"/>
  <c r="I76" i="71"/>
  <c r="M84" i="71" s="1"/>
  <c r="X104" i="71"/>
  <c r="X76" i="71"/>
  <c r="DP242" i="71"/>
  <c r="BK109" i="71"/>
  <c r="EP87" i="71"/>
  <c r="BT98" i="71"/>
  <c r="BT70" i="71"/>
  <c r="BQ101" i="71"/>
  <c r="BQ73" i="71"/>
  <c r="AU109" i="71"/>
  <c r="AU250" i="71"/>
  <c r="AU110" i="71"/>
  <c r="AY110" i="71"/>
  <c r="AU66" i="71"/>
  <c r="AU100" i="71"/>
  <c r="AU99" i="71"/>
  <c r="AU116" i="71"/>
  <c r="AU263" i="71"/>
  <c r="AU146" i="71"/>
  <c r="AU123" i="71"/>
  <c r="AY80" i="71"/>
  <c r="AY131" i="71" s="1"/>
  <c r="AU80" i="71"/>
  <c r="AU131" i="71" s="1"/>
  <c r="BD103" i="71"/>
  <c r="BD102" i="71"/>
  <c r="BD75" i="71"/>
  <c r="DW103" i="71"/>
  <c r="DW75" i="71"/>
  <c r="DW102" i="71"/>
  <c r="BP98" i="71"/>
  <c r="BP70" i="71"/>
  <c r="C76" i="71"/>
  <c r="C104" i="71"/>
  <c r="W104" i="71"/>
  <c r="DQ242" i="71"/>
  <c r="DQ104" i="71"/>
  <c r="DQ76" i="71"/>
  <c r="BH98" i="71"/>
  <c r="BH70" i="71"/>
  <c r="AI70" i="71"/>
  <c r="AI98" i="71"/>
  <c r="DY75" i="71"/>
  <c r="DY103" i="71"/>
  <c r="DY102" i="71"/>
  <c r="BM73" i="71"/>
  <c r="BM101" i="71"/>
  <c r="BF188" i="71"/>
  <c r="BF221" i="71"/>
  <c r="AK70" i="71"/>
  <c r="AK98" i="71"/>
  <c r="EO66" i="71"/>
  <c r="EO65" i="71" s="1"/>
  <c r="EO80" i="71"/>
  <c r="EO67" i="71"/>
  <c r="EO83" i="71" s="1"/>
  <c r="EO123" i="71"/>
  <c r="BN73" i="71"/>
  <c r="BN101" i="71"/>
  <c r="BL98" i="71"/>
  <c r="BL70" i="71"/>
  <c r="BB75" i="71"/>
  <c r="BB103" i="71"/>
  <c r="BB102" i="71"/>
  <c r="EL228" i="71"/>
  <c r="EL233" i="71" s="1"/>
  <c r="EL109" i="71"/>
  <c r="EM110" i="71"/>
  <c r="EL110" i="71"/>
  <c r="BS98" i="71"/>
  <c r="BS70" i="71"/>
  <c r="EA104" i="71"/>
  <c r="EA76" i="71"/>
  <c r="EA242" i="71"/>
  <c r="BF73" i="71"/>
  <c r="BF101" i="71"/>
  <c r="EL80" i="71"/>
  <c r="EL123" i="71"/>
  <c r="EL116" i="71"/>
  <c r="BX80" i="71"/>
  <c r="BX73" i="71"/>
  <c r="EF234" i="71"/>
  <c r="EF235" i="71" s="1"/>
  <c r="EF70" i="71"/>
  <c r="EF98" i="71"/>
  <c r="Z102" i="71"/>
  <c r="Z103" i="71"/>
  <c r="Z75" i="71"/>
  <c r="BZ80" i="71"/>
  <c r="EK234" i="71"/>
  <c r="EK98" i="71"/>
  <c r="EK70" i="71"/>
  <c r="BW80" i="71"/>
  <c r="EN230" i="71"/>
  <c r="EN116" i="71"/>
  <c r="O84" i="71"/>
  <c r="AG70" i="71"/>
  <c r="AG98" i="71"/>
  <c r="AB98" i="71"/>
  <c r="AB70" i="71"/>
  <c r="EP57" i="71"/>
  <c r="EP64" i="71" s="1"/>
  <c r="EP100" i="71" s="1"/>
  <c r="EO113" i="71"/>
  <c r="EO228" i="71"/>
  <c r="EO110" i="71"/>
  <c r="EO109" i="71"/>
  <c r="EN70" i="71"/>
  <c r="EN234" i="71"/>
  <c r="EN98" i="71"/>
  <c r="AC73" i="71"/>
  <c r="AC101" i="71"/>
  <c r="R76" i="71"/>
  <c r="R104" i="71"/>
  <c r="EQ3" i="71"/>
  <c r="EP85" i="71"/>
  <c r="EP106" i="71"/>
  <c r="U84" i="71"/>
  <c r="DR242" i="71"/>
  <c r="DR76" i="71"/>
  <c r="DR104" i="71"/>
  <c r="CC80" i="71"/>
  <c r="ED98" i="71"/>
  <c r="ED234" i="71"/>
  <c r="ED235" i="71" s="1"/>
  <c r="ED70" i="71"/>
  <c r="AJ70" i="71"/>
  <c r="AJ98" i="71"/>
  <c r="EZ32" i="71" l="1"/>
  <c r="FA32" i="71"/>
  <c r="FB32" i="71" s="1"/>
  <c r="FC32" i="71" s="1"/>
  <c r="FD32" i="71" s="1"/>
  <c r="FE32" i="71" s="1"/>
  <c r="FF32" i="71" s="1"/>
  <c r="FG32" i="71" s="1"/>
  <c r="FH32" i="71" s="1"/>
  <c r="FI32" i="71" s="1"/>
  <c r="FJ32" i="71" s="1"/>
  <c r="DD66" i="71"/>
  <c r="CU73" i="71"/>
  <c r="CU75" i="71" s="1"/>
  <c r="CU76" i="71" s="1"/>
  <c r="CY84" i="71" s="1"/>
  <c r="FI38" i="71"/>
  <c r="L84" i="71"/>
  <c r="L104" i="71"/>
  <c r="BR73" i="71"/>
  <c r="BR102" i="71" s="1"/>
  <c r="AE104" i="71"/>
  <c r="N75" i="42"/>
  <c r="O72" i="42"/>
  <c r="AB75" i="42"/>
  <c r="N73" i="42"/>
  <c r="M71" i="42"/>
  <c r="AB71" i="42" s="1"/>
  <c r="M76" i="42"/>
  <c r="AB76" i="42" s="1"/>
  <c r="CU84" i="71"/>
  <c r="BJ101" i="71"/>
  <c r="S84" i="71"/>
  <c r="AH73" i="71"/>
  <c r="AH75" i="71" s="1"/>
  <c r="DB83" i="71"/>
  <c r="DB99" i="71"/>
  <c r="EY96" i="71"/>
  <c r="EZ61" i="71"/>
  <c r="FE77" i="71"/>
  <c r="FF77" i="71" s="1"/>
  <c r="FG77" i="71" s="1"/>
  <c r="FH77" i="71" s="1"/>
  <c r="FI77" i="71" s="1"/>
  <c r="FJ77" i="71" s="1"/>
  <c r="EC234" i="71"/>
  <c r="EC235" i="71" s="1"/>
  <c r="AN98" i="71"/>
  <c r="CZ75" i="71"/>
  <c r="CZ191" i="71" s="1"/>
  <c r="CZ101" i="71"/>
  <c r="DC99" i="71"/>
  <c r="DC83" i="71"/>
  <c r="DC69" i="71"/>
  <c r="DC70" i="71" s="1"/>
  <c r="DD80" i="71"/>
  <c r="DD100" i="71"/>
  <c r="DD98" i="71"/>
  <c r="DA101" i="71"/>
  <c r="DA73" i="71"/>
  <c r="DB101" i="71"/>
  <c r="DB73" i="71"/>
  <c r="DD90" i="71"/>
  <c r="EC70" i="71"/>
  <c r="EC101" i="71" s="1"/>
  <c r="DE64" i="71"/>
  <c r="AY101" i="71"/>
  <c r="D76" i="71"/>
  <c r="H84" i="71" s="1"/>
  <c r="EI70" i="71"/>
  <c r="EI101" i="71" s="1"/>
  <c r="EI234" i="71"/>
  <c r="EI235" i="71" s="1"/>
  <c r="DU242" i="71"/>
  <c r="BG101" i="71"/>
  <c r="DU104" i="71"/>
  <c r="F76" i="71"/>
  <c r="J84" i="71" s="1"/>
  <c r="AL73" i="71"/>
  <c r="AL103" i="71" s="1"/>
  <c r="BC73" i="71"/>
  <c r="BC102" i="71" s="1"/>
  <c r="EH110" i="71"/>
  <c r="AV75" i="71"/>
  <c r="AV104" i="71" s="1"/>
  <c r="AV103" i="71"/>
  <c r="DT104" i="71"/>
  <c r="EG109" i="71"/>
  <c r="DT76" i="71"/>
  <c r="DT84" i="71" s="1"/>
  <c r="BU103" i="71"/>
  <c r="EM123" i="71"/>
  <c r="AV131" i="71"/>
  <c r="EM80" i="71"/>
  <c r="EM109" i="71"/>
  <c r="EM66" i="71"/>
  <c r="EM234" i="71" s="1"/>
  <c r="EM235" i="71" s="1"/>
  <c r="AR98" i="71"/>
  <c r="AR70" i="71"/>
  <c r="EL65" i="71"/>
  <c r="AW101" i="71"/>
  <c r="AW73" i="71"/>
  <c r="AS101" i="71"/>
  <c r="AS73" i="71"/>
  <c r="EL98" i="71"/>
  <c r="EL234" i="71"/>
  <c r="EL235" i="71" s="1"/>
  <c r="BA102" i="71"/>
  <c r="BA75" i="71"/>
  <c r="BA76" i="71" s="1"/>
  <c r="EN80" i="71"/>
  <c r="EG110" i="71"/>
  <c r="EE234" i="71"/>
  <c r="EE235" i="71" s="1"/>
  <c r="EE98" i="71"/>
  <c r="EK235" i="71"/>
  <c r="BO101" i="71"/>
  <c r="BO73" i="71"/>
  <c r="EJ75" i="71"/>
  <c r="EJ76" i="71" s="1"/>
  <c r="EJ103" i="71"/>
  <c r="BI101" i="71"/>
  <c r="BI73" i="71"/>
  <c r="EG234" i="71"/>
  <c r="EG235" i="71" s="1"/>
  <c r="AM101" i="71"/>
  <c r="AM73" i="71"/>
  <c r="EG98" i="71"/>
  <c r="V104" i="71"/>
  <c r="V76" i="71"/>
  <c r="V84" i="71" s="1"/>
  <c r="DV84" i="71"/>
  <c r="DZ104" i="71"/>
  <c r="DZ76" i="71"/>
  <c r="DZ241" i="71" s="1"/>
  <c r="DZ242" i="71"/>
  <c r="EJ101" i="71"/>
  <c r="AX75" i="71"/>
  <c r="AX102" i="71"/>
  <c r="AX103" i="71"/>
  <c r="AY103" i="71"/>
  <c r="AY102" i="71"/>
  <c r="AY75" i="71"/>
  <c r="T76" i="71"/>
  <c r="T84" i="71" s="1"/>
  <c r="T104" i="71"/>
  <c r="EB76" i="71"/>
  <c r="EB241" i="71" s="1"/>
  <c r="EB104" i="71"/>
  <c r="EB242" i="71"/>
  <c r="BE101" i="71"/>
  <c r="BE73" i="71"/>
  <c r="AO73" i="71"/>
  <c r="AO101" i="71"/>
  <c r="EN233" i="71"/>
  <c r="EN235" i="71" s="1"/>
  <c r="BK70" i="71"/>
  <c r="BK98" i="71"/>
  <c r="AA75" i="71"/>
  <c r="AA103" i="71"/>
  <c r="AA102" i="71"/>
  <c r="AQ70" i="71"/>
  <c r="AQ98" i="71"/>
  <c r="AT101" i="71"/>
  <c r="AT73" i="71"/>
  <c r="EQ86" i="71"/>
  <c r="EH99" i="71"/>
  <c r="EH66" i="71"/>
  <c r="EH123" i="71"/>
  <c r="EH116" i="71"/>
  <c r="EH100" i="71"/>
  <c r="EH80" i="71"/>
  <c r="EI80" i="71"/>
  <c r="EH228" i="71"/>
  <c r="EH233" i="71" s="1"/>
  <c r="EH109" i="71"/>
  <c r="EI110" i="71"/>
  <c r="AF98" i="71"/>
  <c r="AF70" i="71"/>
  <c r="AP73" i="71"/>
  <c r="AP101" i="71"/>
  <c r="AD101" i="71"/>
  <c r="AD73" i="71"/>
  <c r="I84" i="71"/>
  <c r="BJ102" i="71"/>
  <c r="BJ75" i="71"/>
  <c r="BJ103" i="71"/>
  <c r="AU98" i="71"/>
  <c r="AU70" i="71"/>
  <c r="AK101" i="71"/>
  <c r="AK73" i="71"/>
  <c r="BH73" i="71"/>
  <c r="BH101" i="71"/>
  <c r="DQ84" i="71"/>
  <c r="DQ241" i="71"/>
  <c r="BV101" i="71"/>
  <c r="BV73" i="71"/>
  <c r="BM102" i="71"/>
  <c r="BM103" i="71"/>
  <c r="BM75" i="71"/>
  <c r="DY242" i="71"/>
  <c r="DY104" i="71"/>
  <c r="DY76" i="71"/>
  <c r="BP73" i="71"/>
  <c r="BP101" i="71"/>
  <c r="EQ87" i="71"/>
  <c r="AI73" i="71"/>
  <c r="AI101" i="71"/>
  <c r="BQ103" i="71"/>
  <c r="BQ75" i="71"/>
  <c r="BQ102" i="71"/>
  <c r="AY264" i="71"/>
  <c r="AU264" i="71"/>
  <c r="BD179" i="71"/>
  <c r="BD76" i="71"/>
  <c r="BD84" i="71" s="1"/>
  <c r="BD191" i="71"/>
  <c r="BD104" i="71"/>
  <c r="DW104" i="71"/>
  <c r="DW76" i="71"/>
  <c r="DW242" i="71"/>
  <c r="BT73" i="71"/>
  <c r="BT101" i="71"/>
  <c r="R84" i="71"/>
  <c r="EA241" i="71"/>
  <c r="BX75" i="71"/>
  <c r="BX76" i="71" s="1"/>
  <c r="CB84" i="71" s="1"/>
  <c r="BG103" i="71"/>
  <c r="BG75" i="71"/>
  <c r="BG102" i="71"/>
  <c r="EL73" i="71"/>
  <c r="EL101" i="71"/>
  <c r="EE101" i="71"/>
  <c r="EE73" i="71"/>
  <c r="BY73" i="71"/>
  <c r="BY80" i="71"/>
  <c r="EN101" i="71"/>
  <c r="EN73" i="71"/>
  <c r="BS101" i="71"/>
  <c r="BS73" i="71"/>
  <c r="Z76" i="71"/>
  <c r="Z104" i="71"/>
  <c r="EK73" i="71"/>
  <c r="EK101" i="71"/>
  <c r="BL73" i="71"/>
  <c r="BL101" i="71"/>
  <c r="AB73" i="71"/>
  <c r="AB101" i="71"/>
  <c r="AG101" i="71"/>
  <c r="AG73" i="71"/>
  <c r="DS84" i="71"/>
  <c r="DR241" i="71"/>
  <c r="DR84" i="71"/>
  <c r="BW75" i="71"/>
  <c r="BW76" i="71" s="1"/>
  <c r="CA84" i="71" s="1"/>
  <c r="EP66" i="71"/>
  <c r="EP80" i="71"/>
  <c r="EP123" i="71"/>
  <c r="ED101" i="71"/>
  <c r="ED73" i="71"/>
  <c r="EQ85" i="71"/>
  <c r="EQ106" i="71"/>
  <c r="BN103" i="71"/>
  <c r="BN75" i="71"/>
  <c r="BN102" i="71"/>
  <c r="BB191" i="71"/>
  <c r="BB76" i="71"/>
  <c r="BB104" i="71"/>
  <c r="BB179" i="71"/>
  <c r="EO116" i="71"/>
  <c r="EO230" i="71"/>
  <c r="EO233" i="71" s="1"/>
  <c r="EG101" i="71"/>
  <c r="EG73" i="71"/>
  <c r="BZ75" i="71"/>
  <c r="BZ76" i="71" s="1"/>
  <c r="CD84" i="71" s="1"/>
  <c r="BF103" i="71"/>
  <c r="BF102" i="71"/>
  <c r="BF75" i="71"/>
  <c r="EO234" i="71"/>
  <c r="EO70" i="71"/>
  <c r="EO98" i="71"/>
  <c r="EP228" i="71"/>
  <c r="EP110" i="71"/>
  <c r="EP109" i="71"/>
  <c r="AJ73" i="71"/>
  <c r="AJ101" i="71"/>
  <c r="AC75" i="71"/>
  <c r="AC102" i="71"/>
  <c r="AC103" i="71"/>
  <c r="EQ57" i="71"/>
  <c r="EP113" i="71"/>
  <c r="AN101" i="71"/>
  <c r="AN73" i="71"/>
  <c r="EF101" i="71"/>
  <c r="EF73" i="71"/>
  <c r="BR74" i="71" l="1"/>
  <c r="BR75" i="71" s="1"/>
  <c r="BR179" i="71" s="1"/>
  <c r="DE66" i="71"/>
  <c r="DE70" i="71" s="1"/>
  <c r="FJ38" i="71"/>
  <c r="EX7" i="71"/>
  <c r="AH103" i="71"/>
  <c r="AH102" i="71"/>
  <c r="N71" i="42"/>
  <c r="AC71" i="42" s="1"/>
  <c r="O73" i="42"/>
  <c r="N76" i="42"/>
  <c r="AC76" i="42" s="1"/>
  <c r="M74" i="42"/>
  <c r="AB74" i="42" s="1"/>
  <c r="P72" i="42"/>
  <c r="P75" i="42" s="1"/>
  <c r="O75" i="42"/>
  <c r="AC75" i="42"/>
  <c r="N74" i="42"/>
  <c r="AC74" i="42" s="1"/>
  <c r="EC73" i="71"/>
  <c r="EC74" i="71" s="1"/>
  <c r="EC103" i="71" s="1"/>
  <c r="CZ76" i="71"/>
  <c r="CZ84" i="71" s="1"/>
  <c r="EP65" i="71"/>
  <c r="EP98" i="71"/>
  <c r="EZ96" i="71"/>
  <c r="FA61" i="71"/>
  <c r="BR76" i="71"/>
  <c r="DD99" i="71"/>
  <c r="DD83" i="71"/>
  <c r="DD69" i="71"/>
  <c r="DD70" i="71" s="1"/>
  <c r="DE80" i="71"/>
  <c r="DE100" i="71"/>
  <c r="DC101" i="71"/>
  <c r="DC73" i="71"/>
  <c r="DB75" i="71"/>
  <c r="EI73" i="71"/>
  <c r="EI102" i="71" s="1"/>
  <c r="DA75" i="71"/>
  <c r="DF90" i="71"/>
  <c r="DE90" i="71"/>
  <c r="BR104" i="71"/>
  <c r="BR103" i="71"/>
  <c r="BC75" i="71"/>
  <c r="BC191" i="71" s="1"/>
  <c r="AV76" i="71"/>
  <c r="AZ84" i="71" s="1"/>
  <c r="BC103" i="71"/>
  <c r="AL102" i="71"/>
  <c r="AV191" i="71"/>
  <c r="AV179" i="71"/>
  <c r="AL75" i="71"/>
  <c r="AL76" i="71" s="1"/>
  <c r="EJ104" i="71"/>
  <c r="EJ242" i="71"/>
  <c r="BU75" i="71"/>
  <c r="BU104" i="71" s="1"/>
  <c r="DU84" i="71"/>
  <c r="EM98" i="71"/>
  <c r="EM70" i="71"/>
  <c r="EM101" i="71" s="1"/>
  <c r="DT241" i="71"/>
  <c r="EJ178" i="71"/>
  <c r="BA104" i="71"/>
  <c r="BA191" i="71"/>
  <c r="BA179" i="71"/>
  <c r="AR101" i="71"/>
  <c r="AR73" i="71"/>
  <c r="AS102" i="71"/>
  <c r="AS74" i="71"/>
  <c r="AS103" i="71" s="1"/>
  <c r="AW75" i="71"/>
  <c r="AW102" i="71"/>
  <c r="AW103" i="71"/>
  <c r="BI103" i="71"/>
  <c r="BI102" i="71"/>
  <c r="BI75" i="71"/>
  <c r="BO75" i="71"/>
  <c r="BO102" i="71"/>
  <c r="BO103" i="71"/>
  <c r="AM102" i="71"/>
  <c r="AM75" i="71"/>
  <c r="AM103" i="71"/>
  <c r="EA84" i="71"/>
  <c r="EB84" i="71"/>
  <c r="AY179" i="71"/>
  <c r="AY76" i="71"/>
  <c r="AY104" i="71"/>
  <c r="AY191" i="71"/>
  <c r="AO75" i="71"/>
  <c r="AO102" i="71"/>
  <c r="AO103" i="71"/>
  <c r="X84" i="71"/>
  <c r="BE102" i="71"/>
  <c r="BE75" i="71"/>
  <c r="BE103" i="71"/>
  <c r="AX76" i="71"/>
  <c r="BB84" i="71" s="1"/>
  <c r="AX104" i="71"/>
  <c r="AX179" i="71"/>
  <c r="AX191" i="71"/>
  <c r="EO235" i="71"/>
  <c r="AP74" i="71"/>
  <c r="AP102" i="71"/>
  <c r="AD75" i="71"/>
  <c r="AD103" i="71"/>
  <c r="AD102" i="71"/>
  <c r="AF101" i="71"/>
  <c r="AF73" i="71"/>
  <c r="AQ101" i="71"/>
  <c r="AQ73" i="71"/>
  <c r="EH98" i="71"/>
  <c r="EH70" i="71"/>
  <c r="EH234" i="71"/>
  <c r="EH235" i="71" s="1"/>
  <c r="ER86" i="71"/>
  <c r="AA104" i="71"/>
  <c r="AA76" i="71"/>
  <c r="AT74" i="71"/>
  <c r="AT102" i="71"/>
  <c r="BK101" i="71"/>
  <c r="BK73" i="71"/>
  <c r="AI103" i="71"/>
  <c r="AI75" i="71"/>
  <c r="AI102" i="71"/>
  <c r="BM104" i="71"/>
  <c r="BM191" i="71"/>
  <c r="BM76" i="71"/>
  <c r="BM179" i="71"/>
  <c r="ER87" i="71"/>
  <c r="BT103" i="71"/>
  <c r="BT102" i="71"/>
  <c r="BT75" i="71"/>
  <c r="BV103" i="71"/>
  <c r="BV102" i="71"/>
  <c r="BH102" i="71"/>
  <c r="BH75" i="71"/>
  <c r="BH103" i="71"/>
  <c r="BP102" i="71"/>
  <c r="BP75" i="71"/>
  <c r="BP103" i="71"/>
  <c r="AK102" i="71"/>
  <c r="AK103" i="71"/>
  <c r="AK75" i="71"/>
  <c r="DW84" i="71"/>
  <c r="DW241" i="71"/>
  <c r="DX84" i="71"/>
  <c r="DZ84" i="71"/>
  <c r="DY241" i="71"/>
  <c r="DY84" i="71"/>
  <c r="AU73" i="71"/>
  <c r="AU101" i="71"/>
  <c r="BQ179" i="71"/>
  <c r="BQ104" i="71"/>
  <c r="BQ76" i="71"/>
  <c r="BQ191" i="71"/>
  <c r="BJ104" i="71"/>
  <c r="BJ179" i="71"/>
  <c r="BJ76" i="71"/>
  <c r="BJ191" i="71"/>
  <c r="EF103" i="71"/>
  <c r="EF75" i="71"/>
  <c r="EF102" i="71"/>
  <c r="EK102" i="71"/>
  <c r="EK75" i="71"/>
  <c r="EK103" i="71"/>
  <c r="EE102" i="71"/>
  <c r="EE75" i="71"/>
  <c r="EE103" i="71"/>
  <c r="EG74" i="71"/>
  <c r="EG103" i="71" s="1"/>
  <c r="EG102" i="71"/>
  <c r="AG75" i="71"/>
  <c r="AG102" i="71"/>
  <c r="AG103" i="71"/>
  <c r="EL102" i="71"/>
  <c r="EL75" i="71"/>
  <c r="EL103" i="71"/>
  <c r="EM103" i="71" s="1"/>
  <c r="EN103" i="71" s="1"/>
  <c r="EO103" i="71" s="1"/>
  <c r="EN102" i="71"/>
  <c r="Z84" i="71"/>
  <c r="EP116" i="71"/>
  <c r="EP230" i="71"/>
  <c r="EP233" i="71" s="1"/>
  <c r="EX57" i="71"/>
  <c r="EY57" i="71" s="1"/>
  <c r="EZ57" i="71" s="1"/>
  <c r="FA57" i="71" s="1"/>
  <c r="FB57" i="71" s="1"/>
  <c r="FC57" i="71" s="1"/>
  <c r="FD57" i="71" s="1"/>
  <c r="FE57" i="71" s="1"/>
  <c r="FF57" i="71" s="1"/>
  <c r="FG57" i="71" s="1"/>
  <c r="FH57" i="71" s="1"/>
  <c r="FI57" i="71" s="1"/>
  <c r="FJ57" i="71" s="1"/>
  <c r="EQ113" i="71"/>
  <c r="EQ230" i="71" s="1"/>
  <c r="BN76" i="71"/>
  <c r="BN104" i="71"/>
  <c r="BN179" i="71"/>
  <c r="BN191" i="71"/>
  <c r="EP234" i="71"/>
  <c r="BG191" i="71"/>
  <c r="BG179" i="71"/>
  <c r="BG76" i="71"/>
  <c r="BG104" i="71"/>
  <c r="AB103" i="71"/>
  <c r="AB102" i="71"/>
  <c r="AB75" i="71"/>
  <c r="BY75" i="71"/>
  <c r="BY76" i="71" s="1"/>
  <c r="CC84" i="71" s="1"/>
  <c r="EQ110" i="71"/>
  <c r="EQ228" i="71"/>
  <c r="EQ64" i="71"/>
  <c r="EQ100" i="71" s="1"/>
  <c r="EJ241" i="71"/>
  <c r="EO101" i="71"/>
  <c r="BF104" i="71"/>
  <c r="BF76" i="71"/>
  <c r="BF179" i="71"/>
  <c r="BF191" i="71"/>
  <c r="AH76" i="71"/>
  <c r="AH104" i="71"/>
  <c r="AJ102" i="71"/>
  <c r="AJ75" i="71"/>
  <c r="AJ103" i="71"/>
  <c r="ER85" i="71"/>
  <c r="BL75" i="71"/>
  <c r="BL102" i="71"/>
  <c r="BL103" i="71"/>
  <c r="BS103" i="71"/>
  <c r="BS102" i="71"/>
  <c r="BS75" i="71"/>
  <c r="AN102" i="71"/>
  <c r="AN103" i="71"/>
  <c r="AN75" i="71"/>
  <c r="AC104" i="71"/>
  <c r="AC76" i="71"/>
  <c r="AC84" i="71" s="1"/>
  <c r="ED102" i="71"/>
  <c r="ED103" i="71"/>
  <c r="ED75" i="71"/>
  <c r="BR191" i="71" l="1"/>
  <c r="EN74" i="71"/>
  <c r="EN75" i="71" s="1"/>
  <c r="EN104" i="71" s="1"/>
  <c r="DE98" i="71"/>
  <c r="DB76" i="71"/>
  <c r="DB84" i="71" s="1"/>
  <c r="DB191" i="71"/>
  <c r="EC102" i="71"/>
  <c r="DA76" i="71"/>
  <c r="DA84" i="71" s="1"/>
  <c r="DA191" i="71"/>
  <c r="BR84" i="71"/>
  <c r="AE75" i="42"/>
  <c r="P73" i="42"/>
  <c r="O71" i="42"/>
  <c r="AD71" i="42" s="1"/>
  <c r="O76" i="42"/>
  <c r="AD76" i="42" s="1"/>
  <c r="AD75" i="42"/>
  <c r="EI103" i="71"/>
  <c r="EI75" i="71"/>
  <c r="EI76" i="71" s="1"/>
  <c r="FA96" i="71"/>
  <c r="FB61" i="71"/>
  <c r="BC76" i="71"/>
  <c r="BC84" i="71" s="1"/>
  <c r="BC179" i="71"/>
  <c r="DE83" i="71"/>
  <c r="DE99" i="71"/>
  <c r="DD101" i="71"/>
  <c r="DD73" i="71"/>
  <c r="BC104" i="71"/>
  <c r="DC75" i="71"/>
  <c r="DF64" i="71"/>
  <c r="DF66" i="71" s="1"/>
  <c r="AL104" i="71"/>
  <c r="BU76" i="71"/>
  <c r="BY84" i="71" s="1"/>
  <c r="EM73" i="71"/>
  <c r="EM75" i="71" s="1"/>
  <c r="AS75" i="71"/>
  <c r="AS179" i="71" s="1"/>
  <c r="AR75" i="71"/>
  <c r="AR102" i="71"/>
  <c r="AR103" i="71"/>
  <c r="AW76" i="71"/>
  <c r="AW104" i="71"/>
  <c r="AW179" i="71"/>
  <c r="AW191" i="71"/>
  <c r="BO104" i="71"/>
  <c r="BO191" i="71"/>
  <c r="BO179" i="71"/>
  <c r="BO76" i="71"/>
  <c r="BI76" i="71"/>
  <c r="BM84" i="71" s="1"/>
  <c r="BI179" i="71"/>
  <c r="BI104" i="71"/>
  <c r="BI191" i="71"/>
  <c r="AM76" i="71"/>
  <c r="AM104" i="71"/>
  <c r="AM179" i="71"/>
  <c r="EP235" i="71"/>
  <c r="AO104" i="71"/>
  <c r="AO76" i="71"/>
  <c r="BV75" i="71"/>
  <c r="BV104" i="71" s="1"/>
  <c r="BE179" i="71"/>
  <c r="BE76" i="71"/>
  <c r="BE191" i="71"/>
  <c r="BE104" i="71"/>
  <c r="ER64" i="71"/>
  <c r="AA84" i="71"/>
  <c r="AE84" i="71"/>
  <c r="EH73" i="71"/>
  <c r="EH101" i="71"/>
  <c r="ES86" i="71"/>
  <c r="AF75" i="71"/>
  <c r="AF103" i="71"/>
  <c r="AF102" i="71"/>
  <c r="AQ102" i="71"/>
  <c r="AQ75" i="71"/>
  <c r="AQ103" i="71"/>
  <c r="BK75" i="71"/>
  <c r="BK102" i="71"/>
  <c r="BK103" i="71"/>
  <c r="AD76" i="71"/>
  <c r="AD84" i="71" s="1"/>
  <c r="AD104" i="71"/>
  <c r="BQ84" i="71"/>
  <c r="AT75" i="71"/>
  <c r="EH74" i="71"/>
  <c r="AT103" i="71"/>
  <c r="AP75" i="71"/>
  <c r="AP103" i="71"/>
  <c r="AU102" i="71"/>
  <c r="AU103" i="71"/>
  <c r="AU75" i="71"/>
  <c r="ES87" i="71"/>
  <c r="BH104" i="71"/>
  <c r="BH76" i="71"/>
  <c r="BH84" i="71" s="1"/>
  <c r="BH191" i="71"/>
  <c r="BH179" i="71"/>
  <c r="BN84" i="71"/>
  <c r="EQ233" i="71"/>
  <c r="AK76" i="71"/>
  <c r="AK104" i="71"/>
  <c r="BT76" i="71"/>
  <c r="BT104" i="71"/>
  <c r="AI104" i="71"/>
  <c r="AI76" i="71"/>
  <c r="BP191" i="71"/>
  <c r="BP76" i="71"/>
  <c r="BP179" i="71"/>
  <c r="BP104" i="71"/>
  <c r="BL104" i="71"/>
  <c r="BL76" i="71"/>
  <c r="BL191" i="71"/>
  <c r="BL179" i="71"/>
  <c r="BF84" i="71"/>
  <c r="BJ84" i="71"/>
  <c r="AB104" i="71"/>
  <c r="AB76" i="71"/>
  <c r="EQ66" i="71"/>
  <c r="EQ80" i="71"/>
  <c r="EK242" i="71"/>
  <c r="EK104" i="71"/>
  <c r="EK76" i="71"/>
  <c r="EK149" i="71"/>
  <c r="AN76" i="71"/>
  <c r="AN104" i="71"/>
  <c r="ES85" i="71"/>
  <c r="ES64" i="71"/>
  <c r="BS76" i="71"/>
  <c r="BS104" i="71"/>
  <c r="ED242" i="71"/>
  <c r="ED104" i="71"/>
  <c r="ED76" i="71"/>
  <c r="EC75" i="71"/>
  <c r="AG76" i="71"/>
  <c r="AG104" i="71"/>
  <c r="EL76" i="71"/>
  <c r="EL104" i="71"/>
  <c r="EF104" i="71"/>
  <c r="EF76" i="71"/>
  <c r="EF242" i="71"/>
  <c r="EF78" i="71"/>
  <c r="AJ104" i="71"/>
  <c r="AJ76" i="71"/>
  <c r="EE242" i="71"/>
  <c r="EE76" i="71"/>
  <c r="EE104" i="71"/>
  <c r="AL84" i="71"/>
  <c r="EQ109" i="71"/>
  <c r="EG75" i="71"/>
  <c r="EN76" i="71" l="1"/>
  <c r="DH100" i="71"/>
  <c r="DH99" i="71"/>
  <c r="DH80" i="71"/>
  <c r="DK7" i="71"/>
  <c r="DI64" i="71"/>
  <c r="DI66" i="71" s="1"/>
  <c r="DC76" i="71"/>
  <c r="DC191" i="71"/>
  <c r="ES100" i="71"/>
  <c r="ES66" i="71"/>
  <c r="ES98" i="71" s="1"/>
  <c r="EI242" i="71"/>
  <c r="EI104" i="71"/>
  <c r="P71" i="42"/>
  <c r="AE71" i="42" s="1"/>
  <c r="P76" i="42"/>
  <c r="O74" i="42"/>
  <c r="AD74" i="42" s="1"/>
  <c r="EQ65" i="71"/>
  <c r="EQ98" i="71"/>
  <c r="ER66" i="71"/>
  <c r="ER98" i="71" s="1"/>
  <c r="ER100" i="71"/>
  <c r="BV76" i="71"/>
  <c r="BV84" i="71" s="1"/>
  <c r="FB96" i="71"/>
  <c r="FC61" i="71"/>
  <c r="BG84" i="71"/>
  <c r="DF80" i="71"/>
  <c r="DF100" i="71"/>
  <c r="DJ83" i="71"/>
  <c r="DF98" i="71"/>
  <c r="DD75" i="71"/>
  <c r="DD191" i="71" s="1"/>
  <c r="DE101" i="71"/>
  <c r="DE73" i="71"/>
  <c r="BU84" i="71"/>
  <c r="EM102" i="71"/>
  <c r="AS191" i="71"/>
  <c r="AS104" i="71"/>
  <c r="AS76" i="71"/>
  <c r="AS84" i="71" s="1"/>
  <c r="AR179" i="71"/>
  <c r="AR191" i="71"/>
  <c r="AR104" i="71"/>
  <c r="AR76" i="71"/>
  <c r="AV84" i="71" s="1"/>
  <c r="BA84" i="71"/>
  <c r="AO84" i="71"/>
  <c r="BI84" i="71"/>
  <c r="BE84" i="71"/>
  <c r="EH103" i="71"/>
  <c r="ER80" i="71"/>
  <c r="AQ191" i="71"/>
  <c r="AQ76" i="71"/>
  <c r="AQ84" i="71" s="1"/>
  <c r="AQ179" i="71"/>
  <c r="AQ104" i="71"/>
  <c r="AT191" i="71"/>
  <c r="AT104" i="71"/>
  <c r="AT76" i="71"/>
  <c r="AT179" i="71"/>
  <c r="AF104" i="71"/>
  <c r="AF76" i="71"/>
  <c r="AF84" i="71" s="1"/>
  <c r="AH84" i="71"/>
  <c r="ET86" i="71"/>
  <c r="EH102" i="71"/>
  <c r="EH75" i="71"/>
  <c r="AP179" i="71"/>
  <c r="AP76" i="71"/>
  <c r="AP84" i="71" s="1"/>
  <c r="AP104" i="71"/>
  <c r="BK191" i="71"/>
  <c r="BK104" i="71"/>
  <c r="BK76" i="71"/>
  <c r="BK179" i="71"/>
  <c r="AI84" i="71"/>
  <c r="AM84" i="71"/>
  <c r="EM76" i="71"/>
  <c r="EM84" i="71" s="1"/>
  <c r="EM104" i="71"/>
  <c r="ET87" i="71"/>
  <c r="EO71" i="71"/>
  <c r="EO73" i="71" s="1"/>
  <c r="BT84" i="71"/>
  <c r="BX84" i="71"/>
  <c r="AU179" i="71"/>
  <c r="AU191" i="71"/>
  <c r="AU76" i="71"/>
  <c r="AU104" i="71"/>
  <c r="ES80" i="71"/>
  <c r="ED241" i="71"/>
  <c r="BS84" i="71"/>
  <c r="BW84" i="71"/>
  <c r="EQ234" i="71"/>
  <c r="EQ235" i="71" s="1"/>
  <c r="AN84" i="71"/>
  <c r="EE84" i="71"/>
  <c r="EE241" i="71"/>
  <c r="EL84" i="71"/>
  <c r="EK241" i="71"/>
  <c r="EK84" i="71"/>
  <c r="EF241" i="71"/>
  <c r="EF84" i="71"/>
  <c r="AB84" i="71"/>
  <c r="EI241" i="71"/>
  <c r="EJ84" i="71"/>
  <c r="AG84" i="71"/>
  <c r="AK84" i="71"/>
  <c r="BL84" i="71"/>
  <c r="BP84" i="71"/>
  <c r="ET85" i="71"/>
  <c r="ET64" i="71"/>
  <c r="EG242" i="71"/>
  <c r="EG76" i="71"/>
  <c r="EG178" i="71"/>
  <c r="EG104" i="71"/>
  <c r="EC242" i="71"/>
  <c r="EC76" i="71"/>
  <c r="ED84" i="71" s="1"/>
  <c r="EC104" i="71"/>
  <c r="DI99" i="71" l="1"/>
  <c r="DI100" i="71"/>
  <c r="DL7" i="71"/>
  <c r="DK64" i="71"/>
  <c r="DH70" i="71"/>
  <c r="DH98" i="71"/>
  <c r="DI80" i="71"/>
  <c r="DC84" i="71"/>
  <c r="DG84" i="71"/>
  <c r="DJ64" i="71"/>
  <c r="EY7" i="71"/>
  <c r="ET100" i="71"/>
  <c r="ET66" i="71"/>
  <c r="ET70" i="71" s="1"/>
  <c r="ER65" i="71"/>
  <c r="AE76" i="42"/>
  <c r="P74" i="42"/>
  <c r="AE74" i="42" s="1"/>
  <c r="BZ84" i="71"/>
  <c r="DD76" i="71"/>
  <c r="FC96" i="71"/>
  <c r="FD61" i="71"/>
  <c r="AW84" i="71"/>
  <c r="DF99" i="71"/>
  <c r="DF83" i="71"/>
  <c r="DF69" i="71"/>
  <c r="DF70" i="71" s="1"/>
  <c r="DE75" i="71"/>
  <c r="AJ84" i="71"/>
  <c r="AR84" i="71"/>
  <c r="EN84" i="71"/>
  <c r="EU86" i="71"/>
  <c r="AT84" i="71"/>
  <c r="AX84" i="71"/>
  <c r="BO84" i="71"/>
  <c r="BK84" i="71"/>
  <c r="EH76" i="71"/>
  <c r="EH84" i="71" s="1"/>
  <c r="EH242" i="71"/>
  <c r="EH104" i="71"/>
  <c r="EU87" i="71"/>
  <c r="AU84" i="71"/>
  <c r="AY84" i="71"/>
  <c r="EO74" i="71"/>
  <c r="EO75" i="71" s="1"/>
  <c r="EO102" i="71"/>
  <c r="EG84" i="71"/>
  <c r="EG241" i="71"/>
  <c r="EU85" i="71"/>
  <c r="EU64" i="71"/>
  <c r="ET80" i="71"/>
  <c r="EC241" i="71"/>
  <c r="EC84" i="71"/>
  <c r="DE76" i="71" l="1"/>
  <c r="DE191" i="71"/>
  <c r="DI70" i="71"/>
  <c r="DI73" i="71" s="1"/>
  <c r="DI98" i="71"/>
  <c r="DJ99" i="71"/>
  <c r="DJ100" i="71"/>
  <c r="DK80" i="71"/>
  <c r="DK99" i="71"/>
  <c r="DK65" i="71"/>
  <c r="DK66" i="71" s="1"/>
  <c r="DK100" i="71"/>
  <c r="DM7" i="71"/>
  <c r="DL64" i="71"/>
  <c r="DH73" i="71"/>
  <c r="DH75" i="71" s="1"/>
  <c r="DH101" i="71"/>
  <c r="DJ80" i="71"/>
  <c r="DE84" i="71"/>
  <c r="DD84" i="71"/>
  <c r="EU100" i="71"/>
  <c r="EU66" i="71"/>
  <c r="ET98" i="71"/>
  <c r="FE61" i="71"/>
  <c r="FD96" i="71"/>
  <c r="DF101" i="71"/>
  <c r="DF73" i="71"/>
  <c r="EH241" i="71"/>
  <c r="EI84" i="71"/>
  <c r="EV86" i="71"/>
  <c r="EV87" i="71"/>
  <c r="EO104" i="71"/>
  <c r="EO76" i="71"/>
  <c r="EV64" i="71"/>
  <c r="EV85" i="71"/>
  <c r="EU80" i="71"/>
  <c r="DJ70" i="71" l="1"/>
  <c r="DJ98" i="71"/>
  <c r="DN7" i="71"/>
  <c r="DN64" i="71" s="1"/>
  <c r="DM64" i="71"/>
  <c r="DK70" i="71"/>
  <c r="DK98" i="71"/>
  <c r="DL100" i="71"/>
  <c r="DL99" i="71"/>
  <c r="DL65" i="71"/>
  <c r="DL66" i="71" s="1"/>
  <c r="DL80" i="71"/>
  <c r="DI75" i="71"/>
  <c r="DI101" i="71"/>
  <c r="DH76" i="71"/>
  <c r="DH191" i="71"/>
  <c r="FE96" i="71"/>
  <c r="FF61" i="71"/>
  <c r="FG61" i="71" s="1"/>
  <c r="FH61" i="71" s="1"/>
  <c r="FI61" i="71" s="1"/>
  <c r="FJ61" i="71" s="1"/>
  <c r="EV66" i="71"/>
  <c r="EV100" i="71"/>
  <c r="EV99" i="71"/>
  <c r="EU98" i="71"/>
  <c r="DF75" i="71"/>
  <c r="EW86" i="71"/>
  <c r="EW87" i="71"/>
  <c r="EX85" i="71"/>
  <c r="EW64" i="71"/>
  <c r="EW66" i="71" s="1"/>
  <c r="EW70" i="71" s="1"/>
  <c r="EW73" i="71" s="1"/>
  <c r="EW75" i="71" s="1"/>
  <c r="C85" i="71"/>
  <c r="C84" i="71"/>
  <c r="EO84" i="71"/>
  <c r="C80" i="71"/>
  <c r="EV80" i="71"/>
  <c r="EP71" i="71"/>
  <c r="DI76" i="71" l="1"/>
  <c r="DI191" i="71"/>
  <c r="EZ7" i="71"/>
  <c r="FA7" i="71" s="1"/>
  <c r="FB7" i="71" s="1"/>
  <c r="FC7" i="71" s="1"/>
  <c r="FD7" i="71" s="1"/>
  <c r="FE7" i="71" s="1"/>
  <c r="FF7" i="71" s="1"/>
  <c r="FG7" i="71" s="1"/>
  <c r="FH7" i="71" s="1"/>
  <c r="FI7" i="71" s="1"/>
  <c r="FJ7" i="71" s="1"/>
  <c r="DF76" i="71"/>
  <c r="DF191" i="71"/>
  <c r="DL70" i="71"/>
  <c r="DL98" i="71"/>
  <c r="DK73" i="71"/>
  <c r="DK75" i="71" s="1"/>
  <c r="DK76" i="71" s="1"/>
  <c r="DK84" i="71" s="1"/>
  <c r="DK101" i="71"/>
  <c r="DM99" i="71"/>
  <c r="DM65" i="71"/>
  <c r="DM66" i="71" s="1"/>
  <c r="DM100" i="71"/>
  <c r="DM80" i="71"/>
  <c r="DI84" i="71"/>
  <c r="DN99" i="71"/>
  <c r="DN65" i="71"/>
  <c r="DN66" i="71" s="1"/>
  <c r="DN100" i="71"/>
  <c r="DN80" i="71"/>
  <c r="DJ73" i="71"/>
  <c r="DJ75" i="71" s="1"/>
  <c r="DJ76" i="71" s="1"/>
  <c r="DJ84" i="71" s="1"/>
  <c r="DJ101" i="71"/>
  <c r="DH84" i="71"/>
  <c r="DF84" i="71"/>
  <c r="EW100" i="71"/>
  <c r="EW99" i="71"/>
  <c r="EV98" i="71"/>
  <c r="EV70" i="71"/>
  <c r="EV101" i="71" s="1"/>
  <c r="EY86" i="71"/>
  <c r="EX86" i="71"/>
  <c r="EX87" i="71"/>
  <c r="EY87" i="71"/>
  <c r="EW80" i="71"/>
  <c r="EX64" i="71"/>
  <c r="DN70" i="71" l="1"/>
  <c r="DN98" i="71"/>
  <c r="DM70" i="71"/>
  <c r="DM98" i="71"/>
  <c r="DL73" i="71"/>
  <c r="DL75" i="71" s="1"/>
  <c r="DL76" i="71" s="1"/>
  <c r="DL84" i="71" s="1"/>
  <c r="DL101" i="71"/>
  <c r="EY85" i="71"/>
  <c r="EX100" i="71"/>
  <c r="EX67" i="71"/>
  <c r="EW98" i="71"/>
  <c r="EY64" i="71"/>
  <c r="EW101" i="71"/>
  <c r="EX80" i="71"/>
  <c r="EX66" i="71"/>
  <c r="DM73" i="71" l="1"/>
  <c r="DM75" i="71" s="1"/>
  <c r="DM76" i="71" s="1"/>
  <c r="DM84" i="71" s="1"/>
  <c r="DM101" i="71"/>
  <c r="DN73" i="71"/>
  <c r="DN75" i="71" s="1"/>
  <c r="DN76" i="71" s="1"/>
  <c r="DN84" i="71" s="1"/>
  <c r="DN101" i="71"/>
  <c r="EX65" i="71"/>
  <c r="EX98" i="71"/>
  <c r="EY100" i="71"/>
  <c r="EY67" i="71"/>
  <c r="FA3" i="71"/>
  <c r="EZ85" i="71"/>
  <c r="EW83" i="71"/>
  <c r="EY80" i="71"/>
  <c r="EY66" i="71"/>
  <c r="EZ66" i="71" l="1"/>
  <c r="EZ98" i="71" s="1"/>
  <c r="EZ100" i="71"/>
  <c r="EZ67" i="71"/>
  <c r="EY65" i="71"/>
  <c r="EY98" i="71"/>
  <c r="FB3" i="71"/>
  <c r="FA85" i="71"/>
  <c r="FA64" i="71"/>
  <c r="EX69" i="71"/>
  <c r="EX70" i="71" s="1"/>
  <c r="EX101" i="71" s="1"/>
  <c r="EX99" i="71"/>
  <c r="EX83" i="71"/>
  <c r="EZ65" i="71" l="1"/>
  <c r="FA67" i="71"/>
  <c r="FA100" i="71"/>
  <c r="FA80" i="71"/>
  <c r="FA66" i="71"/>
  <c r="FA65" i="71" s="1"/>
  <c r="FC3" i="71"/>
  <c r="FB85" i="71"/>
  <c r="FB64" i="71"/>
  <c r="EZ69" i="71"/>
  <c r="EZ70" i="71" s="1"/>
  <c r="EZ101" i="71" s="1"/>
  <c r="EZ99" i="71"/>
  <c r="EY69" i="71"/>
  <c r="EY70" i="71" s="1"/>
  <c r="EY101" i="71" s="1"/>
  <c r="EY99" i="71"/>
  <c r="EY83" i="71"/>
  <c r="FD3" i="71" l="1"/>
  <c r="FC85" i="71"/>
  <c r="FC64" i="71"/>
  <c r="FB67" i="71"/>
  <c r="FB100" i="71"/>
  <c r="FB80" i="71"/>
  <c r="FB66" i="71"/>
  <c r="FB98" i="71" s="1"/>
  <c r="FA98" i="71"/>
  <c r="FA69" i="71"/>
  <c r="FA70" i="71" s="1"/>
  <c r="FA99" i="71"/>
  <c r="EV73" i="71"/>
  <c r="FB65" i="71" l="1"/>
  <c r="FA101" i="71"/>
  <c r="FC100" i="71"/>
  <c r="FC67" i="71"/>
  <c r="FC80" i="71"/>
  <c r="FC66" i="71"/>
  <c r="FC98" i="71" s="1"/>
  <c r="EV102" i="71"/>
  <c r="EV103" i="71"/>
  <c r="FB99" i="71"/>
  <c r="FB69" i="71"/>
  <c r="FB70" i="71" s="1"/>
  <c r="FE3" i="71"/>
  <c r="FF3" i="71" s="1"/>
  <c r="FD85" i="71"/>
  <c r="FD64" i="71"/>
  <c r="EV75" i="71"/>
  <c r="EV104" i="71" s="1"/>
  <c r="FG3" i="71" l="1"/>
  <c r="FF64" i="71"/>
  <c r="FC65" i="71"/>
  <c r="FE85" i="71"/>
  <c r="FE64" i="71"/>
  <c r="FC99" i="71"/>
  <c r="FC69" i="71"/>
  <c r="FC70" i="71" s="1"/>
  <c r="FB101" i="71"/>
  <c r="FD67" i="71"/>
  <c r="FD69" i="71" s="1"/>
  <c r="FD80" i="71"/>
  <c r="FD66" i="71"/>
  <c r="EV76" i="71"/>
  <c r="EQ70" i="71"/>
  <c r="EQ101" i="71" s="1"/>
  <c r="EQ99" i="71"/>
  <c r="ER67" i="71"/>
  <c r="ER70" i="71" s="1"/>
  <c r="FF67" i="71" l="1"/>
  <c r="FF69" i="71" s="1"/>
  <c r="FF66" i="71"/>
  <c r="FF65" i="71" s="1"/>
  <c r="FH3" i="71"/>
  <c r="FG64" i="71"/>
  <c r="FD70" i="71"/>
  <c r="FC101" i="71"/>
  <c r="ER83" i="71"/>
  <c r="FE67" i="71"/>
  <c r="FE69" i="71" s="1"/>
  <c r="FE80" i="71"/>
  <c r="FE66" i="71"/>
  <c r="ER99" i="71"/>
  <c r="FD65" i="71"/>
  <c r="ER101" i="71"/>
  <c r="FF70" i="71" l="1"/>
  <c r="FG67" i="71"/>
  <c r="FG69" i="71" s="1"/>
  <c r="FG66" i="71"/>
  <c r="FG65" i="71" s="1"/>
  <c r="FI3" i="71"/>
  <c r="FH64" i="71"/>
  <c r="FE70" i="71"/>
  <c r="FE65" i="71"/>
  <c r="ES99" i="71"/>
  <c r="ES70" i="71"/>
  <c r="ES69" i="71"/>
  <c r="ES83" i="71"/>
  <c r="FG70" i="71" l="1"/>
  <c r="FH67" i="71"/>
  <c r="FH69" i="71" s="1"/>
  <c r="FH66" i="71"/>
  <c r="FJ3" i="71"/>
  <c r="FJ64" i="71" s="1"/>
  <c r="FI64" i="71"/>
  <c r="ET83" i="71"/>
  <c r="ET69" i="71"/>
  <c r="ET99" i="71"/>
  <c r="ES101" i="71"/>
  <c r="FI66" i="71" l="1"/>
  <c r="FI65" i="71" s="1"/>
  <c r="FI67" i="71"/>
  <c r="FI69" i="71" s="1"/>
  <c r="FH65" i="71"/>
  <c r="FH70" i="71"/>
  <c r="FJ67" i="71"/>
  <c r="FJ69" i="71" s="1"/>
  <c r="FJ66" i="71"/>
  <c r="ET101" i="71"/>
  <c r="EU70" i="71"/>
  <c r="EV83" i="71"/>
  <c r="EU69" i="71"/>
  <c r="EU83" i="71"/>
  <c r="EU99" i="71"/>
  <c r="FJ70" i="71" l="1"/>
  <c r="FJ65" i="71"/>
  <c r="FI70" i="71"/>
  <c r="EU101" i="71"/>
  <c r="EQ83" i="71"/>
  <c r="EP83" i="71"/>
  <c r="EP99" i="71"/>
  <c r="EP70" i="71"/>
  <c r="EP101" i="71" s="1"/>
  <c r="EP73" i="71" l="1"/>
  <c r="EP102" i="71" l="1"/>
  <c r="EP103" i="71"/>
  <c r="EP75" i="71"/>
  <c r="EP76" i="71" s="1"/>
  <c r="EP84" i="71" s="1"/>
  <c r="EP104" i="71" l="1"/>
  <c r="EQ71" i="71" l="1"/>
  <c r="EQ73" i="71" s="1"/>
  <c r="EQ102" i="71" l="1"/>
  <c r="EQ103" i="71"/>
  <c r="EQ75" i="71"/>
  <c r="EQ104" i="71" s="1"/>
  <c r="EQ76" i="71" l="1"/>
  <c r="EQ84" i="71" s="1"/>
  <c r="ER71" i="71"/>
  <c r="ER73" i="71" s="1"/>
  <c r="ER102" i="71" s="1"/>
  <c r="ER103" i="71" l="1"/>
  <c r="ER75" i="71" l="1"/>
  <c r="ER76" i="71" s="1"/>
  <c r="ER84" i="71" s="1"/>
  <c r="ER104" i="71" l="1"/>
  <c r="ES73" i="71"/>
  <c r="ES102" i="71" l="1"/>
  <c r="ES103" i="71"/>
  <c r="ES75" i="71" l="1"/>
  <c r="ES76" i="71" l="1"/>
  <c r="ES84" i="71" s="1"/>
  <c r="ES104" i="71"/>
  <c r="ET73" i="71" l="1"/>
  <c r="ET103" i="71" l="1"/>
  <c r="ET102" i="71"/>
  <c r="ET75" i="71" l="1"/>
  <c r="ET76" i="71" s="1"/>
  <c r="ET84" i="71" s="1"/>
  <c r="ET104" i="71" l="1"/>
  <c r="EU73" i="71"/>
  <c r="EU102" i="71" l="1"/>
  <c r="EU103" i="71"/>
  <c r="EU75" i="71" l="1"/>
  <c r="EU104" i="71" s="1"/>
  <c r="EU76" i="71" l="1"/>
  <c r="EU84" i="71" s="1"/>
  <c r="EV84" i="71" l="1"/>
  <c r="EW102" i="71"/>
  <c r="EW103" i="71"/>
  <c r="EW104" i="71" l="1"/>
  <c r="EX71" i="71" l="1"/>
  <c r="EX73" i="71" s="1"/>
  <c r="EW76" i="71"/>
  <c r="EW84" i="71" s="1"/>
  <c r="EX102" i="71" l="1"/>
  <c r="EX74" i="71"/>
  <c r="EX103" i="71" s="1"/>
  <c r="EX75" i="71" l="1"/>
  <c r="EX104" i="71" l="1"/>
  <c r="EX76" i="71"/>
  <c r="EX84" i="71" s="1"/>
  <c r="EY71" i="71" l="1"/>
  <c r="EY73" i="71" s="1"/>
  <c r="EY74" i="71" l="1"/>
  <c r="EY103" i="71" s="1"/>
  <c r="EY102" i="71"/>
  <c r="EY75" i="71" l="1"/>
  <c r="EY148" i="71" s="1"/>
  <c r="EZ71" i="71" s="1"/>
  <c r="EY104" i="71" l="1"/>
  <c r="EY76" i="71"/>
  <c r="EY84" i="71" s="1"/>
  <c r="EZ73" i="71" l="1"/>
  <c r="EZ102" i="71" l="1"/>
  <c r="EZ74" i="71"/>
  <c r="EZ103" i="71" s="1"/>
  <c r="EZ75" i="71" l="1"/>
  <c r="EZ76" i="71" l="1"/>
  <c r="EZ148" i="71"/>
  <c r="EZ104" i="71"/>
  <c r="FA71" i="71" l="1"/>
  <c r="FA73" i="71" s="1"/>
  <c r="FA102" i="71" l="1"/>
  <c r="FA74" i="71"/>
  <c r="FA103" i="71" s="1"/>
  <c r="FA75" i="71"/>
  <c r="FA76" i="71" l="1"/>
  <c r="FA104" i="71"/>
  <c r="FA148" i="71"/>
  <c r="FB71" i="71" s="1"/>
  <c r="FB73" i="71" s="1"/>
  <c r="FB74" i="71" l="1"/>
  <c r="FB103" i="71" s="1"/>
  <c r="FB75" i="71"/>
  <c r="FB102" i="71"/>
  <c r="FB148" i="71" l="1"/>
  <c r="FB76" i="71"/>
  <c r="FB104" i="71"/>
  <c r="FC71" i="71" l="1"/>
  <c r="FC73" i="71" s="1"/>
  <c r="FC102" i="71" l="1"/>
  <c r="FC74" i="71"/>
  <c r="FC103" i="71" s="1"/>
  <c r="FC75" i="71"/>
  <c r="FC76" i="71" l="1"/>
  <c r="FC104" i="71"/>
  <c r="FC148" i="71"/>
  <c r="FD71" i="71" l="1"/>
  <c r="FD73" i="71" s="1"/>
  <c r="FD74" i="71" s="1"/>
  <c r="FD75" i="71" s="1"/>
  <c r="FD148" i="71" s="1"/>
  <c r="FE71" i="71" l="1"/>
  <c r="FE73" i="71" s="1"/>
  <c r="FE74" i="71" s="1"/>
  <c r="FE75" i="71" s="1"/>
  <c r="FE76" i="71" s="1"/>
  <c r="FD76" i="71"/>
  <c r="FE148" i="71" l="1"/>
  <c r="FF71" i="71" l="1"/>
  <c r="FF73" i="71" s="1"/>
  <c r="FF74" i="71" s="1"/>
  <c r="FF75" i="71" s="1"/>
  <c r="FF148" i="71" s="1"/>
  <c r="FG71" i="71" l="1"/>
  <c r="FG73" i="71" s="1"/>
  <c r="FG74" i="71" s="1"/>
  <c r="FG75" i="71" s="1"/>
  <c r="FG76" i="71" s="1"/>
  <c r="FG148" i="71"/>
  <c r="FF76" i="71"/>
  <c r="FH71" i="71" l="1"/>
  <c r="FH73" i="71" s="1"/>
  <c r="FH74" i="71" s="1"/>
  <c r="FH75" i="71" s="1"/>
  <c r="FH76" i="71" s="1"/>
  <c r="FH148" i="71" l="1"/>
  <c r="FI71" i="71" l="1"/>
  <c r="FI73" i="71" s="1"/>
  <c r="FI74" i="71" s="1"/>
  <c r="FI75" i="71" s="1"/>
  <c r="FI76" i="71" s="1"/>
  <c r="FI148" i="71"/>
  <c r="FJ71" i="71" l="1"/>
  <c r="FJ73" i="71" s="1"/>
  <c r="FJ74" i="71" s="1"/>
  <c r="FJ75" i="71" s="1"/>
  <c r="FJ148" i="71"/>
  <c r="FJ76" i="71" l="1"/>
  <c r="FK75" i="71"/>
  <c r="FL75" i="71" s="1"/>
  <c r="FM75" i="71" s="1"/>
  <c r="FN75" i="71" s="1"/>
  <c r="FO75" i="71" s="1"/>
  <c r="FP75" i="71" s="1"/>
  <c r="FQ75" i="71" s="1"/>
  <c r="FR75" i="71" s="1"/>
  <c r="FS75" i="71" s="1"/>
  <c r="FT75" i="71" s="1"/>
  <c r="FU75" i="71" s="1"/>
  <c r="FV75" i="71" s="1"/>
  <c r="FW75" i="71" s="1"/>
  <c r="FX75" i="71" s="1"/>
  <c r="FY75" i="71" s="1"/>
  <c r="FZ75" i="71" s="1"/>
  <c r="GA75" i="71" s="1"/>
  <c r="GB75" i="71" s="1"/>
  <c r="GC75" i="71" s="1"/>
  <c r="GD75" i="71" s="1"/>
  <c r="GE75" i="71" s="1"/>
  <c r="GF75" i="71" s="1"/>
  <c r="GG75" i="71" s="1"/>
  <c r="GH75" i="71" s="1"/>
  <c r="GI75" i="71" s="1"/>
  <c r="GJ75" i="71" s="1"/>
  <c r="GK75" i="71" s="1"/>
  <c r="GL75" i="71" s="1"/>
  <c r="GM75" i="71" s="1"/>
  <c r="GN75" i="71" s="1"/>
  <c r="GO75" i="71" s="1"/>
  <c r="GP75" i="71" s="1"/>
  <c r="GQ75" i="71" s="1"/>
  <c r="GR75" i="71" s="1"/>
  <c r="GS75" i="71" s="1"/>
  <c r="GT75" i="71" s="1"/>
  <c r="GU75" i="71" s="1"/>
  <c r="GV75" i="71" s="1"/>
  <c r="GW75" i="71" s="1"/>
  <c r="GX75" i="71" s="1"/>
  <c r="GY75" i="71" s="1"/>
  <c r="GZ75" i="71" s="1"/>
  <c r="HA75" i="71" s="1"/>
  <c r="HB75" i="71" s="1"/>
  <c r="HC75" i="71" s="1"/>
  <c r="HD75" i="71" s="1"/>
  <c r="HE75" i="71" s="1"/>
  <c r="HF75" i="71" s="1"/>
  <c r="HG75" i="71" s="1"/>
  <c r="HH75" i="71" s="1"/>
  <c r="HI75" i="71" s="1"/>
  <c r="HJ75" i="71" s="1"/>
  <c r="HK75" i="71" s="1"/>
  <c r="HL75" i="71" s="1"/>
  <c r="HM75" i="71" s="1"/>
  <c r="HN75" i="71" s="1"/>
  <c r="HO75" i="71" s="1"/>
  <c r="HP75" i="71" s="1"/>
  <c r="HQ75" i="71" s="1"/>
  <c r="HR75" i="71" s="1"/>
  <c r="HS75" i="71" s="1"/>
  <c r="HT75" i="71" s="1"/>
  <c r="HU75" i="71" s="1"/>
  <c r="HV75" i="71" s="1"/>
  <c r="HW75" i="71" s="1"/>
  <c r="HX75" i="71" s="1"/>
  <c r="HY75" i="71" s="1"/>
  <c r="HZ75" i="71" s="1"/>
  <c r="IA75" i="71" s="1"/>
  <c r="IB75" i="71" s="1"/>
  <c r="IC75" i="71" s="1"/>
  <c r="ID75" i="71" s="1"/>
  <c r="IE75" i="71" s="1"/>
  <c r="IF75" i="71" s="1"/>
  <c r="IG75" i="71" s="1"/>
  <c r="IH75" i="71" s="1"/>
  <c r="II75" i="71" s="1"/>
  <c r="IJ75" i="71" s="1"/>
  <c r="IK75" i="71" s="1"/>
  <c r="IL75" i="71" s="1"/>
  <c r="IM75" i="71" s="1"/>
  <c r="IN75" i="71" s="1"/>
  <c r="IO75" i="71" s="1"/>
  <c r="IP75" i="71" s="1"/>
  <c r="IQ75" i="71" s="1"/>
  <c r="IR75" i="71" s="1"/>
  <c r="IS75" i="71" s="1"/>
  <c r="IT75" i="71" s="1"/>
  <c r="IU75" i="71" s="1"/>
  <c r="IV75" i="71" s="1"/>
  <c r="IW75" i="71" s="1"/>
  <c r="IX75" i="71" s="1"/>
  <c r="IY75" i="71" s="1"/>
  <c r="IZ75" i="71" s="1"/>
  <c r="JA75" i="71" s="1"/>
  <c r="JB75" i="71" s="1"/>
  <c r="JC75" i="71" s="1"/>
  <c r="JD75" i="71" s="1"/>
  <c r="JE75" i="71" s="1"/>
  <c r="JF75" i="71" s="1"/>
  <c r="JG75" i="71" s="1"/>
  <c r="JH75" i="71" s="1"/>
  <c r="JI75" i="71" s="1"/>
  <c r="JJ75" i="71" s="1"/>
  <c r="FN85" i="71" s="1"/>
  <c r="FN86" i="7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tc={375D979C-5CD6-484F-ACE5-CBB0EC4CC96F}</author>
  </authors>
  <commentList>
    <comment ref="G99" authorId="0" shapeId="0" xr:uid="{375D979C-5CD6-484F-ACE5-CBB0EC4CC96F}">
      <text>
        <t>[Threaded comment]
Your version of Excel allows you to read this threaded comment; however, any edits to it will get removed if the file is opened in a newer version of Excel. Learn more: https://go.microsoft.com/fwlink/?linkid=870924
Comment:
    licensed from IDIA</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MSMB - Andre</author>
    <author>MLB</author>
  </authors>
  <commentList>
    <comment ref="J24" authorId="0" shapeId="0" xr:uid="{00000000-0006-0000-2B00-000001000000}">
      <text>
        <r>
          <rPr>
            <b/>
            <sz val="9"/>
            <color indexed="81"/>
            <rFont val="Tahoma"/>
            <family val="2"/>
          </rPr>
          <t>MSMB - Andre:</t>
        </r>
        <r>
          <rPr>
            <sz val="9"/>
            <color indexed="81"/>
            <rFont val="Tahoma"/>
            <family val="2"/>
          </rPr>
          <t xml:space="preserve">
ex Cypher +10% operationally</t>
        </r>
      </text>
    </comment>
    <comment ref="K63" authorId="1" shapeId="0" xr:uid="{00000000-0006-0000-2B00-000002000000}">
      <text>
        <r>
          <rPr>
            <sz val="8"/>
            <color indexed="8"/>
            <rFont val="Times New Roman"/>
            <family val="1"/>
          </rPr>
          <t>See JPM Stent Market Model for detailed assumptions.</t>
        </r>
      </text>
    </comment>
    <comment ref="L63" authorId="1" shapeId="0" xr:uid="{00000000-0006-0000-2B00-000003000000}">
      <text>
        <r>
          <rPr>
            <sz val="8"/>
            <color indexed="8"/>
            <rFont val="Times New Roman"/>
            <family val="1"/>
          </rPr>
          <t>See JPM Stent Market Model for detailed assumptions.</t>
        </r>
      </text>
    </comment>
    <comment ref="M63" authorId="1" shapeId="0" xr:uid="{00000000-0006-0000-2B00-000004000000}">
      <text>
        <r>
          <rPr>
            <sz val="8"/>
            <color indexed="8"/>
            <rFont val="Times New Roman"/>
            <family val="1"/>
          </rPr>
          <t>See JPM Stent Market Model for detailed assumptions.</t>
        </r>
      </text>
    </comment>
    <comment ref="N63" authorId="1" shapeId="0" xr:uid="{00000000-0006-0000-2B00-000005000000}">
      <text>
        <r>
          <rPr>
            <sz val="8"/>
            <color indexed="8"/>
            <rFont val="Times New Roman"/>
            <family val="1"/>
          </rPr>
          <t>See JPM Stent Market Model for detailed assumptions.</t>
        </r>
      </text>
    </comment>
    <comment ref="K64" authorId="1" shapeId="0" xr:uid="{00000000-0006-0000-2B00-000006000000}">
      <text>
        <r>
          <rPr>
            <sz val="8"/>
            <color indexed="8"/>
            <rFont val="Times New Roman"/>
            <family val="1"/>
          </rPr>
          <t>Assumes 3Q'04 approval for Cypher in Japan.</t>
        </r>
      </text>
    </comment>
    <comment ref="L66" authorId="1" shapeId="0" xr:uid="{00000000-0006-0000-2B00-000007000000}">
      <text>
        <r>
          <rPr>
            <sz val="8"/>
            <color indexed="8"/>
            <rFont val="Times New Roman"/>
            <family val="1"/>
          </rPr>
          <t>Assumes carotid stent approval 2H04.</t>
        </r>
      </text>
    </comment>
    <comment ref="K71" authorId="1" shapeId="0" xr:uid="{00000000-0006-0000-2B00-000008000000}">
      <text>
        <r>
          <rPr>
            <sz val="8"/>
            <color indexed="8"/>
            <rFont val="Times New Roman"/>
            <family val="1"/>
          </rPr>
          <t>21% operational growth Q1</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H25" authorId="0" shapeId="0" xr:uid="{00000000-0006-0000-2C00-000001000000}">
      <text>
        <r>
          <rPr>
            <sz val="8"/>
            <color indexed="8"/>
            <rFont val="Times New Roman"/>
            <family val="1"/>
          </rPr>
          <t xml:space="preserve">Revenues from the Advanced Sterilization Products and Vascular Access businesses were transferred from J&amp;J Medical. Both businesses have been growing at double-digit rates off of a small base.
</t>
        </r>
      </text>
    </comment>
    <comment ref="K25" authorId="0" shapeId="0" xr:uid="{00000000-0006-0000-2C00-000002000000}">
      <text>
        <r>
          <rPr>
            <sz val="8"/>
            <color indexed="8"/>
            <rFont val="Times New Roman"/>
            <family val="1"/>
          </rPr>
          <t>Divestiture of Jelco catheter business May 03</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22" authorId="0" shapeId="0" xr:uid="{00000000-0006-0000-2D00-000001000000}">
      <text>
        <r>
          <rPr>
            <sz val="8"/>
            <color indexed="8"/>
            <rFont val="Times New Roman"/>
            <family val="1"/>
          </rPr>
          <t>Wound Management revenues were transferred from J&amp;J Medical. Business has been growing in the low to mid-single digits.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J15" authorId="0" shapeId="0" xr:uid="{00000000-0006-0000-0C00-000001000000}">
      <text>
        <r>
          <rPr>
            <b/>
            <sz val="8"/>
            <color indexed="81"/>
            <rFont val="Tahoma"/>
            <family val="2"/>
          </rPr>
          <t>Martin Shkreli:</t>
        </r>
        <r>
          <rPr>
            <sz val="8"/>
            <color indexed="81"/>
            <rFont val="Tahoma"/>
            <family val="2"/>
          </rPr>
          <t xml:space="preserve">
Bear estimate of 1,426m from 2005</t>
        </r>
      </text>
    </comment>
    <comment ref="K15" authorId="0" shapeId="0" xr:uid="{00000000-0006-0000-0C00-000002000000}">
      <text>
        <r>
          <rPr>
            <b/>
            <sz val="8"/>
            <color indexed="81"/>
            <rFont val="Tahoma"/>
            <family val="2"/>
          </rPr>
          <t>Martin Shkreli:</t>
        </r>
        <r>
          <rPr>
            <sz val="8"/>
            <color indexed="81"/>
            <rFont val="Tahoma"/>
            <family val="2"/>
          </rPr>
          <t xml:space="preserve">
1501 Bear estimate from 2005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author>
    <author>MLB</author>
  </authors>
  <commentList>
    <comment ref="E8" authorId="0" shapeId="0" xr:uid="{00000000-0006-0000-0600-000002000000}">
      <text>
        <r>
          <rPr>
            <b/>
            <sz val="9"/>
            <color indexed="81"/>
            <rFont val="Tahoma"/>
            <family val="2"/>
          </rPr>
          <t>Martin:</t>
        </r>
        <r>
          <rPr>
            <sz val="9"/>
            <color indexed="81"/>
            <rFont val="Tahoma"/>
            <family val="2"/>
          </rPr>
          <t xml:space="preserve">
Approved 11/4/11</t>
        </r>
      </text>
    </comment>
    <comment ref="H13" authorId="1" shapeId="0" xr:uid="{00000000-0006-0000-0600-000001000000}">
      <text>
        <r>
          <rPr>
            <b/>
            <sz val="8"/>
            <color indexed="8"/>
            <rFont val="Times New Roman"/>
            <family val="1"/>
          </rPr>
          <t xml:space="preserve">Andre:
</t>
        </r>
        <r>
          <rPr>
            <sz val="8"/>
            <color indexed="8"/>
            <rFont val="Times New Roman"/>
            <family val="1"/>
          </rPr>
          <t>Original pagent expired 2004, but two new patents have been issued that expire 2017. FDA has yet to approve any generic version.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MSMB - Andre</author>
    <author>tc={8B1BB5B4-96BA-41A3-8049-B55FA378A497}</author>
    <author>Martin Shkreli</author>
    <author>MLB</author>
    <author>MSMB</author>
    <author>Martin</author>
    <author>tc={87F7743F-B7B2-484F-9ABD-F302B651F898}</author>
    <author xml:space="preserve"> </author>
    <author>tc={34DF051C-31EC-4409-B559-ECF7BE9695E2}</author>
    <author>tc={09415B71-5A1E-457F-90C5-2E69EE8C7031}</author>
    <author>tc={01972993-60CD-4A33-A5E6-796102B7B8F4}</author>
    <author>tc={6E621430-D336-4CDD-B049-05C621427378}</author>
    <author>tc={F129B24E-0080-493A-983B-7A528450F0B2}</author>
    <author>Marek Biestek</author>
    <author>tc={CDD2B99A-00BA-4EA8-B675-536C08C434B4}</author>
    <author>tc={499E966A-6B85-4512-A7AB-E65284C32D4B}</author>
    <author>RBC</author>
    <author>tc={E7F0D7A6-EE22-43A1-B4A6-C9D75BE5A1EB}</author>
    <author>tc={A3206388-7B58-4567-90FD-49B826FAE6FB}</author>
    <author>tc={C96DF80E-DB02-49F1-A10F-FA660591CCDB}</author>
    <author>tc={D4E15153-68A6-45BA-A7A9-B7478B48B6DE}</author>
    <author>tc={4DB783BB-D4CA-476A-8111-7E0E945FB149}</author>
    <author>tc={8DFE66A4-8ABE-4D82-9EB1-696F5E7D611D}</author>
    <author>tc={3494F573-46D4-4E53-A253-04C304315026}</author>
    <author>tc={D4AB6CA5-1D56-4651-98CE-4220E7D81D4C}</author>
    <author>tc={D8FE38F6-D7D6-460E-9D87-73CEBFFA1B4E}</author>
    <author>tc={B0274F3D-4C01-427B-BAEB-F305023327D6}</author>
    <author>tc={4074C536-E10D-4126-A24D-0AAC46FA4222}</author>
    <author>tc={3B857DD8-37A9-4E26-BCDD-046757882E93}</author>
    <author>tc={B7BA8C1E-B644-44F8-9BA7-BB394878E543}</author>
    <author>tc={63A708B9-BA0C-4642-96F6-C56EB7E6BA48}</author>
    <author>tc={81B591DD-1FF9-411C-BAA6-4375EF42A02A}</author>
    <author>tc={17B6C408-6627-42FF-9ADC-D78B6E22BBFE}</author>
    <author>tc={2B6993CA-2FE9-424C-A2AB-7F7A198D76A3}</author>
    <author>tc={7C8EB3EA-9F68-4382-B912-52A378943493}</author>
    <author>tc={97C52B0D-8BC9-4BBC-9350-037D6E02FA16}</author>
    <author>tc={A6B1AE65-7C0C-4941-91EE-ACEB2687BFB0}</author>
    <author>tc={6D6FCDAD-D5A2-4FD0-B2FF-F3F42C14E7F2}</author>
    <author>tc={F70AD04F-B9D4-4CB9-B097-57425D52099B}</author>
    <author>tc={20726B22-689A-4361-A90E-379BEBA561A2}</author>
    <author>tc={BC3D4B04-C7B0-4F80-80CD-57FBE3F8501B}</author>
    <author>tc={E6348EFC-440C-4293-AB93-3C9CF0C1D22D}</author>
    <author>tc={E2E41AA0-40DB-4996-B9AC-68C5F5B416A4}</author>
    <author>tc={3914D8D0-C1CC-4713-8C4B-D6B4902A1DB5}</author>
    <author>tc={57A98D57-1151-4549-BB71-45A70090615A}</author>
    <author>tc={D7D0FEAC-BD98-4AF1-AF71-FD17A1AD0FC2}</author>
    <author>tc={1EB83523-8F14-4259-A556-7AEDAE7F7981}</author>
    <author>tc={D6788F96-B571-4606-A723-15B6B28134D7}</author>
    <author>tc={D831ACBC-24BA-48CB-B852-D2FD856C1AA9}</author>
    <author>tc={FB29B332-ABE4-40F3-9424-4509BB9707B1}</author>
    <author>tc={AB2FD171-4878-4785-9CC6-E5E6981B40E8}</author>
    <author>tc={DF9141A9-C917-4FCC-ACAB-81BC3B8FBDC3}</author>
    <author>tc={38B02D27-96B4-4C61-A1A4-2D8D3DA05C55}</author>
    <author>tc={14B8FD79-CE1E-46F9-9F8A-B2BFC85FF655}</author>
    <author>tc={47E31BE2-838E-4EBA-9A38-C2759A423A09}</author>
    <author>tc={F334ADFF-6994-46CA-BD6D-7E5F03FAEE05}</author>
  </authors>
  <commentList>
    <comment ref="BB2" authorId="0" shapeId="0" xr:uid="{00000000-0006-0000-0700-000001000000}">
      <text>
        <r>
          <rPr>
            <sz val="9"/>
            <color indexed="81"/>
            <rFont val="Tahoma"/>
            <family val="2"/>
          </rPr>
          <t>53rd week</t>
        </r>
      </text>
    </comment>
    <comment ref="I3" authorId="1" shapeId="0" xr:uid="{8B1BB5B4-96BA-41A3-8049-B55FA378A497}">
      <text>
        <t>[Threaded comment]
Your version of Excel allows you to read this threaded comment; however, any edits to it will get removed if the file is opened in a newer version of Excel. Learn more: https://go.microsoft.com/fwlink/?linkid=870924
Comment:
    8/24/1998 FDA approval</t>
      </text>
    </comment>
    <comment ref="O3" authorId="2" shapeId="0" xr:uid="{00000000-0006-0000-0700-000002000000}">
      <text>
        <r>
          <rPr>
            <b/>
            <sz val="8"/>
            <color indexed="81"/>
            <rFont val="Tahoma"/>
            <family val="2"/>
          </rPr>
          <t>Martin Shkreli:</t>
        </r>
        <r>
          <rPr>
            <sz val="8"/>
            <color indexed="81"/>
            <rFont val="Tahoma"/>
            <family val="2"/>
          </rPr>
          <t xml:space="preserve">
GS actual
Bear actual</t>
        </r>
      </text>
    </comment>
    <comment ref="P3" authorId="2" shapeId="0" xr:uid="{00000000-0006-0000-0700-000003000000}">
      <text>
        <r>
          <rPr>
            <b/>
            <sz val="8"/>
            <color indexed="81"/>
            <rFont val="Tahoma"/>
            <family val="2"/>
          </rPr>
          <t>Martin Shkreli:</t>
        </r>
        <r>
          <rPr>
            <sz val="8"/>
            <color indexed="81"/>
            <rFont val="Tahoma"/>
            <family val="2"/>
          </rPr>
          <t xml:space="preserve">
GS actual 92
Bear actual 91</t>
        </r>
      </text>
    </comment>
    <comment ref="Q3" authorId="2" shapeId="0" xr:uid="{00000000-0006-0000-0700-000004000000}">
      <text>
        <r>
          <rPr>
            <b/>
            <sz val="8"/>
            <color indexed="81"/>
            <rFont val="Tahoma"/>
            <family val="2"/>
          </rPr>
          <t>Martin Shkreli:</t>
        </r>
        <r>
          <rPr>
            <sz val="8"/>
            <color indexed="81"/>
            <rFont val="Tahoma"/>
            <family val="2"/>
          </rPr>
          <t xml:space="preserve">
GS actual
Bear actual</t>
        </r>
      </text>
    </comment>
    <comment ref="R3" authorId="2" shapeId="0" xr:uid="{00000000-0006-0000-0700-000005000000}">
      <text>
        <r>
          <rPr>
            <b/>
            <sz val="8"/>
            <color indexed="81"/>
            <rFont val="Tahoma"/>
            <family val="2"/>
          </rPr>
          <t>Martin Shkreli:</t>
        </r>
        <r>
          <rPr>
            <sz val="8"/>
            <color indexed="81"/>
            <rFont val="Tahoma"/>
            <family val="2"/>
          </rPr>
          <t xml:space="preserve">
GS actual
Bear actual</t>
        </r>
      </text>
    </comment>
    <comment ref="U3" authorId="2" shapeId="0" xr:uid="{00000000-0006-0000-0700-000006000000}">
      <text>
        <r>
          <rPr>
            <b/>
            <sz val="8"/>
            <color indexed="81"/>
            <rFont val="Tahoma"/>
            <family val="2"/>
          </rPr>
          <t>Martin Shkreli:</t>
        </r>
        <r>
          <rPr>
            <sz val="8"/>
            <color indexed="81"/>
            <rFont val="Tahoma"/>
            <family val="2"/>
          </rPr>
          <t xml:space="preserve">
GS actual
GS estimate 134
Bear actual</t>
        </r>
      </text>
    </comment>
    <comment ref="AU3" authorId="3" shapeId="0" xr:uid="{00000000-0006-0000-0700-000007000000}">
      <text>
        <r>
          <rPr>
            <b/>
            <sz val="8"/>
            <color indexed="8"/>
            <rFont val="Times New Roman"/>
            <family val="1"/>
          </rPr>
          <t xml:space="preserve">BBerg:
</t>
        </r>
        <r>
          <rPr>
            <sz val="8"/>
            <color indexed="8"/>
            <rFont val="Times New Roman"/>
            <family val="1"/>
          </rPr>
          <t>shipment to SGP will reduce sales going fwd</t>
        </r>
      </text>
    </comment>
    <comment ref="AY3" authorId="2" shapeId="0" xr:uid="{00000000-0006-0000-0700-000008000000}">
      <text>
        <r>
          <rPr>
            <b/>
            <sz val="8"/>
            <color indexed="81"/>
            <rFont val="Tahoma"/>
            <family val="2"/>
          </rPr>
          <t>Martin Shkreli:</t>
        </r>
        <r>
          <rPr>
            <sz val="8"/>
            <color indexed="81"/>
            <rFont val="Tahoma"/>
            <family val="2"/>
          </rPr>
          <t xml:space="preserve">
-10% ex-US due to build, +20% without build</t>
        </r>
      </text>
    </comment>
    <comment ref="BD3" authorId="4" shapeId="0" xr:uid="{00000000-0006-0000-0700-000009000000}">
      <text>
        <r>
          <rPr>
            <b/>
            <sz val="9"/>
            <color indexed="81"/>
            <rFont val="Tahoma"/>
            <family val="2"/>
          </rPr>
          <t>MSMB:</t>
        </r>
        <r>
          <rPr>
            <sz val="9"/>
            <color indexed="81"/>
            <rFont val="Tahoma"/>
            <family val="2"/>
          </rPr>
          <t xml:space="preserve">
Losing share in the US
Inventory change adverse impact ex-US</t>
        </r>
      </text>
    </comment>
    <comment ref="BI3" authorId="5" shapeId="0" xr:uid="{00000000-0006-0000-0700-00000A000000}">
      <text>
        <r>
          <rPr>
            <b/>
            <sz val="9"/>
            <color indexed="81"/>
            <rFont val="Tahoma"/>
            <family val="2"/>
          </rPr>
          <t>Martin:</t>
        </r>
        <r>
          <rPr>
            <sz val="9"/>
            <color indexed="81"/>
            <rFont val="Tahoma"/>
            <family val="2"/>
          </rPr>
          <t xml:space="preserve">
New Remicade rights from MRK</t>
        </r>
      </text>
    </comment>
    <comment ref="DX3" authorId="6" shapeId="0" xr:uid="{87F7743F-B7B2-484F-9ABD-F302B651F898}">
      <text>
        <t>[Threaded comment]
Your version of Excel allows you to read this threaded comment; however, any edits to it will get removed if the file is opened in a newer version of Excel. Learn more: https://go.microsoft.com/fwlink/?linkid=870924
Comment:
    Filed</t>
      </text>
    </comment>
    <comment ref="DY3" authorId="2" shapeId="0" xr:uid="{00000000-0006-0000-0700-00000B000000}">
      <text>
        <r>
          <rPr>
            <b/>
            <sz val="8"/>
            <color indexed="81"/>
            <rFont val="Tahoma"/>
            <family val="2"/>
          </rPr>
          <t>Martin Shkreli:</t>
        </r>
        <r>
          <rPr>
            <sz val="8"/>
            <color indexed="81"/>
            <rFont val="Tahoma"/>
            <family val="2"/>
          </rPr>
          <t xml:space="preserve">
August approval in Crohn's.
JPM 28 / 0</t>
        </r>
      </text>
    </comment>
    <comment ref="DZ3" authorId="2" shapeId="0" xr:uid="{00000000-0006-0000-0700-00000C000000}">
      <text>
        <r>
          <rPr>
            <b/>
            <sz val="8"/>
            <color indexed="81"/>
            <rFont val="Tahoma"/>
            <family val="2"/>
          </rPr>
          <t>Martin Shkreli:</t>
        </r>
        <r>
          <rPr>
            <sz val="8"/>
            <color indexed="81"/>
            <rFont val="Tahoma"/>
            <family val="2"/>
          </rPr>
          <t xml:space="preserve">
Cowen 118
MS 102
Merrill actual 105
JPM 116 97/19
MS actual 116
GS actual 116
April 1 1999 - Label expanded for RA
Centocor acquired by J&amp;J</t>
        </r>
      </text>
    </comment>
    <comment ref="EA3" authorId="2" shapeId="0" xr:uid="{00000000-0006-0000-0700-00000D000000}">
      <text>
        <r>
          <rPr>
            <b/>
            <sz val="8"/>
            <color indexed="81"/>
            <rFont val="Tahoma"/>
            <family val="2"/>
          </rPr>
          <t>Martin Shkreli:</t>
        </r>
        <r>
          <rPr>
            <sz val="8"/>
            <color indexed="81"/>
            <rFont val="Tahoma"/>
            <family val="2"/>
          </rPr>
          <t xml:space="preserve">
304 MS actual
371 GS actual
370 official 304/66</t>
        </r>
      </text>
    </comment>
    <comment ref="EB3" authorId="2" shapeId="0" xr:uid="{00000000-0006-0000-0700-00000E000000}">
      <text>
        <r>
          <rPr>
            <b/>
            <sz val="8"/>
            <color indexed="81"/>
            <rFont val="Tahoma"/>
            <family val="2"/>
          </rPr>
          <t>Martin Shkreli:</t>
        </r>
        <r>
          <rPr>
            <sz val="8"/>
            <color indexed="81"/>
            <rFont val="Tahoma"/>
            <family val="2"/>
          </rPr>
          <t xml:space="preserve">
MS 722 actual
721 official</t>
        </r>
      </text>
    </comment>
    <comment ref="AZ4" authorId="2" shapeId="0" xr:uid="{00000000-0006-0000-0700-00000F000000}">
      <text>
        <r>
          <rPr>
            <b/>
            <sz val="8"/>
            <color indexed="81"/>
            <rFont val="Tahoma"/>
            <family val="2"/>
          </rPr>
          <t>Martin Shkreli:</t>
        </r>
        <r>
          <rPr>
            <sz val="8"/>
            <color indexed="81"/>
            <rFont val="Tahoma"/>
            <family val="2"/>
          </rPr>
          <t xml:space="preserve">
"Showing early promise" - JNJ
Cowen - "modest at best"
4/24/2009 approval</t>
        </r>
      </text>
    </comment>
    <comment ref="BA4" authorId="7" shapeId="0" xr:uid="{00000000-0006-0000-0700-000010000000}">
      <text>
        <r>
          <rPr>
            <sz val="8"/>
            <color indexed="81"/>
            <rFont val="Tahoma"/>
            <family val="2"/>
          </rPr>
          <t>JNJ Cowen meeting: Tracking at or slightly above management expectation</t>
        </r>
      </text>
    </comment>
    <comment ref="BE4" authorId="5" shapeId="0" xr:uid="{00000000-0006-0000-0700-000011000000}">
      <text>
        <r>
          <rPr>
            <b/>
            <sz val="9"/>
            <color indexed="81"/>
            <rFont val="Tahoma"/>
            <family val="2"/>
          </rPr>
          <t>Martin:</t>
        </r>
        <r>
          <rPr>
            <sz val="9"/>
            <color indexed="81"/>
            <rFont val="Tahoma"/>
            <family val="2"/>
          </rPr>
          <t xml:space="preserve">
60</t>
        </r>
      </text>
    </comment>
    <comment ref="EJ4" authorId="2" shapeId="0" xr:uid="{00000000-0006-0000-0700-000012000000}">
      <text>
        <r>
          <rPr>
            <b/>
            <sz val="8"/>
            <color indexed="81"/>
            <rFont val="Tahoma"/>
            <family val="2"/>
          </rPr>
          <t>Martin Shkreli:</t>
        </r>
        <r>
          <rPr>
            <sz val="8"/>
            <color indexed="81"/>
            <rFont val="Tahoma"/>
            <family val="2"/>
          </rPr>
          <t xml:space="preserve">
April: FDA approves
$66m Citi estimate
$180m ML estimate</t>
        </r>
      </text>
    </comment>
    <comment ref="EK4" authorId="2" shapeId="0" xr:uid="{00000000-0006-0000-0700-000013000000}">
      <text>
        <r>
          <rPr>
            <b/>
            <sz val="8"/>
            <color indexed="81"/>
            <rFont val="Tahoma"/>
            <family val="2"/>
          </rPr>
          <t>Martin Shkreli:</t>
        </r>
        <r>
          <rPr>
            <sz val="8"/>
            <color indexed="81"/>
            <rFont val="Tahoma"/>
            <family val="2"/>
          </rPr>
          <t xml:space="preserve">
$393m Citi estimate
$750m ML estimate</t>
        </r>
      </text>
    </comment>
    <comment ref="EL4" authorId="7" shapeId="0" xr:uid="{00000000-0006-0000-0700-000014000000}">
      <text>
        <r>
          <rPr>
            <sz val="8"/>
            <color indexed="81"/>
            <rFont val="Tahoma"/>
            <family val="2"/>
          </rPr>
          <t>970m ML estimate</t>
        </r>
      </text>
    </comment>
    <comment ref="EM4" authorId="7" shapeId="0" xr:uid="{00000000-0006-0000-0700-000015000000}">
      <text>
        <r>
          <rPr>
            <sz val="8"/>
            <color indexed="81"/>
            <rFont val="Tahoma"/>
            <family val="2"/>
          </rPr>
          <t>$1250m ML estimate</t>
        </r>
      </text>
    </comment>
    <comment ref="EN4" authorId="2" shapeId="0" xr:uid="{00000000-0006-0000-0700-000016000000}">
      <text>
        <r>
          <rPr>
            <b/>
            <sz val="8"/>
            <color indexed="81"/>
            <rFont val="Tahoma"/>
            <family val="2"/>
          </rPr>
          <t>Martin Shkreli:</t>
        </r>
        <r>
          <rPr>
            <sz val="8"/>
            <color indexed="81"/>
            <rFont val="Tahoma"/>
            <family val="2"/>
          </rPr>
          <t xml:space="preserve">
1091m Piper est</t>
        </r>
      </text>
    </comment>
    <comment ref="CG5" authorId="8" shapeId="0" xr:uid="{34DF051C-31EC-4409-B559-ECF7BE9695E2}">
      <text>
        <t>[Threaded comment]
Your version of Excel allows you to read this threaded comment; however, any edits to it will get removed if the file is opened in a newer version of Excel. Learn more: https://go.microsoft.com/fwlink/?linkid=870924
Comment:
    7/13/17 FDA approval</t>
      </text>
    </comment>
    <comment ref="AZ6" authorId="2" shapeId="0" xr:uid="{00000000-0006-0000-0700-000017000000}">
      <text>
        <r>
          <rPr>
            <b/>
            <sz val="8"/>
            <color indexed="81"/>
            <rFont val="Tahoma"/>
            <family val="2"/>
          </rPr>
          <t>Martin Shkreli:</t>
        </r>
        <r>
          <rPr>
            <sz val="8"/>
            <color indexed="81"/>
            <rFont val="Tahoma"/>
            <family val="2"/>
          </rPr>
          <t xml:space="preserve">
#1 new patient share leader for biologics in Canada</t>
        </r>
      </text>
    </comment>
    <comment ref="EJ6" authorId="2" shapeId="0" xr:uid="{00000000-0006-0000-0700-000018000000}">
      <text>
        <r>
          <rPr>
            <b/>
            <sz val="8"/>
            <color indexed="81"/>
            <rFont val="Tahoma"/>
            <family val="2"/>
          </rPr>
          <t>Martin Shkreli:</t>
        </r>
        <r>
          <rPr>
            <sz val="8"/>
            <color indexed="81"/>
            <rFont val="Tahoma"/>
            <family val="2"/>
          </rPr>
          <t xml:space="preserve">
Early 2009 approval in EU/Canada
Citigroup $16m estimate
UBS $77m estimate</t>
        </r>
      </text>
    </comment>
    <comment ref="EK6" authorId="2" shapeId="0" xr:uid="{00000000-0006-0000-0700-000019000000}">
      <text>
        <r>
          <rPr>
            <b/>
            <sz val="8"/>
            <color indexed="81"/>
            <rFont val="Tahoma"/>
            <family val="2"/>
          </rPr>
          <t>Martin Shkreli:</t>
        </r>
        <r>
          <rPr>
            <sz val="8"/>
            <color indexed="81"/>
            <rFont val="Tahoma"/>
            <family val="2"/>
          </rPr>
          <t xml:space="preserve">
Citigroup 244m</t>
        </r>
      </text>
    </comment>
    <comment ref="EM6" authorId="2" shapeId="0" xr:uid="{00000000-0006-0000-0700-00001A000000}">
      <text>
        <r>
          <rPr>
            <b/>
            <sz val="8"/>
            <color indexed="81"/>
            <rFont val="Tahoma"/>
            <family val="2"/>
          </rPr>
          <t>Martin Shkreli:</t>
        </r>
        <r>
          <rPr>
            <sz val="8"/>
            <color indexed="81"/>
            <rFont val="Tahoma"/>
            <family val="2"/>
          </rPr>
          <t xml:space="preserve">
639m MS est</t>
        </r>
      </text>
    </comment>
    <comment ref="EN6" authorId="2" shapeId="0" xr:uid="{00000000-0006-0000-0700-00001B000000}">
      <text>
        <r>
          <rPr>
            <b/>
            <sz val="8"/>
            <color indexed="81"/>
            <rFont val="Tahoma"/>
            <family val="2"/>
          </rPr>
          <t>Martin Shkreli:</t>
        </r>
        <r>
          <rPr>
            <sz val="8"/>
            <color indexed="81"/>
            <rFont val="Tahoma"/>
            <family val="2"/>
          </rPr>
          <t xml:space="preserve">
$740m UBS estimate
$112m Piper estimate</t>
        </r>
      </text>
    </comment>
    <comment ref="EZ6" authorId="9" shapeId="0" xr:uid="{09415B71-5A1E-457F-90C5-2E69EE8C7031}">
      <text>
        <t>[Threaded comment]
Your version of Excel allows you to read this threaded comment; however, any edits to it will get removed if the file is opened in a newer version of Excel. Learn more: https://go.microsoft.com/fwlink/?linkid=870924
Comment:
    Biosimilar in January!</t>
      </text>
    </comment>
    <comment ref="B8" authorId="3" shapeId="0" xr:uid="{00000000-0006-0000-0700-00001C000000}">
      <text>
        <r>
          <rPr>
            <b/>
            <sz val="8"/>
            <color indexed="8"/>
            <rFont val="Arial"/>
            <family val="2"/>
          </rPr>
          <t xml:space="preserve">Martin Shkreli:
</t>
        </r>
        <r>
          <rPr>
            <sz val="8"/>
            <color indexed="8"/>
            <rFont val="Arial"/>
            <family val="2"/>
          </rPr>
          <t>Includes pediatric
Risperdal 1994 approval</t>
        </r>
      </text>
    </comment>
    <comment ref="AC8" authorId="2" shapeId="0" xr:uid="{00000000-0006-0000-0700-00001D000000}">
      <text>
        <r>
          <rPr>
            <b/>
            <sz val="8"/>
            <color indexed="81"/>
            <rFont val="Tahoma"/>
            <family val="2"/>
          </rPr>
          <t>Martin Shkreli:</t>
        </r>
        <r>
          <rPr>
            <sz val="8"/>
            <color indexed="81"/>
            <rFont val="Tahoma"/>
            <family val="2"/>
          </rPr>
          <t xml:space="preserve">
Destocking</t>
        </r>
      </text>
    </comment>
    <comment ref="AR8" authorId="3" shapeId="0" xr:uid="{00000000-0006-0000-0700-00001E000000}">
      <text>
        <r>
          <rPr>
            <b/>
            <sz val="8"/>
            <color indexed="8"/>
            <rFont val="Times New Roman"/>
            <family val="1"/>
          </rPr>
          <t xml:space="preserve">Martin Shkreli:
</t>
        </r>
        <r>
          <rPr>
            <sz val="8"/>
            <color indexed="8"/>
            <rFont val="Times New Roman"/>
            <family val="1"/>
          </rPr>
          <t>Impacted by generic Risperdal ex-US</t>
        </r>
      </text>
    </comment>
    <comment ref="AS8" authorId="3" shapeId="0" xr:uid="{00000000-0006-0000-0700-00001F000000}">
      <text>
        <r>
          <rPr>
            <b/>
            <sz val="8"/>
            <color indexed="8"/>
            <rFont val="Times New Roman"/>
            <family val="1"/>
          </rPr>
          <t xml:space="preserve">Martin Shkreli:
</t>
        </r>
        <r>
          <rPr>
            <sz val="8"/>
            <color indexed="8"/>
            <rFont val="Times New Roman"/>
            <family val="1"/>
          </rPr>
          <t>When did ex-US generic Risperdal become available? What impact for Q3?
7% px increase August</t>
        </r>
      </text>
    </comment>
    <comment ref="AT8" authorId="3" shapeId="0" xr:uid="{00000000-0006-0000-0700-000020000000}">
      <text>
        <r>
          <rPr>
            <b/>
            <sz val="8"/>
            <color indexed="8"/>
            <rFont val="Times New Roman"/>
            <family val="1"/>
          </rPr>
          <t xml:space="preserve">Bloomberg:
</t>
        </r>
        <r>
          <rPr>
            <sz val="8"/>
            <color indexed="8"/>
            <rFont val="Times New Roman"/>
            <family val="1"/>
          </rPr>
          <t>7% px increase in August
Consta 294, Invega ~56</t>
        </r>
      </text>
    </comment>
    <comment ref="DU8" authorId="2" shapeId="0" xr:uid="{00000000-0006-0000-0700-000021000000}">
      <text>
        <r>
          <rPr>
            <b/>
            <sz val="8"/>
            <color indexed="81"/>
            <rFont val="Tahoma"/>
            <family val="2"/>
          </rPr>
          <t>Martin Shkreli:</t>
        </r>
        <r>
          <rPr>
            <sz val="8"/>
            <color indexed="81"/>
            <rFont val="Tahoma"/>
            <family val="2"/>
          </rPr>
          <t xml:space="preserve">
&gt;100m in Q2/Q3</t>
        </r>
      </text>
    </comment>
    <comment ref="DV8" authorId="2" shapeId="0" xr:uid="{00000000-0006-0000-0700-000022000000}">
      <text>
        <r>
          <rPr>
            <b/>
            <sz val="8"/>
            <color indexed="81"/>
            <rFont val="Tahoma"/>
            <family val="2"/>
          </rPr>
          <t>Martin Shkreli:</t>
        </r>
        <r>
          <rPr>
            <sz val="8"/>
            <color indexed="81"/>
            <rFont val="Tahoma"/>
            <family val="2"/>
          </rPr>
          <t xml:space="preserve">
450 Pru
508 JPM 378/130</t>
        </r>
      </text>
    </comment>
    <comment ref="DW8" authorId="2" shapeId="0" xr:uid="{00000000-0006-0000-0700-000023000000}">
      <text>
        <r>
          <rPr>
            <b/>
            <sz val="8"/>
            <color indexed="81"/>
            <rFont val="Tahoma"/>
            <family val="2"/>
          </rPr>
          <t>Martin Shkreli:</t>
        </r>
        <r>
          <rPr>
            <sz val="8"/>
            <color indexed="81"/>
            <rFont val="Tahoma"/>
            <family val="2"/>
          </rPr>
          <t xml:space="preserve">
655 Bear
693 Pru, JPM 505/188</t>
        </r>
      </text>
    </comment>
    <comment ref="DX8" authorId="2" shapeId="0" xr:uid="{00000000-0006-0000-0700-000024000000}">
      <text>
        <r>
          <rPr>
            <b/>
            <sz val="8"/>
            <color indexed="81"/>
            <rFont val="Tahoma"/>
            <family val="2"/>
          </rPr>
          <t>Martin Shkreli:</t>
        </r>
        <r>
          <rPr>
            <sz val="8"/>
            <color indexed="81"/>
            <rFont val="Tahoma"/>
            <family val="2"/>
          </rPr>
          <t xml:space="preserve">
853 Bear
859 Pru
856 JPM 591/265</t>
        </r>
      </text>
    </comment>
    <comment ref="DY8" authorId="2" shapeId="0" xr:uid="{00000000-0006-0000-0700-000025000000}">
      <text>
        <r>
          <rPr>
            <b/>
            <sz val="8"/>
            <color indexed="81"/>
            <rFont val="Tahoma"/>
            <family val="2"/>
          </rPr>
          <t>Martin Shkreli:</t>
        </r>
        <r>
          <rPr>
            <sz val="8"/>
            <color indexed="81"/>
            <rFont val="Tahoma"/>
            <family val="2"/>
          </rPr>
          <t xml:space="preserve">
1015 Bear
1023 Pru
1014/5 JPM 697/318
1012 ?</t>
        </r>
      </text>
    </comment>
    <comment ref="DZ8" authorId="2" shapeId="0" xr:uid="{00000000-0006-0000-0700-000026000000}">
      <text>
        <r>
          <rPr>
            <b/>
            <sz val="8"/>
            <color indexed="81"/>
            <rFont val="Tahoma"/>
            <family val="2"/>
          </rPr>
          <t>Martin Shkreli:</t>
        </r>
        <r>
          <rPr>
            <sz val="8"/>
            <color indexed="81"/>
            <rFont val="Tahoma"/>
            <family val="2"/>
          </rPr>
          <t xml:space="preserve">
1360 Merrill
1346 Merrill 2
1325 Bear
1328 JPM 892/436</t>
        </r>
      </text>
    </comment>
    <comment ref="EA8" authorId="2" shapeId="0" xr:uid="{00000000-0006-0000-0700-000027000000}">
      <text>
        <r>
          <rPr>
            <b/>
            <sz val="8"/>
            <color indexed="81"/>
            <rFont val="Tahoma"/>
            <family val="2"/>
          </rPr>
          <t>Martin Shkreli:</t>
        </r>
        <r>
          <rPr>
            <sz val="8"/>
            <color indexed="81"/>
            <rFont val="Tahoma"/>
            <family val="2"/>
          </rPr>
          <t xml:space="preserve">
JPM 1084/520</t>
        </r>
      </text>
    </comment>
    <comment ref="AU9" authorId="3" shapeId="0" xr:uid="{00000000-0006-0000-0700-000028000000}">
      <text>
        <r>
          <rPr>
            <b/>
            <sz val="8"/>
            <color indexed="8"/>
            <rFont val="Times New Roman"/>
            <family val="1"/>
          </rPr>
          <t xml:space="preserve">BBerg:
</t>
        </r>
        <r>
          <rPr>
            <sz val="8"/>
            <color indexed="8"/>
            <rFont val="Times New Roman"/>
            <family val="1"/>
          </rPr>
          <t>generics in EU</t>
        </r>
      </text>
    </comment>
    <comment ref="AW9" authorId="2" shapeId="0" xr:uid="{00000000-0006-0000-0700-000029000000}">
      <text>
        <r>
          <rPr>
            <b/>
            <sz val="8"/>
            <color indexed="81"/>
            <rFont val="Tahoma"/>
            <family val="2"/>
          </rPr>
          <t>Martin Shkreli:</t>
        </r>
        <r>
          <rPr>
            <sz val="8"/>
            <color indexed="81"/>
            <rFont val="Tahoma"/>
            <family val="2"/>
          </rPr>
          <t xml:space="preserve">
Risperdal generics begin w/ TEVA 180 day</t>
        </r>
      </text>
    </comment>
    <comment ref="B10" authorId="2" shapeId="0" xr:uid="{00000000-0006-0000-0700-00002A000000}">
      <text>
        <r>
          <rPr>
            <b/>
            <sz val="8"/>
            <color indexed="81"/>
            <rFont val="Tahoma"/>
            <family val="2"/>
          </rPr>
          <t>Martin Shkreli:</t>
        </r>
        <r>
          <rPr>
            <sz val="8"/>
            <color indexed="81"/>
            <rFont val="Tahoma"/>
            <family val="2"/>
          </rPr>
          <t xml:space="preserve">
2003 launch for Consta</t>
        </r>
      </text>
    </comment>
    <comment ref="Y10" authorId="2" shapeId="0" xr:uid="{00000000-0006-0000-0700-00002B000000}">
      <text>
        <r>
          <rPr>
            <b/>
            <sz val="8"/>
            <color indexed="81"/>
            <rFont val="Tahoma"/>
            <family val="2"/>
          </rPr>
          <t>Martin Shkreli:</t>
        </r>
        <r>
          <rPr>
            <sz val="8"/>
            <color indexed="81"/>
            <rFont val="Tahoma"/>
            <family val="2"/>
          </rPr>
          <t xml:space="preserve">
German approval?</t>
        </r>
      </text>
    </comment>
    <comment ref="AA10" authorId="2" shapeId="0" xr:uid="{00000000-0006-0000-0700-00002C000000}">
      <text>
        <r>
          <rPr>
            <b/>
            <sz val="8"/>
            <color indexed="81"/>
            <rFont val="Tahoma"/>
            <family val="2"/>
          </rPr>
          <t>Martin Shkreli:</t>
        </r>
        <r>
          <rPr>
            <sz val="8"/>
            <color indexed="81"/>
            <rFont val="Tahoma"/>
            <family val="2"/>
          </rPr>
          <t xml:space="preserve">
Bear 15 actual</t>
        </r>
      </text>
    </comment>
    <comment ref="AB10" authorId="2" shapeId="0" xr:uid="{00000000-0006-0000-0700-00002D000000}">
      <text>
        <r>
          <rPr>
            <b/>
            <sz val="8"/>
            <color indexed="81"/>
            <rFont val="Tahoma"/>
            <family val="2"/>
          </rPr>
          <t>Martin Shkreli:</t>
        </r>
        <r>
          <rPr>
            <sz val="8"/>
            <color indexed="81"/>
            <rFont val="Tahoma"/>
            <family val="2"/>
          </rPr>
          <t xml:space="preserve">
Bear 33 actual</t>
        </r>
      </text>
    </comment>
    <comment ref="AC10" authorId="2" shapeId="0" xr:uid="{00000000-0006-0000-0700-00002E000000}">
      <text>
        <r>
          <rPr>
            <b/>
            <sz val="8"/>
            <color indexed="81"/>
            <rFont val="Tahoma"/>
            <family val="2"/>
          </rPr>
          <t>Martin Shkreli:</t>
        </r>
        <r>
          <rPr>
            <sz val="8"/>
            <color indexed="81"/>
            <rFont val="Tahoma"/>
            <family val="2"/>
          </rPr>
          <t xml:space="preserve">
Consta launched in 40 countries
10/29/03 FDA approval
Bear 41 actual</t>
        </r>
      </text>
    </comment>
    <comment ref="AD10" authorId="2" shapeId="0" xr:uid="{00000000-0006-0000-0700-00002F000000}">
      <text>
        <r>
          <rPr>
            <b/>
            <sz val="8"/>
            <color indexed="81"/>
            <rFont val="Tahoma"/>
            <family val="2"/>
          </rPr>
          <t>Martin Shkreli:</t>
        </r>
        <r>
          <rPr>
            <sz val="8"/>
            <color indexed="81"/>
            <rFont val="Tahoma"/>
            <family val="2"/>
          </rPr>
          <t xml:space="preserve">
Bear 68 actual</t>
        </r>
      </text>
    </comment>
    <comment ref="AE10" authorId="2" shapeId="0" xr:uid="{00000000-0006-0000-0700-000030000000}">
      <text>
        <r>
          <rPr>
            <b/>
            <sz val="8"/>
            <color indexed="81"/>
            <rFont val="Tahoma"/>
            <family val="2"/>
          </rPr>
          <t>Martin Shkreli:</t>
        </r>
        <r>
          <rPr>
            <sz val="8"/>
            <color indexed="81"/>
            <rFont val="Tahoma"/>
            <family val="2"/>
          </rPr>
          <t xml:space="preserve">
Bear 51 actual</t>
        </r>
      </text>
    </comment>
    <comment ref="AF10" authorId="2" shapeId="0" xr:uid="{00000000-0006-0000-0700-000031000000}">
      <text>
        <r>
          <rPr>
            <b/>
            <sz val="8"/>
            <color indexed="81"/>
            <rFont val="Tahoma"/>
            <family val="2"/>
          </rPr>
          <t>Martin Shkreli:</t>
        </r>
        <r>
          <rPr>
            <sz val="8"/>
            <color indexed="81"/>
            <rFont val="Tahoma"/>
            <family val="2"/>
          </rPr>
          <t xml:space="preserve">
Bear 67 actual</t>
        </r>
      </text>
    </comment>
    <comment ref="AG10" authorId="2" shapeId="0" xr:uid="{00000000-0006-0000-0700-000032000000}">
      <text>
        <r>
          <rPr>
            <b/>
            <sz val="8"/>
            <color indexed="81"/>
            <rFont val="Tahoma"/>
            <family val="2"/>
          </rPr>
          <t>Martin Shkreli:</t>
        </r>
        <r>
          <rPr>
            <sz val="8"/>
            <color indexed="81"/>
            <rFont val="Tahoma"/>
            <family val="2"/>
          </rPr>
          <t xml:space="preserve">
Bear 86 actual</t>
        </r>
      </text>
    </comment>
    <comment ref="AH10" authorId="2" shapeId="0" xr:uid="{00000000-0006-0000-0700-000033000000}">
      <text>
        <r>
          <rPr>
            <b/>
            <sz val="8"/>
            <color indexed="81"/>
            <rFont val="Tahoma"/>
            <family val="2"/>
          </rPr>
          <t>Martin Shkreli:</t>
        </r>
        <r>
          <rPr>
            <sz val="8"/>
            <color indexed="81"/>
            <rFont val="Tahoma"/>
            <family val="2"/>
          </rPr>
          <t xml:space="preserve">
Bear 106 actual</t>
        </r>
      </text>
    </comment>
    <comment ref="AL10" authorId="2" shapeId="0" xr:uid="{00000000-0006-0000-0700-000034000000}">
      <text>
        <r>
          <rPr>
            <b/>
            <sz val="8"/>
            <color indexed="81"/>
            <rFont val="Tahoma"/>
            <family val="2"/>
          </rPr>
          <t>Martin Shkreli:</t>
        </r>
        <r>
          <rPr>
            <sz val="8"/>
            <color indexed="81"/>
            <rFont val="Tahoma"/>
            <family val="2"/>
          </rPr>
          <t xml:space="preserve">
Bear 170 actual</t>
        </r>
      </text>
    </comment>
    <comment ref="AZ10" authorId="2" shapeId="0" xr:uid="{00000000-0006-0000-0700-000035000000}">
      <text>
        <r>
          <rPr>
            <b/>
            <sz val="8"/>
            <color indexed="81"/>
            <rFont val="Tahoma"/>
            <family val="2"/>
          </rPr>
          <t>Martin Shkreli:</t>
        </r>
        <r>
          <rPr>
            <sz val="8"/>
            <color indexed="81"/>
            <rFont val="Tahoma"/>
            <family val="2"/>
          </rPr>
          <t xml:space="preserve">
Japanese approval
</t>
        </r>
      </text>
    </comment>
    <comment ref="ED10" authorId="2" shapeId="0" xr:uid="{00000000-0006-0000-0700-000036000000}">
      <text>
        <r>
          <rPr>
            <b/>
            <sz val="8"/>
            <color indexed="81"/>
            <rFont val="Tahoma"/>
            <family val="2"/>
          </rPr>
          <t>Martin Shkreli:</t>
        </r>
        <r>
          <rPr>
            <sz val="8"/>
            <color indexed="81"/>
            <rFont val="Tahoma"/>
            <family val="2"/>
          </rPr>
          <t xml:space="preserve">
10/29/03 Consta approval
Bear 156 actual</t>
        </r>
      </text>
    </comment>
    <comment ref="EE10" authorId="2" shapeId="0" xr:uid="{00000000-0006-0000-0700-000037000000}">
      <text>
        <r>
          <rPr>
            <b/>
            <sz val="8"/>
            <color indexed="81"/>
            <rFont val="Tahoma"/>
            <family val="2"/>
          </rPr>
          <t>Martin Shkreli:</t>
        </r>
        <r>
          <rPr>
            <sz val="8"/>
            <color indexed="81"/>
            <rFont val="Tahoma"/>
            <family val="2"/>
          </rPr>
          <t xml:space="preserve">
Bear 310 actual
JPM 313 actual</t>
        </r>
      </text>
    </comment>
    <comment ref="EF10" authorId="2" shapeId="0" xr:uid="{00000000-0006-0000-0700-000038000000}">
      <text>
        <r>
          <rPr>
            <b/>
            <sz val="8"/>
            <color indexed="81"/>
            <rFont val="Tahoma"/>
            <family val="2"/>
          </rPr>
          <t>Martin Shkreli:</t>
        </r>
        <r>
          <rPr>
            <sz val="8"/>
            <color indexed="81"/>
            <rFont val="Tahoma"/>
            <family val="2"/>
          </rPr>
          <t xml:space="preserve">
Bear 594 actual</t>
        </r>
      </text>
    </comment>
    <comment ref="EN10" authorId="3" shapeId="0" xr:uid="{00000000-0006-0000-0700-000039000000}">
      <text>
        <r>
          <rPr>
            <b/>
            <sz val="8"/>
            <color indexed="8"/>
            <rFont val="Times New Roman"/>
            <family val="1"/>
          </rPr>
          <t xml:space="preserve">Martin Shkreli:
</t>
        </r>
        <r>
          <rPr>
            <sz val="8"/>
            <color indexed="8"/>
            <rFont val="Times New Roman"/>
            <family val="1"/>
          </rPr>
          <t>Will Sustenna receive 5 years post approval 8/08??? NanoCrystal patents?</t>
        </r>
      </text>
    </comment>
    <comment ref="ED11" authorId="10" shapeId="0" xr:uid="{01972993-60CD-4A33-A5E6-796102B7B8F4}">
      <text>
        <t>[Threaded comment]
Your version of Excel allows you to read this threaded comment; however, any edits to it will get removed if the file is opened in a newer version of Excel. Learn more: https://go.microsoft.com/fwlink/?linkid=870924
Comment:
    Phase 3</t>
      </text>
    </comment>
    <comment ref="EE11" authorId="11" shapeId="0" xr:uid="{6E621430-D336-4CDD-B049-05C621427378}">
      <text>
        <t>[Threaded comment]
Your version of Excel allows you to read this threaded comment; however, any edits to it will get removed if the file is opened in a newer version of Excel. Learn more: https://go.microsoft.com/fwlink/?linkid=870924
Comment:
    Phase 3</t>
      </text>
    </comment>
    <comment ref="EF11" authorId="12" shapeId="0" xr:uid="{F129B24E-0080-493A-983B-7A528450F0B2}">
      <text>
        <t>[Threaded comment]
Your version of Excel allows you to read this threaded comment; however, any edits to it will get removed if the file is opened in a newer version of Excel. Learn more: https://go.microsoft.com/fwlink/?linkid=870924
Comment:
    Filed</t>
      </text>
    </comment>
    <comment ref="EG11" authorId="2" shapeId="0" xr:uid="{00000000-0006-0000-0700-00003A000000}">
      <text>
        <r>
          <rPr>
            <b/>
            <sz val="8"/>
            <color indexed="81"/>
            <rFont val="Tahoma"/>
            <family val="2"/>
          </rPr>
          <t>Martin Shkreli:</t>
        </r>
        <r>
          <rPr>
            <sz val="8"/>
            <color indexed="81"/>
            <rFont val="Tahoma"/>
            <family val="2"/>
          </rPr>
          <t xml:space="preserve">
12/19/06 Approval</t>
        </r>
      </text>
    </comment>
    <comment ref="EJ11" authorId="2" shapeId="0" xr:uid="{00000000-0006-0000-0700-00003B000000}">
      <text>
        <r>
          <rPr>
            <b/>
            <sz val="8"/>
            <color indexed="81"/>
            <rFont val="Tahoma"/>
            <family val="2"/>
          </rPr>
          <t>Martin Shkreli:</t>
        </r>
        <r>
          <rPr>
            <sz val="8"/>
            <color indexed="81"/>
            <rFont val="Tahoma"/>
            <family val="2"/>
          </rPr>
          <t xml:space="preserve">
JPM estimated 1800 in 2003</t>
        </r>
      </text>
    </comment>
    <comment ref="EL11" authorId="3" shapeId="0" xr:uid="{00000000-0006-0000-0700-00003C000000}">
      <text>
        <r>
          <rPr>
            <b/>
            <sz val="8"/>
            <color indexed="8"/>
            <rFont val="Times New Roman"/>
            <family val="1"/>
          </rPr>
          <t xml:space="preserve">Martin Shkreli:
</t>
        </r>
        <r>
          <rPr>
            <sz val="8"/>
            <color indexed="8"/>
            <rFont val="Times New Roman"/>
            <family val="1"/>
          </rPr>
          <t>Hatch-Watchman exclusivity expires 12/19/2011.</t>
        </r>
      </text>
    </comment>
    <comment ref="S12" authorId="2" shapeId="0" xr:uid="{00000000-0006-0000-0700-000055000000}">
      <text>
        <r>
          <rPr>
            <b/>
            <sz val="8"/>
            <color indexed="81"/>
            <rFont val="Tahoma"/>
            <family val="2"/>
          </rPr>
          <t>Martin Shkreli:</t>
        </r>
        <r>
          <rPr>
            <sz val="8"/>
            <color indexed="81"/>
            <rFont val="Tahoma"/>
            <family val="2"/>
          </rPr>
          <t xml:space="preserve">
Bear IMS #</t>
        </r>
      </text>
    </comment>
    <comment ref="T12" authorId="2" shapeId="0" xr:uid="{00000000-0006-0000-0700-000056000000}">
      <text>
        <r>
          <rPr>
            <b/>
            <sz val="8"/>
            <color indexed="81"/>
            <rFont val="Tahoma"/>
            <family val="2"/>
          </rPr>
          <t>Martin Shkreli:</t>
        </r>
        <r>
          <rPr>
            <sz val="8"/>
            <color indexed="81"/>
            <rFont val="Tahoma"/>
            <family val="2"/>
          </rPr>
          <t xml:space="preserve">
Bear IMS #</t>
        </r>
      </text>
    </comment>
    <comment ref="U12" authorId="2" shapeId="0" xr:uid="{00000000-0006-0000-0700-000057000000}">
      <text>
        <r>
          <rPr>
            <b/>
            <sz val="8"/>
            <color indexed="81"/>
            <rFont val="Tahoma"/>
            <family val="2"/>
          </rPr>
          <t>Martin Shkreli:</t>
        </r>
        <r>
          <rPr>
            <sz val="8"/>
            <color indexed="81"/>
            <rFont val="Tahoma"/>
            <family val="2"/>
          </rPr>
          <t xml:space="preserve">
Bear IMS #</t>
        </r>
      </text>
    </comment>
    <comment ref="V12" authorId="2" shapeId="0" xr:uid="{00000000-0006-0000-0700-000058000000}">
      <text>
        <r>
          <rPr>
            <b/>
            <sz val="8"/>
            <color indexed="81"/>
            <rFont val="Tahoma"/>
            <family val="2"/>
          </rPr>
          <t>Martin Shkreli:</t>
        </r>
        <r>
          <rPr>
            <sz val="8"/>
            <color indexed="81"/>
            <rFont val="Tahoma"/>
            <family val="2"/>
          </rPr>
          <t xml:space="preserve">
Bear IMS #</t>
        </r>
      </text>
    </comment>
    <comment ref="W12" authorId="2" shapeId="0" xr:uid="{00000000-0006-0000-0700-000059000000}">
      <text>
        <r>
          <rPr>
            <b/>
            <sz val="8"/>
            <color indexed="81"/>
            <rFont val="Tahoma"/>
            <family val="2"/>
          </rPr>
          <t>Martin Shkreli:</t>
        </r>
        <r>
          <rPr>
            <sz val="8"/>
            <color indexed="81"/>
            <rFont val="Tahoma"/>
            <family val="2"/>
          </rPr>
          <t xml:space="preserve">
Bear IMS estimate</t>
        </r>
      </text>
    </comment>
    <comment ref="X12" authorId="2" shapeId="0" xr:uid="{00000000-0006-0000-0700-00005A000000}">
      <text>
        <r>
          <rPr>
            <b/>
            <sz val="8"/>
            <color indexed="81"/>
            <rFont val="Tahoma"/>
            <family val="2"/>
          </rPr>
          <t>Martin Shkreli:</t>
        </r>
        <r>
          <rPr>
            <sz val="8"/>
            <color indexed="81"/>
            <rFont val="Tahoma"/>
            <family val="2"/>
          </rPr>
          <t xml:space="preserve">
Bear IMS estimate</t>
        </r>
      </text>
    </comment>
    <comment ref="Y12" authorId="2" shapeId="0" xr:uid="{00000000-0006-0000-0700-00005B000000}">
      <text>
        <r>
          <rPr>
            <b/>
            <sz val="8"/>
            <color indexed="81"/>
            <rFont val="Tahoma"/>
            <family val="2"/>
          </rPr>
          <t>Martin Shkreli:</t>
        </r>
        <r>
          <rPr>
            <sz val="8"/>
            <color indexed="81"/>
            <rFont val="Tahoma"/>
            <family val="2"/>
          </rPr>
          <t xml:space="preserve">
Bear IMS estimate</t>
        </r>
      </text>
    </comment>
    <comment ref="Z12" authorId="2" shapeId="0" xr:uid="{00000000-0006-0000-0700-00005C000000}">
      <text>
        <r>
          <rPr>
            <b/>
            <sz val="8"/>
            <color indexed="81"/>
            <rFont val="Tahoma"/>
            <family val="2"/>
          </rPr>
          <t>Martin Shkreli:</t>
        </r>
        <r>
          <rPr>
            <sz val="8"/>
            <color indexed="81"/>
            <rFont val="Tahoma"/>
            <family val="2"/>
          </rPr>
          <t xml:space="preserve">
Bear IMS estimate</t>
        </r>
      </text>
    </comment>
    <comment ref="AA12" authorId="2" shapeId="0" xr:uid="{00000000-0006-0000-0700-00005D000000}">
      <text>
        <r>
          <rPr>
            <b/>
            <sz val="8"/>
            <color indexed="81"/>
            <rFont val="Tahoma"/>
            <family val="2"/>
          </rPr>
          <t>Martin Shkreli:</t>
        </r>
        <r>
          <rPr>
            <sz val="8"/>
            <color indexed="81"/>
            <rFont val="Tahoma"/>
            <family val="2"/>
          </rPr>
          <t xml:space="preserve">
Bear IMS estimate</t>
        </r>
      </text>
    </comment>
    <comment ref="AB12" authorId="2" shapeId="0" xr:uid="{00000000-0006-0000-0700-00005E000000}">
      <text>
        <r>
          <rPr>
            <b/>
            <sz val="8"/>
            <color indexed="81"/>
            <rFont val="Tahoma"/>
            <family val="2"/>
          </rPr>
          <t>Martin Shkreli:</t>
        </r>
        <r>
          <rPr>
            <sz val="8"/>
            <color indexed="81"/>
            <rFont val="Tahoma"/>
            <family val="2"/>
          </rPr>
          <t xml:space="preserve">
Bear IMS estimate</t>
        </r>
      </text>
    </comment>
    <comment ref="AC12" authorId="2" shapeId="0" xr:uid="{00000000-0006-0000-0700-00005F000000}">
      <text>
        <r>
          <rPr>
            <b/>
            <sz val="8"/>
            <color indexed="81"/>
            <rFont val="Tahoma"/>
            <family val="2"/>
          </rPr>
          <t>Martin Shkreli:</t>
        </r>
        <r>
          <rPr>
            <sz val="8"/>
            <color indexed="81"/>
            <rFont val="Tahoma"/>
            <family val="2"/>
          </rPr>
          <t xml:space="preserve">
Bear IMS estimate</t>
        </r>
      </text>
    </comment>
    <comment ref="AD12" authorId="2" shapeId="0" xr:uid="{00000000-0006-0000-0700-000060000000}">
      <text>
        <r>
          <rPr>
            <b/>
            <sz val="8"/>
            <color indexed="81"/>
            <rFont val="Tahoma"/>
            <family val="2"/>
          </rPr>
          <t>Martin Shkreli:</t>
        </r>
        <r>
          <rPr>
            <sz val="8"/>
            <color indexed="81"/>
            <rFont val="Tahoma"/>
            <family val="2"/>
          </rPr>
          <t xml:space="preserve">
Bear estimate 124</t>
        </r>
      </text>
    </comment>
    <comment ref="AE12" authorId="2" shapeId="0" xr:uid="{00000000-0006-0000-0700-000061000000}">
      <text>
        <r>
          <rPr>
            <b/>
            <sz val="8"/>
            <color indexed="81"/>
            <rFont val="Tahoma"/>
            <family val="2"/>
          </rPr>
          <t>Martin Shkreli:</t>
        </r>
        <r>
          <rPr>
            <sz val="8"/>
            <color indexed="81"/>
            <rFont val="Tahoma"/>
            <family val="2"/>
          </rPr>
          <t xml:space="preserve">
Bear IMS estimate 144</t>
        </r>
      </text>
    </comment>
    <comment ref="AF12" authorId="2" shapeId="0" xr:uid="{00000000-0006-0000-0700-000062000000}">
      <text>
        <r>
          <rPr>
            <b/>
            <sz val="8"/>
            <color indexed="81"/>
            <rFont val="Tahoma"/>
            <family val="2"/>
          </rPr>
          <t>Martin Shkreli:</t>
        </r>
        <r>
          <rPr>
            <sz val="8"/>
            <color indexed="81"/>
            <rFont val="Tahoma"/>
            <family val="2"/>
          </rPr>
          <t xml:space="preserve">
Bear IMS estimate 135</t>
        </r>
      </text>
    </comment>
    <comment ref="AG12" authorId="2" shapeId="0" xr:uid="{00000000-0006-0000-0700-000063000000}">
      <text>
        <r>
          <rPr>
            <b/>
            <sz val="8"/>
            <color indexed="81"/>
            <rFont val="Tahoma"/>
            <family val="2"/>
          </rPr>
          <t>Martin Shkreli:</t>
        </r>
        <r>
          <rPr>
            <sz val="8"/>
            <color indexed="81"/>
            <rFont val="Tahoma"/>
            <family val="2"/>
          </rPr>
          <t xml:space="preserve">
Bear IMS estimate 130</t>
        </r>
      </text>
    </comment>
    <comment ref="AH12" authorId="2" shapeId="0" xr:uid="{00000000-0006-0000-0700-000064000000}">
      <text>
        <r>
          <rPr>
            <b/>
            <sz val="8"/>
            <color indexed="81"/>
            <rFont val="Tahoma"/>
            <family val="2"/>
          </rPr>
          <t>Martin Shkreli:</t>
        </r>
        <r>
          <rPr>
            <sz val="8"/>
            <color indexed="81"/>
            <rFont val="Tahoma"/>
            <family val="2"/>
          </rPr>
          <t xml:space="preserve">
Bear IMS estimate 149</t>
        </r>
      </text>
    </comment>
    <comment ref="BA12" authorId="13" shapeId="0" xr:uid="{00000000-0006-0000-0700-000065000000}">
      <text>
        <r>
          <rPr>
            <b/>
            <sz val="8"/>
            <color indexed="81"/>
            <rFont val="Tahoma"/>
            <family val="2"/>
          </rPr>
          <t>Marek Biestek:</t>
        </r>
        <r>
          <rPr>
            <sz val="8"/>
            <color indexed="81"/>
            <rFont val="Tahoma"/>
            <family val="2"/>
          </rPr>
          <t xml:space="preserve">
Well below expected
due to sales rebate</t>
        </r>
      </text>
    </comment>
    <comment ref="EA12" authorId="2" shapeId="0" xr:uid="{00000000-0006-0000-0700-000066000000}">
      <text>
        <r>
          <rPr>
            <b/>
            <sz val="8"/>
            <color indexed="81"/>
            <rFont val="Tahoma"/>
            <family val="2"/>
          </rPr>
          <t>Martin Shkreli:</t>
        </r>
        <r>
          <rPr>
            <sz val="8"/>
            <color indexed="81"/>
            <rFont val="Tahoma"/>
            <family val="2"/>
          </rPr>
          <t xml:space="preserve">
Owned by Alza at this time.
JPM 68/0</t>
        </r>
      </text>
    </comment>
    <comment ref="EB12" authorId="2" shapeId="0" xr:uid="{00000000-0006-0000-0700-000067000000}">
      <text>
        <r>
          <rPr>
            <b/>
            <sz val="8"/>
            <color indexed="81"/>
            <rFont val="Tahoma"/>
            <family val="2"/>
          </rPr>
          <t>Martin Shkreli:</t>
        </r>
        <r>
          <rPr>
            <sz val="8"/>
            <color indexed="81"/>
            <rFont val="Tahoma"/>
            <family val="2"/>
          </rPr>
          <t xml:space="preserve">
556? JPM
250 Bear estimate
333 Raw IMS
JPM 225/0</t>
        </r>
      </text>
    </comment>
    <comment ref="EC12" authorId="2" shapeId="0" xr:uid="{00000000-0006-0000-0700-000068000000}">
      <text>
        <r>
          <rPr>
            <b/>
            <sz val="8"/>
            <color indexed="81"/>
            <rFont val="Tahoma"/>
            <family val="2"/>
          </rPr>
          <t>Martin Shkreli:</t>
        </r>
        <r>
          <rPr>
            <sz val="8"/>
            <color indexed="81"/>
            <rFont val="Tahoma"/>
            <family val="2"/>
          </rPr>
          <t xml:space="preserve">
378 Bear estimate
503 Raw IMS
340 JPM 320/20</t>
        </r>
      </text>
    </comment>
    <comment ref="ED12" authorId="2" shapeId="0" xr:uid="{00000000-0006-0000-0700-000069000000}">
      <text>
        <r>
          <rPr>
            <b/>
            <sz val="8"/>
            <color indexed="81"/>
            <rFont val="Tahoma"/>
            <family val="2"/>
          </rPr>
          <t>Martin Shkreli:</t>
        </r>
        <r>
          <rPr>
            <sz val="8"/>
            <color indexed="81"/>
            <rFont val="Tahoma"/>
            <family val="2"/>
          </rPr>
          <t xml:space="preserve">
464 MS
504/6 JPM 464/40
461 Bear estimate
615 IMS raw</t>
        </r>
      </text>
    </comment>
    <comment ref="EE12" authorId="2" shapeId="0" xr:uid="{00000000-0006-0000-0700-00006A000000}">
      <text>
        <r>
          <rPr>
            <b/>
            <sz val="8"/>
            <color indexed="81"/>
            <rFont val="Tahoma"/>
            <family val="2"/>
          </rPr>
          <t>Martin Shkreli:</t>
        </r>
        <r>
          <rPr>
            <sz val="8"/>
            <color indexed="81"/>
            <rFont val="Tahoma"/>
            <family val="2"/>
          </rPr>
          <t xml:space="preserve">
Bear estimate 558
744 IMS Raw</t>
        </r>
      </text>
    </comment>
    <comment ref="EN12" authorId="2" shapeId="0" xr:uid="{00000000-0006-0000-0700-00006B000000}">
      <text>
        <r>
          <rPr>
            <b/>
            <sz val="8"/>
            <color indexed="81"/>
            <rFont val="Tahoma"/>
            <family val="2"/>
          </rPr>
          <t>Martin Shkreli:</t>
        </r>
        <r>
          <rPr>
            <sz val="8"/>
            <color indexed="81"/>
            <rFont val="Tahoma"/>
            <family val="2"/>
          </rPr>
          <t xml:space="preserve">
Piper 1650m est</t>
        </r>
      </text>
    </comment>
    <comment ref="CU14" authorId="14" shapeId="0" xr:uid="{CDD2B99A-00BA-4EA8-B675-536C08C434B4}">
      <text>
        <t>[Threaded comment]
Your version of Excel allows you to read this threaded comment; however, any edits to it will get removed if the file is opened in a newer version of Excel. Learn more: https://go.microsoft.com/fwlink/?linkid=870924
Comment:
    Q121: 428m</t>
      </text>
    </comment>
    <comment ref="CV14" authorId="15" shapeId="0" xr:uid="{499E966A-6B85-4512-A7AB-E65284C32D4B}">
      <text>
        <t>[Threaded comment]
Your version of Excel allows you to read this threaded comment; however, any edits to it will get removed if the file is opened in a newer version of Excel. Learn more: https://go.microsoft.com/fwlink/?linkid=870924
Comment:
    had 468?</t>
      </text>
    </comment>
    <comment ref="B15" authorId="2" shapeId="0" xr:uid="{00000000-0006-0000-0700-00006C000000}">
      <text>
        <r>
          <rPr>
            <b/>
            <sz val="8"/>
            <color indexed="81"/>
            <rFont val="Tahoma"/>
            <family val="2"/>
          </rPr>
          <t>Martin Shkreli:</t>
        </r>
        <r>
          <rPr>
            <sz val="8"/>
            <color indexed="81"/>
            <rFont val="Tahoma"/>
            <family val="2"/>
          </rPr>
          <t xml:space="preserve">
Euro patients expire in 2005
Japan patients 2010
US generics entered in 2005</t>
        </r>
      </text>
    </comment>
    <comment ref="AI15" authorId="2" shapeId="0" xr:uid="{00000000-0006-0000-0700-00006D000000}">
      <text>
        <r>
          <rPr>
            <b/>
            <sz val="8"/>
            <color indexed="81"/>
            <rFont val="Tahoma"/>
            <family val="2"/>
          </rPr>
          <t>Martin Shkreli:</t>
        </r>
        <r>
          <rPr>
            <sz val="8"/>
            <color indexed="81"/>
            <rFont val="Tahoma"/>
            <family val="2"/>
          </rPr>
          <t xml:space="preserve">
Mylan authorized generic approved.</t>
        </r>
      </text>
    </comment>
    <comment ref="AT15" authorId="3" shapeId="0" xr:uid="{00000000-0006-0000-0700-00006E000000}">
      <text>
        <r>
          <rPr>
            <b/>
            <sz val="8"/>
            <color indexed="8"/>
            <rFont val="Times New Roman"/>
            <family val="1"/>
          </rPr>
          <t xml:space="preserve">Bloomberg:
</t>
        </r>
        <r>
          <rPr>
            <sz val="8"/>
            <color indexed="8"/>
            <rFont val="Times New Roman"/>
            <family val="1"/>
          </rPr>
          <t>Europe 75% of sales</t>
        </r>
      </text>
    </comment>
    <comment ref="AW15" authorId="2" shapeId="0" xr:uid="{00000000-0006-0000-0700-00006F000000}">
      <text>
        <r>
          <rPr>
            <b/>
            <sz val="8"/>
            <color indexed="81"/>
            <rFont val="Tahoma"/>
            <family val="2"/>
          </rPr>
          <t>Martin Shkreli:</t>
        </r>
        <r>
          <rPr>
            <sz val="8"/>
            <color indexed="81"/>
            <rFont val="Tahoma"/>
            <family val="2"/>
          </rPr>
          <t xml:space="preserve">
US was $54m.
Ex-US was $205m.</t>
        </r>
      </text>
    </comment>
    <comment ref="AX15" authorId="2" shapeId="0" xr:uid="{00000000-0006-0000-0700-000070000000}">
      <text>
        <r>
          <rPr>
            <b/>
            <sz val="8"/>
            <color indexed="81"/>
            <rFont val="Tahoma"/>
            <family val="2"/>
          </rPr>
          <t>Martin Shkreli:</t>
        </r>
        <r>
          <rPr>
            <sz val="8"/>
            <color indexed="81"/>
            <rFont val="Tahoma"/>
            <family val="2"/>
          </rPr>
          <t xml:space="preserve">
Teva launches Duragesic patch. MYL has most generic share.</t>
        </r>
      </text>
    </comment>
    <comment ref="DQ15" authorId="2" shapeId="0" xr:uid="{00000000-0006-0000-0700-000071000000}">
      <text>
        <r>
          <rPr>
            <b/>
            <sz val="8"/>
            <color indexed="81"/>
            <rFont val="Tahoma"/>
            <family val="2"/>
          </rPr>
          <t>Martin Shkreli:</t>
        </r>
        <r>
          <rPr>
            <sz val="8"/>
            <color indexed="81"/>
            <rFont val="Tahoma"/>
            <family val="2"/>
          </rPr>
          <t xml:space="preserve">
8/7/1990 approval</t>
        </r>
      </text>
    </comment>
    <comment ref="DW15" authorId="2" shapeId="0" xr:uid="{00000000-0006-0000-0700-000072000000}">
      <text>
        <r>
          <rPr>
            <b/>
            <sz val="8"/>
            <color indexed="81"/>
            <rFont val="Tahoma"/>
            <family val="2"/>
          </rPr>
          <t>Martin Shkreli:</t>
        </r>
        <r>
          <rPr>
            <sz val="8"/>
            <color indexed="81"/>
            <rFont val="Tahoma"/>
            <family val="2"/>
          </rPr>
          <t xml:space="preserve">
172 Pru
170 JPM 130/40</t>
        </r>
      </text>
    </comment>
    <comment ref="DX15" authorId="2" shapeId="0" xr:uid="{00000000-0006-0000-0700-000073000000}">
      <text>
        <r>
          <rPr>
            <b/>
            <sz val="8"/>
            <color indexed="81"/>
            <rFont val="Tahoma"/>
            <family val="2"/>
          </rPr>
          <t>Martin Shkreli:</t>
        </r>
        <r>
          <rPr>
            <sz val="8"/>
            <color indexed="81"/>
            <rFont val="Tahoma"/>
            <family val="2"/>
          </rPr>
          <t xml:space="preserve">
245 Pru
245 Piper
258 JPM 188/70</t>
        </r>
      </text>
    </comment>
    <comment ref="DY15" authorId="2" shapeId="0" xr:uid="{00000000-0006-0000-0700-000074000000}">
      <text>
        <r>
          <rPr>
            <b/>
            <sz val="8"/>
            <color indexed="81"/>
            <rFont val="Tahoma"/>
            <family val="2"/>
          </rPr>
          <t>Martin Shkreli:</t>
        </r>
        <r>
          <rPr>
            <sz val="8"/>
            <color indexed="81"/>
            <rFont val="Tahoma"/>
            <family val="2"/>
          </rPr>
          <t xml:space="preserve">
333 Bear
348 Pru
345 Piper
360/5 JPM 244/121</t>
        </r>
      </text>
    </comment>
    <comment ref="DZ15" authorId="2" shapeId="0" xr:uid="{00000000-0006-0000-0700-000075000000}">
      <text>
        <r>
          <rPr>
            <b/>
            <sz val="8"/>
            <color indexed="81"/>
            <rFont val="Tahoma"/>
            <family val="2"/>
          </rPr>
          <t>Martin Shkreli:</t>
        </r>
        <r>
          <rPr>
            <sz val="8"/>
            <color indexed="81"/>
            <rFont val="Tahoma"/>
            <family val="2"/>
          </rPr>
          <t xml:space="preserve">
507 Merrill
465 Bear
516 Piper
516/7 JPM 325/192
508 ?</t>
        </r>
      </text>
    </comment>
    <comment ref="EA15" authorId="2" shapeId="0" xr:uid="{00000000-0006-0000-0700-000076000000}">
      <text>
        <r>
          <rPr>
            <b/>
            <sz val="8"/>
            <color indexed="81"/>
            <rFont val="Tahoma"/>
            <family val="2"/>
          </rPr>
          <t>Martin Shkreli:</t>
        </r>
        <r>
          <rPr>
            <sz val="8"/>
            <color indexed="81"/>
            <rFont val="Tahoma"/>
            <family val="2"/>
          </rPr>
          <t xml:space="preserve">
JPM 656 406/250</t>
        </r>
      </text>
    </comment>
    <comment ref="B16" authorId="3" shapeId="0" xr:uid="{00000000-0006-0000-0700-00007A000000}">
      <text>
        <r>
          <rPr>
            <b/>
            <sz val="8"/>
            <color indexed="8"/>
            <rFont val="Times New Roman"/>
            <family val="1"/>
          </rPr>
          <t xml:space="preserve">Martin Shkreli:
</t>
        </r>
        <r>
          <rPr>
            <sz val="8"/>
            <color indexed="8"/>
            <rFont val="Times New Roman"/>
            <family val="1"/>
          </rPr>
          <t>Pariet is co-promote with Eisai. Aciphex sales are 45% recorded by JNJ.</t>
        </r>
      </text>
    </comment>
    <comment ref="M16" authorId="2" shapeId="0" xr:uid="{00000000-0006-0000-0700-00007B000000}">
      <text>
        <r>
          <rPr>
            <b/>
            <sz val="8"/>
            <color indexed="81"/>
            <rFont val="Tahoma"/>
            <family val="2"/>
          </rPr>
          <t>Martin Shkreli:</t>
        </r>
        <r>
          <rPr>
            <sz val="8"/>
            <color indexed="81"/>
            <rFont val="Tahoma"/>
            <family val="2"/>
          </rPr>
          <t xml:space="preserve">
US launch</t>
        </r>
      </text>
    </comment>
    <comment ref="AU16" authorId="3" shapeId="0" xr:uid="{00000000-0006-0000-0700-00007C000000}">
      <text>
        <r>
          <rPr>
            <b/>
            <sz val="8"/>
            <color indexed="8"/>
            <rFont val="Times New Roman"/>
            <family val="1"/>
          </rPr>
          <t xml:space="preserve">BBerg:
</t>
        </r>
        <r>
          <rPr>
            <sz val="8"/>
            <color indexed="8"/>
            <rFont val="Times New Roman"/>
            <family val="1"/>
          </rPr>
          <t>competitor generic PPIs hurting sales</t>
        </r>
      </text>
    </comment>
    <comment ref="AV16" authorId="16" shapeId="0" xr:uid="{00000000-0006-0000-0700-00007D000000}">
      <text>
        <r>
          <rPr>
            <b/>
            <sz val="8"/>
            <color indexed="81"/>
            <rFont val="Tahoma"/>
            <family val="2"/>
          </rPr>
          <t>RBC:</t>
        </r>
        <r>
          <rPr>
            <sz val="8"/>
            <color indexed="81"/>
            <rFont val="Tahoma"/>
            <family val="2"/>
          </rPr>
          <t xml:space="preserve">
Generic Protonix impacting sales.</t>
        </r>
      </text>
    </comment>
    <comment ref="DZ16" authorId="2" shapeId="0" xr:uid="{00000000-0006-0000-0700-00007E000000}">
      <text>
        <r>
          <rPr>
            <b/>
            <sz val="8"/>
            <color indexed="81"/>
            <rFont val="Tahoma"/>
            <family val="2"/>
          </rPr>
          <t>Martin Shkreli:</t>
        </r>
        <r>
          <rPr>
            <sz val="8"/>
            <color indexed="81"/>
            <rFont val="Tahoma"/>
            <family val="2"/>
          </rPr>
          <t xml:space="preserve">
65 Merrill
55 Bear
50 Piper
65 JPM 40/25</t>
        </r>
      </text>
    </comment>
    <comment ref="EA16" authorId="2" shapeId="0" xr:uid="{00000000-0006-0000-0700-00007F000000}">
      <text>
        <r>
          <rPr>
            <b/>
            <sz val="8"/>
            <color indexed="81"/>
            <rFont val="Tahoma"/>
            <family val="2"/>
          </rPr>
          <t>Martin Shkreli:</t>
        </r>
        <r>
          <rPr>
            <sz val="8"/>
            <color indexed="81"/>
            <rFont val="Tahoma"/>
            <family val="2"/>
          </rPr>
          <t xml:space="preserve">
MS 275
235 JPM 160/75</t>
        </r>
      </text>
    </comment>
    <comment ref="EB16" authorId="2" shapeId="0" xr:uid="{00000000-0006-0000-0700-000080000000}">
      <text>
        <r>
          <rPr>
            <b/>
            <sz val="8"/>
            <color indexed="81"/>
            <rFont val="Tahoma"/>
            <family val="2"/>
          </rPr>
          <t>Martin Shkreli:</t>
        </r>
        <r>
          <rPr>
            <sz val="8"/>
            <color indexed="81"/>
            <rFont val="Tahoma"/>
            <family val="2"/>
          </rPr>
          <t xml:space="preserve">
556 JPM 380/176</t>
        </r>
      </text>
    </comment>
    <comment ref="B17" authorId="3" shapeId="0" xr:uid="{00000000-0006-0000-0700-000081000000}">
      <text>
        <r>
          <rPr>
            <b/>
            <sz val="8"/>
            <color indexed="8"/>
            <rFont val="Times New Roman"/>
            <family val="1"/>
          </rPr>
          <t xml:space="preserve">Martin Shkreli:
</t>
        </r>
        <r>
          <rPr>
            <sz val="8"/>
            <color indexed="8"/>
            <rFont val="Times New Roman"/>
            <family val="1"/>
          </rPr>
          <t>pediatric exclusivity possible</t>
        </r>
      </text>
    </comment>
    <comment ref="AR17" authorId="3" shapeId="0" xr:uid="{00000000-0006-0000-0700-000082000000}">
      <text>
        <r>
          <rPr>
            <b/>
            <sz val="8"/>
            <color indexed="8"/>
            <rFont val="Times New Roman"/>
            <family val="1"/>
          </rPr>
          <t xml:space="preserve">Martin Shkreli:
</t>
        </r>
        <r>
          <rPr>
            <sz val="8"/>
            <color indexed="8"/>
            <rFont val="Times New Roman"/>
            <family val="1"/>
          </rPr>
          <t>ex-US generics?</t>
        </r>
      </text>
    </comment>
    <comment ref="DX17" authorId="2" shapeId="0" xr:uid="{00000000-0006-0000-0700-000083000000}">
      <text>
        <r>
          <rPr>
            <b/>
            <sz val="8"/>
            <color indexed="81"/>
            <rFont val="Tahoma"/>
            <family val="2"/>
          </rPr>
          <t>Martin Shkreli:</t>
        </r>
        <r>
          <rPr>
            <sz val="8"/>
            <color indexed="81"/>
            <rFont val="Tahoma"/>
            <family val="2"/>
          </rPr>
          <t xml:space="preserve">
50 JPM 35/15</t>
        </r>
      </text>
    </comment>
    <comment ref="DY17" authorId="2" shapeId="0" xr:uid="{00000000-0006-0000-0700-000084000000}">
      <text>
        <r>
          <rPr>
            <b/>
            <sz val="8"/>
            <color indexed="81"/>
            <rFont val="Tahoma"/>
            <family val="2"/>
          </rPr>
          <t>Martin Shkreli:</t>
        </r>
        <r>
          <rPr>
            <sz val="8"/>
            <color indexed="81"/>
            <rFont val="Tahoma"/>
            <family val="2"/>
          </rPr>
          <t xml:space="preserve">
80 Bear
38?
87 JPM 65/22</t>
        </r>
      </text>
    </comment>
    <comment ref="DZ17" authorId="2" shapeId="0" xr:uid="{00000000-0006-0000-0700-000085000000}">
      <text>
        <r>
          <rPr>
            <b/>
            <sz val="8"/>
            <color indexed="81"/>
            <rFont val="Tahoma"/>
            <family val="2"/>
          </rPr>
          <t>Martin Shkreli:</t>
        </r>
        <r>
          <rPr>
            <sz val="8"/>
            <color indexed="81"/>
            <rFont val="Tahoma"/>
            <family val="2"/>
          </rPr>
          <t xml:space="preserve">
150 Merrill
150 Bear
153 JPM 99/54</t>
        </r>
      </text>
    </comment>
    <comment ref="EA17" authorId="2" shapeId="0" xr:uid="{00000000-0006-0000-0700-000086000000}">
      <text>
        <r>
          <rPr>
            <b/>
            <sz val="8"/>
            <color indexed="81"/>
            <rFont val="Tahoma"/>
            <family val="2"/>
          </rPr>
          <t>Martin Shkreli:</t>
        </r>
        <r>
          <rPr>
            <sz val="8"/>
            <color indexed="81"/>
            <rFont val="Tahoma"/>
            <family val="2"/>
          </rPr>
          <t xml:space="preserve">
309 JPM 225/84</t>
        </r>
      </text>
    </comment>
    <comment ref="EN18" authorId="2" shapeId="0" xr:uid="{00000000-0006-0000-0700-000087000000}">
      <text>
        <r>
          <rPr>
            <b/>
            <sz val="8"/>
            <color indexed="81"/>
            <rFont val="Tahoma"/>
            <family val="2"/>
          </rPr>
          <t>Martin Shkreli:</t>
        </r>
        <r>
          <rPr>
            <sz val="8"/>
            <color indexed="81"/>
            <rFont val="Tahoma"/>
            <family val="2"/>
          </rPr>
          <t xml:space="preserve">
951 Piper est</t>
        </r>
      </text>
    </comment>
    <comment ref="AR22" authorId="3" shapeId="0" xr:uid="{00000000-0006-0000-0700-000048000000}">
      <text>
        <r>
          <rPr>
            <b/>
            <sz val="8"/>
            <color indexed="8"/>
            <rFont val="Times New Roman"/>
            <family val="1"/>
          </rPr>
          <t xml:space="preserve">Bloomberg:
</t>
        </r>
        <r>
          <rPr>
            <sz val="8"/>
            <color indexed="8"/>
            <rFont val="Times New Roman"/>
            <family val="1"/>
          </rPr>
          <t>no Floxin</t>
        </r>
      </text>
    </comment>
    <comment ref="AS22" authorId="3" shapeId="0" xr:uid="{00000000-0006-0000-0700-000049000000}">
      <text>
        <r>
          <rPr>
            <b/>
            <sz val="8"/>
            <color indexed="8"/>
            <rFont val="Times New Roman"/>
            <family val="1"/>
          </rPr>
          <t xml:space="preserve">Bloomberg:
</t>
        </r>
        <r>
          <rPr>
            <sz val="8"/>
            <color indexed="8"/>
            <rFont val="Times New Roman"/>
            <family val="1"/>
          </rPr>
          <t>Incl Floxin</t>
        </r>
      </text>
    </comment>
    <comment ref="AV22" authorId="16" shapeId="0" xr:uid="{00000000-0006-0000-0700-00004A000000}">
      <text>
        <r>
          <rPr>
            <b/>
            <sz val="8"/>
            <color indexed="81"/>
            <rFont val="Tahoma"/>
            <family val="2"/>
          </rPr>
          <t>RBC:</t>
        </r>
        <r>
          <rPr>
            <sz val="8"/>
            <color indexed="81"/>
            <rFont val="Tahoma"/>
            <family val="2"/>
          </rPr>
          <t xml:space="preserve">
Generics in the category</t>
        </r>
      </text>
    </comment>
    <comment ref="BD22" authorId="4" shapeId="0" xr:uid="{00000000-0006-0000-0700-00004B000000}">
      <text>
        <r>
          <rPr>
            <b/>
            <sz val="9"/>
            <color indexed="81"/>
            <rFont val="Tahoma"/>
            <family val="2"/>
          </rPr>
          <t>MSMB:</t>
        </r>
        <r>
          <rPr>
            <sz val="9"/>
            <color indexed="81"/>
            <rFont val="Tahoma"/>
            <family val="2"/>
          </rPr>
          <t xml:space="preserve">
Losing share and weak flu season</t>
        </r>
      </text>
    </comment>
    <comment ref="BI22" authorId="5" shapeId="0" xr:uid="{00000000-0006-0000-0700-00004C000000}">
      <text>
        <r>
          <rPr>
            <b/>
            <sz val="9"/>
            <color indexed="81"/>
            <rFont val="Tahoma"/>
            <family val="2"/>
          </rPr>
          <t>Martin:</t>
        </r>
        <r>
          <rPr>
            <sz val="9"/>
            <color indexed="81"/>
            <rFont val="Tahoma"/>
            <family val="2"/>
          </rPr>
          <t xml:space="preserve">
Generic</t>
        </r>
      </text>
    </comment>
    <comment ref="DQ22" authorId="2" shapeId="0" xr:uid="{00000000-0006-0000-0700-00004D000000}">
      <text>
        <r>
          <rPr>
            <b/>
            <sz val="8"/>
            <color indexed="81"/>
            <rFont val="Tahoma"/>
            <family val="2"/>
          </rPr>
          <t>Martin Shkreli:</t>
        </r>
        <r>
          <rPr>
            <sz val="8"/>
            <color indexed="81"/>
            <rFont val="Tahoma"/>
            <family val="2"/>
          </rPr>
          <t xml:space="preserve">
12/28/90 Floxin approval</t>
        </r>
      </text>
    </comment>
    <comment ref="DV22" authorId="2" shapeId="0" xr:uid="{00000000-0006-0000-0700-00004E000000}">
      <text>
        <r>
          <rPr>
            <b/>
            <sz val="8"/>
            <color indexed="81"/>
            <rFont val="Tahoma"/>
            <family val="2"/>
          </rPr>
          <t>Martin Shkreli:</t>
        </r>
        <r>
          <rPr>
            <sz val="8"/>
            <color indexed="81"/>
            <rFont val="Tahoma"/>
            <family val="2"/>
          </rPr>
          <t xml:space="preserve">
185 JPM 165/20</t>
        </r>
      </text>
    </comment>
    <comment ref="DW22" authorId="2" shapeId="0" xr:uid="{00000000-0006-0000-0700-00004F000000}">
      <text>
        <r>
          <rPr>
            <b/>
            <sz val="8"/>
            <color indexed="81"/>
            <rFont val="Tahoma"/>
            <family val="2"/>
          </rPr>
          <t>Martin Shkreli:</t>
        </r>
        <r>
          <rPr>
            <sz val="8"/>
            <color indexed="81"/>
            <rFont val="Tahoma"/>
            <family val="2"/>
          </rPr>
          <t xml:space="preserve">
233 Pru
211 JPM 193/18</t>
        </r>
      </text>
    </comment>
    <comment ref="DX22" authorId="2" shapeId="0" xr:uid="{00000000-0006-0000-0700-000050000000}">
      <text>
        <r>
          <rPr>
            <b/>
            <sz val="8"/>
            <color indexed="81"/>
            <rFont val="Tahoma"/>
            <family val="2"/>
          </rPr>
          <t>Martin Shkreli:</t>
        </r>
        <r>
          <rPr>
            <sz val="8"/>
            <color indexed="81"/>
            <rFont val="Tahoma"/>
            <family val="2"/>
          </rPr>
          <t xml:space="preserve">
380 Pru
344/3 JPM 324/19
310 ? </t>
        </r>
      </text>
    </comment>
    <comment ref="DY22" authorId="2" shapeId="0" xr:uid="{00000000-0006-0000-0700-000051000000}">
      <text>
        <r>
          <rPr>
            <b/>
            <sz val="8"/>
            <color indexed="81"/>
            <rFont val="Tahoma"/>
            <family val="2"/>
          </rPr>
          <t>Martin Shkreli:</t>
        </r>
        <r>
          <rPr>
            <sz val="8"/>
            <color indexed="81"/>
            <rFont val="Tahoma"/>
            <family val="2"/>
          </rPr>
          <t xml:space="preserve">
450 Bear
518 Pru
471 JPM 443/28
316 Other</t>
        </r>
      </text>
    </comment>
    <comment ref="DZ22" authorId="2" shapeId="0" xr:uid="{00000000-0006-0000-0700-000052000000}">
      <text>
        <r>
          <rPr>
            <b/>
            <sz val="8"/>
            <color indexed="81"/>
            <rFont val="Tahoma"/>
            <family val="2"/>
          </rPr>
          <t>Martin Shkreli:</t>
        </r>
        <r>
          <rPr>
            <sz val="8"/>
            <color indexed="81"/>
            <rFont val="Tahoma"/>
            <family val="2"/>
          </rPr>
          <t xml:space="preserve">
726 Merrill
732 Bear
762/3 JPM 727/36</t>
        </r>
      </text>
    </comment>
    <comment ref="EA22" authorId="2" shapeId="0" xr:uid="{00000000-0006-0000-0700-000053000000}">
      <text>
        <r>
          <rPr>
            <b/>
            <sz val="8"/>
            <color indexed="81"/>
            <rFont val="Tahoma"/>
            <family val="2"/>
          </rPr>
          <t>Martin Shkreli:</t>
        </r>
        <r>
          <rPr>
            <sz val="8"/>
            <color indexed="81"/>
            <rFont val="Tahoma"/>
            <family val="2"/>
          </rPr>
          <t xml:space="preserve">
1088 JPM 1040/48</t>
        </r>
      </text>
    </comment>
    <comment ref="EB22" authorId="2" shapeId="0" xr:uid="{00000000-0006-0000-0700-000054000000}">
      <text>
        <r>
          <rPr>
            <b/>
            <sz val="8"/>
            <color indexed="81"/>
            <rFont val="Tahoma"/>
            <family val="2"/>
          </rPr>
          <t>Martin Shkreli:</t>
        </r>
        <r>
          <rPr>
            <sz val="8"/>
            <color indexed="81"/>
            <rFont val="Tahoma"/>
            <family val="2"/>
          </rPr>
          <t xml:space="preserve">
JPM 1052
Almost all sales are US</t>
        </r>
      </text>
    </comment>
    <comment ref="EN23" authorId="2" shapeId="0" xr:uid="{00000000-0006-0000-0700-000088000000}">
      <text>
        <r>
          <rPr>
            <b/>
            <sz val="8"/>
            <color indexed="81"/>
            <rFont val="Tahoma"/>
            <family val="2"/>
          </rPr>
          <t>Martin Shkreli:</t>
        </r>
        <r>
          <rPr>
            <sz val="8"/>
            <color indexed="81"/>
            <rFont val="Tahoma"/>
            <family val="2"/>
          </rPr>
          <t xml:space="preserve">
423m Piper est</t>
        </r>
      </text>
    </comment>
    <comment ref="EM25" authorId="2" shapeId="0" xr:uid="{00000000-0006-0000-0700-000089000000}">
      <text>
        <r>
          <rPr>
            <b/>
            <sz val="8"/>
            <color indexed="81"/>
            <rFont val="Tahoma"/>
            <family val="2"/>
          </rPr>
          <t>Martin Shkreli:</t>
        </r>
        <r>
          <rPr>
            <sz val="8"/>
            <color indexed="81"/>
            <rFont val="Tahoma"/>
            <family val="2"/>
          </rPr>
          <t xml:space="preserve">
300m MS est
33m Piper est</t>
        </r>
      </text>
    </comment>
    <comment ref="EN25" authorId="2" shapeId="0" xr:uid="{00000000-0006-0000-0700-00008A000000}">
      <text>
        <r>
          <rPr>
            <b/>
            <sz val="8"/>
            <color indexed="81"/>
            <rFont val="Tahoma"/>
            <family val="2"/>
          </rPr>
          <t>Martin Shkreli:</t>
        </r>
        <r>
          <rPr>
            <sz val="8"/>
            <color indexed="81"/>
            <rFont val="Tahoma"/>
            <family val="2"/>
          </rPr>
          <t xml:space="preserve">
63m Piper est</t>
        </r>
      </text>
    </comment>
    <comment ref="CU26" authorId="17" shapeId="0" xr:uid="{E7F0D7A6-EE22-43A1-B4A6-C9D75BE5A1EB}">
      <text>
        <t>[Threaded comment]
Your version of Excel allows you to read this threaded comment; however, any edits to it will get removed if the file is opened in a newer version of Excel. Learn more: https://go.microsoft.com/fwlink/?linkid=870924
Comment:
    Q121: 117m</t>
      </text>
    </comment>
    <comment ref="S35" authorId="2" shapeId="0" xr:uid="{00000000-0006-0000-0700-00003D000000}">
      <text>
        <r>
          <rPr>
            <b/>
            <sz val="8"/>
            <color indexed="81"/>
            <rFont val="Tahoma"/>
            <family val="2"/>
          </rPr>
          <t>Martin Shkreli:</t>
        </r>
        <r>
          <rPr>
            <sz val="8"/>
            <color indexed="81"/>
            <rFont val="Tahoma"/>
            <family val="2"/>
          </rPr>
          <t xml:space="preserve">
769 MS
768 GS
775 JPM</t>
        </r>
      </text>
    </comment>
    <comment ref="AU35" authorId="3" shapeId="0" xr:uid="{00000000-0006-0000-0700-00003E000000}">
      <text>
        <r>
          <rPr>
            <b/>
            <sz val="8"/>
            <color indexed="8"/>
            <rFont val="Times New Roman"/>
            <family val="1"/>
          </rPr>
          <t xml:space="preserve">Bloomberg:
</t>
        </r>
        <r>
          <rPr>
            <sz val="8"/>
            <color indexed="8"/>
            <rFont val="Times New Roman"/>
            <family val="1"/>
          </rPr>
          <t>ODAC ADCOM.
Inc. share 1% y/y</t>
        </r>
      </text>
    </comment>
    <comment ref="AZ35" authorId="2" shapeId="0" xr:uid="{00000000-0006-0000-0700-00003F000000}">
      <text>
        <r>
          <rPr>
            <b/>
            <sz val="8"/>
            <color indexed="81"/>
            <rFont val="Tahoma"/>
            <family val="2"/>
          </rPr>
          <t>Martin Shkreli:</t>
        </r>
        <r>
          <rPr>
            <sz val="8"/>
            <color indexed="81"/>
            <rFont val="Tahoma"/>
            <family val="2"/>
          </rPr>
          <t xml:space="preserve">
Share up 5% Y/Y</t>
        </r>
      </text>
    </comment>
    <comment ref="BA35" authorId="13" shapeId="0" xr:uid="{00000000-0006-0000-0700-000040000000}">
      <text>
        <r>
          <rPr>
            <b/>
            <sz val="8"/>
            <color indexed="81"/>
            <rFont val="Tahoma"/>
            <family val="2"/>
          </rPr>
          <t>Marek Biestek:</t>
        </r>
        <r>
          <rPr>
            <sz val="8"/>
            <color indexed="81"/>
            <rFont val="Tahoma"/>
            <family val="2"/>
          </rPr>
          <t xml:space="preserve">
Well below expected</t>
        </r>
      </text>
    </comment>
    <comment ref="DP35" authorId="2" shapeId="0" xr:uid="{00000000-0006-0000-0700-000041000000}">
      <text>
        <r>
          <rPr>
            <b/>
            <sz val="8"/>
            <color indexed="81"/>
            <rFont val="Tahoma"/>
            <family val="2"/>
          </rPr>
          <t>Martin Shkreli:</t>
        </r>
        <r>
          <rPr>
            <sz val="8"/>
            <color indexed="81"/>
            <rFont val="Tahoma"/>
            <family val="2"/>
          </rPr>
          <t xml:space="preserve">
6/1/1989 approval</t>
        </r>
      </text>
    </comment>
    <comment ref="DV35" authorId="2" shapeId="0" xr:uid="{00000000-0006-0000-0700-000042000000}">
      <text>
        <r>
          <rPr>
            <b/>
            <sz val="8"/>
            <color indexed="81"/>
            <rFont val="Tahoma"/>
            <family val="2"/>
          </rPr>
          <t>Martin Shkreli:</t>
        </r>
        <r>
          <rPr>
            <sz val="8"/>
            <color indexed="81"/>
            <rFont val="Tahoma"/>
            <family val="2"/>
          </rPr>
          <t xml:space="preserve">
840 Pru
846 JPM</t>
        </r>
      </text>
    </comment>
    <comment ref="DW35" authorId="2" shapeId="0" xr:uid="{00000000-0006-0000-0700-000043000000}">
      <text>
        <r>
          <rPr>
            <b/>
            <sz val="8"/>
            <color indexed="81"/>
            <rFont val="Tahoma"/>
            <family val="2"/>
          </rPr>
          <t>Martin Shkreli:</t>
        </r>
        <r>
          <rPr>
            <sz val="8"/>
            <color indexed="81"/>
            <rFont val="Tahoma"/>
            <family val="2"/>
          </rPr>
          <t xml:space="preserve">
1000 Bear
1008 Pru
1016 JPM</t>
        </r>
      </text>
    </comment>
    <comment ref="DX35" authorId="2" shapeId="0" xr:uid="{00000000-0006-0000-0700-000044000000}">
      <text>
        <r>
          <rPr>
            <b/>
            <sz val="8"/>
            <color indexed="81"/>
            <rFont val="Tahoma"/>
            <family val="2"/>
          </rPr>
          <t>Martin Shkreli:</t>
        </r>
        <r>
          <rPr>
            <sz val="8"/>
            <color indexed="81"/>
            <rFont val="Tahoma"/>
            <family val="2"/>
          </rPr>
          <t xml:space="preserve">
1145 Bear
1149 Pru
1162 JPM
1160/1158 MS 502/656
1135 ?</t>
        </r>
      </text>
    </comment>
    <comment ref="DY35" authorId="2" shapeId="0" xr:uid="{00000000-0006-0000-0700-000045000000}">
      <text>
        <r>
          <rPr>
            <b/>
            <sz val="8"/>
            <color indexed="81"/>
            <rFont val="Tahoma"/>
            <family val="2"/>
          </rPr>
          <t>Martin Shkreli:</t>
        </r>
        <r>
          <rPr>
            <sz val="8"/>
            <color indexed="81"/>
            <rFont val="Tahoma"/>
            <family val="2"/>
          </rPr>
          <t xml:space="preserve">
1470 Bear
1482 Pru
1494/5 JPM 752/743
1498 MS</t>
        </r>
      </text>
    </comment>
    <comment ref="DZ35" authorId="2" shapeId="0" xr:uid="{00000000-0006-0000-0700-000046000000}">
      <text>
        <r>
          <rPr>
            <b/>
            <sz val="8"/>
            <color indexed="81"/>
            <rFont val="Tahoma"/>
            <family val="2"/>
          </rPr>
          <t>Martin Shkreli:</t>
        </r>
        <r>
          <rPr>
            <sz val="8"/>
            <color indexed="81"/>
            <rFont val="Tahoma"/>
            <family val="2"/>
          </rPr>
          <t xml:space="preserve">
2055 Merrill
2065 Bear
2094 JPM 1240/854
</t>
        </r>
      </text>
    </comment>
    <comment ref="EA35" authorId="2" shapeId="0" xr:uid="{00000000-0006-0000-0700-000047000000}">
      <text>
        <r>
          <rPr>
            <b/>
            <sz val="8"/>
            <color indexed="81"/>
            <rFont val="Tahoma"/>
            <family val="2"/>
          </rPr>
          <t>Martin Shkreli:</t>
        </r>
        <r>
          <rPr>
            <sz val="8"/>
            <color indexed="81"/>
            <rFont val="Tahoma"/>
            <family val="2"/>
          </rPr>
          <t xml:space="preserve">
1810/899 JPM</t>
        </r>
      </text>
    </comment>
    <comment ref="B36" authorId="2" shapeId="0" xr:uid="{00000000-0006-0000-0700-000077000000}">
      <text>
        <r>
          <rPr>
            <b/>
            <sz val="8"/>
            <color indexed="81"/>
            <rFont val="Tahoma"/>
            <family val="2"/>
          </rPr>
          <t>Martin Shkreli:</t>
        </r>
        <r>
          <rPr>
            <sz val="8"/>
            <color indexed="81"/>
            <rFont val="Tahoma"/>
            <family val="2"/>
          </rPr>
          <t xml:space="preserve">
10/16/2003 license</t>
        </r>
      </text>
    </comment>
    <comment ref="ED36" authorId="2" shapeId="0" xr:uid="{00000000-0006-0000-0700-000078000000}">
      <text>
        <r>
          <rPr>
            <b/>
            <sz val="8"/>
            <color indexed="81"/>
            <rFont val="Tahoma"/>
            <family val="2"/>
          </rPr>
          <t>Martin Shkreli:</t>
        </r>
        <r>
          <rPr>
            <sz val="8"/>
            <color indexed="81"/>
            <rFont val="Tahoma"/>
            <family val="2"/>
          </rPr>
          <t xml:space="preserve">
10/16/2003 license</t>
        </r>
      </text>
    </comment>
    <comment ref="EJ36" authorId="2" shapeId="0" xr:uid="{00000000-0006-0000-0700-000079000000}">
      <text>
        <r>
          <rPr>
            <b/>
            <sz val="8"/>
            <color indexed="81"/>
            <rFont val="Tahoma"/>
            <family val="2"/>
          </rPr>
          <t>Martin Shkreli:</t>
        </r>
        <r>
          <rPr>
            <sz val="8"/>
            <color indexed="81"/>
            <rFont val="Tahoma"/>
            <family val="2"/>
          </rPr>
          <t xml:space="preserve">
JPM estimated 425 in 2003</t>
        </r>
      </text>
    </comment>
    <comment ref="S40" authorId="2" shapeId="0" xr:uid="{00000000-0006-0000-0700-00008B000000}">
      <text>
        <r>
          <rPr>
            <b/>
            <sz val="8"/>
            <color indexed="81"/>
            <rFont val="Tahoma"/>
            <family val="2"/>
          </rPr>
          <t>Martin Shkreli:</t>
        </r>
        <r>
          <rPr>
            <sz val="8"/>
            <color indexed="81"/>
            <rFont val="Tahoma"/>
            <family val="2"/>
          </rPr>
          <t xml:space="preserve">
Bear IMS estimate 112</t>
        </r>
      </text>
    </comment>
    <comment ref="T40" authorId="2" shapeId="0" xr:uid="{00000000-0006-0000-0700-00008C000000}">
      <text>
        <r>
          <rPr>
            <b/>
            <sz val="8"/>
            <color indexed="81"/>
            <rFont val="Tahoma"/>
            <family val="2"/>
          </rPr>
          <t>Martin Shkreli:</t>
        </r>
        <r>
          <rPr>
            <sz val="8"/>
            <color indexed="81"/>
            <rFont val="Tahoma"/>
            <family val="2"/>
          </rPr>
          <t xml:space="preserve">
Bear IMS estimate 117</t>
        </r>
      </text>
    </comment>
    <comment ref="U40" authorId="2" shapeId="0" xr:uid="{00000000-0006-0000-0700-00008D000000}">
      <text>
        <r>
          <rPr>
            <b/>
            <sz val="8"/>
            <color indexed="81"/>
            <rFont val="Tahoma"/>
            <family val="2"/>
          </rPr>
          <t>Martin Shkreli:</t>
        </r>
        <r>
          <rPr>
            <sz val="8"/>
            <color indexed="81"/>
            <rFont val="Tahoma"/>
            <family val="2"/>
          </rPr>
          <t xml:space="preserve">
Bear IMS estimate 130</t>
        </r>
      </text>
    </comment>
    <comment ref="V40" authorId="2" shapeId="0" xr:uid="{00000000-0006-0000-0700-00008E000000}">
      <text>
        <r>
          <rPr>
            <b/>
            <sz val="8"/>
            <color indexed="81"/>
            <rFont val="Tahoma"/>
            <family val="2"/>
          </rPr>
          <t>Martin Shkreli:</t>
        </r>
        <r>
          <rPr>
            <sz val="8"/>
            <color indexed="81"/>
            <rFont val="Tahoma"/>
            <family val="2"/>
          </rPr>
          <t xml:space="preserve">
Bear IMS estimate 143</t>
        </r>
      </text>
    </comment>
    <comment ref="W40" authorId="2" shapeId="0" xr:uid="{00000000-0006-0000-0700-00008F000000}">
      <text>
        <r>
          <rPr>
            <b/>
            <sz val="8"/>
            <color indexed="81"/>
            <rFont val="Tahoma"/>
            <family val="2"/>
          </rPr>
          <t>Martin Shkreli:</t>
        </r>
        <r>
          <rPr>
            <sz val="8"/>
            <color indexed="81"/>
            <rFont val="Tahoma"/>
            <family val="2"/>
          </rPr>
          <t xml:space="preserve">
Bear IMS estimate 147</t>
        </r>
      </text>
    </comment>
    <comment ref="X40" authorId="2" shapeId="0" xr:uid="{00000000-0006-0000-0700-000090000000}">
      <text>
        <r>
          <rPr>
            <b/>
            <sz val="8"/>
            <color indexed="81"/>
            <rFont val="Tahoma"/>
            <family val="2"/>
          </rPr>
          <t>Martin Shkreli:</t>
        </r>
        <r>
          <rPr>
            <sz val="8"/>
            <color indexed="81"/>
            <rFont val="Tahoma"/>
            <family val="2"/>
          </rPr>
          <t xml:space="preserve">
Bear IMS estimate 146</t>
        </r>
      </text>
    </comment>
    <comment ref="Y40" authorId="2" shapeId="0" xr:uid="{00000000-0006-0000-0700-000091000000}">
      <text>
        <r>
          <rPr>
            <b/>
            <sz val="8"/>
            <color indexed="81"/>
            <rFont val="Tahoma"/>
            <family val="2"/>
          </rPr>
          <t>Martin Shkreli:</t>
        </r>
        <r>
          <rPr>
            <sz val="8"/>
            <color indexed="81"/>
            <rFont val="Tahoma"/>
            <family val="2"/>
          </rPr>
          <t xml:space="preserve">
Bear IMS estimate 64</t>
        </r>
      </text>
    </comment>
    <comment ref="Z40" authorId="2" shapeId="0" xr:uid="{00000000-0006-0000-0700-000092000000}">
      <text>
        <r>
          <rPr>
            <b/>
            <sz val="8"/>
            <color indexed="81"/>
            <rFont val="Tahoma"/>
            <family val="2"/>
          </rPr>
          <t>Martin Shkreli:</t>
        </r>
        <r>
          <rPr>
            <sz val="8"/>
            <color indexed="81"/>
            <rFont val="Tahoma"/>
            <family val="2"/>
          </rPr>
          <t xml:space="preserve">
Bear IMS estimate 57</t>
        </r>
      </text>
    </comment>
    <comment ref="AA40" authorId="2" shapeId="0" xr:uid="{00000000-0006-0000-0700-000093000000}">
      <text>
        <r>
          <rPr>
            <b/>
            <sz val="8"/>
            <color indexed="81"/>
            <rFont val="Tahoma"/>
            <family val="2"/>
          </rPr>
          <t>Martin Shkreli:</t>
        </r>
        <r>
          <rPr>
            <sz val="8"/>
            <color indexed="81"/>
            <rFont val="Tahoma"/>
            <family val="2"/>
          </rPr>
          <t xml:space="preserve">
Bear IMS estimate 59</t>
        </r>
      </text>
    </comment>
    <comment ref="AB40" authorId="2" shapeId="0" xr:uid="{00000000-0006-0000-0700-000094000000}">
      <text>
        <r>
          <rPr>
            <b/>
            <sz val="8"/>
            <color indexed="81"/>
            <rFont val="Tahoma"/>
            <family val="2"/>
          </rPr>
          <t>Martin Shkreli:</t>
        </r>
        <r>
          <rPr>
            <sz val="8"/>
            <color indexed="81"/>
            <rFont val="Tahoma"/>
            <family val="2"/>
          </rPr>
          <t xml:space="preserve">
Bear IMS estimate 60</t>
        </r>
      </text>
    </comment>
    <comment ref="AC40" authorId="2" shapeId="0" xr:uid="{00000000-0006-0000-0700-000095000000}">
      <text>
        <r>
          <rPr>
            <b/>
            <sz val="8"/>
            <color indexed="81"/>
            <rFont val="Tahoma"/>
            <family val="2"/>
          </rPr>
          <t>Martin Shkreli:</t>
        </r>
        <r>
          <rPr>
            <sz val="8"/>
            <color indexed="81"/>
            <rFont val="Tahoma"/>
            <family val="2"/>
          </rPr>
          <t xml:space="preserve">
Bear IMS estimate 63</t>
        </r>
      </text>
    </comment>
    <comment ref="AD40" authorId="2" shapeId="0" xr:uid="{00000000-0006-0000-0700-000096000000}">
      <text>
        <r>
          <rPr>
            <b/>
            <sz val="8"/>
            <color indexed="81"/>
            <rFont val="Tahoma"/>
            <family val="2"/>
          </rPr>
          <t>Martin Shkreli:</t>
        </r>
        <r>
          <rPr>
            <sz val="8"/>
            <color indexed="81"/>
            <rFont val="Tahoma"/>
            <family val="2"/>
          </rPr>
          <t xml:space="preserve">
Bear IMS estimate 65</t>
        </r>
      </text>
    </comment>
    <comment ref="AE40" authorId="2" shapeId="0" xr:uid="{00000000-0006-0000-0700-000097000000}">
      <text>
        <r>
          <rPr>
            <b/>
            <sz val="8"/>
            <color indexed="81"/>
            <rFont val="Tahoma"/>
            <family val="2"/>
          </rPr>
          <t>Martin Shkreli:</t>
        </r>
        <r>
          <rPr>
            <sz val="8"/>
            <color indexed="81"/>
            <rFont val="Tahoma"/>
            <family val="2"/>
          </rPr>
          <t xml:space="preserve">
Bear IMS estimate 64</t>
        </r>
      </text>
    </comment>
    <comment ref="AF40" authorId="2" shapeId="0" xr:uid="{00000000-0006-0000-0700-000098000000}">
      <text>
        <r>
          <rPr>
            <b/>
            <sz val="8"/>
            <color indexed="81"/>
            <rFont val="Tahoma"/>
            <family val="2"/>
          </rPr>
          <t>Martin Shkreli:</t>
        </r>
        <r>
          <rPr>
            <sz val="8"/>
            <color indexed="81"/>
            <rFont val="Tahoma"/>
            <family val="2"/>
          </rPr>
          <t xml:space="preserve">
Bear IMS estimate 69</t>
        </r>
      </text>
    </comment>
    <comment ref="AG40" authorId="2" shapeId="0" xr:uid="{00000000-0006-0000-0700-000099000000}">
      <text>
        <r>
          <rPr>
            <b/>
            <sz val="8"/>
            <color indexed="81"/>
            <rFont val="Tahoma"/>
            <family val="2"/>
          </rPr>
          <t>Martin Shkreli:</t>
        </r>
        <r>
          <rPr>
            <sz val="8"/>
            <color indexed="81"/>
            <rFont val="Tahoma"/>
            <family val="2"/>
          </rPr>
          <t xml:space="preserve">
Bear IMS estimate 72</t>
        </r>
      </text>
    </comment>
    <comment ref="AH40" authorId="2" shapeId="0" xr:uid="{00000000-0006-0000-0700-00009A000000}">
      <text>
        <r>
          <rPr>
            <b/>
            <sz val="8"/>
            <color indexed="81"/>
            <rFont val="Tahoma"/>
            <family val="2"/>
          </rPr>
          <t>Martin Shkreli:</t>
        </r>
        <r>
          <rPr>
            <sz val="8"/>
            <color indexed="81"/>
            <rFont val="Tahoma"/>
            <family val="2"/>
          </rPr>
          <t xml:space="preserve">
Bear IMS estimate 74</t>
        </r>
      </text>
    </comment>
    <comment ref="AI40" authorId="2" shapeId="0" xr:uid="{00000000-0006-0000-0700-00009B000000}">
      <text>
        <r>
          <rPr>
            <b/>
            <sz val="8"/>
            <color indexed="81"/>
            <rFont val="Tahoma"/>
            <family val="2"/>
          </rPr>
          <t>Martin Shkreli:</t>
        </r>
        <r>
          <rPr>
            <sz val="8"/>
            <color indexed="81"/>
            <rFont val="Tahoma"/>
            <family val="2"/>
          </rPr>
          <t xml:space="preserve">
Bear IMS estimate</t>
        </r>
      </text>
    </comment>
    <comment ref="AJ40" authorId="2" shapeId="0" xr:uid="{00000000-0006-0000-0700-00009C000000}">
      <text>
        <r>
          <rPr>
            <b/>
            <sz val="8"/>
            <color indexed="81"/>
            <rFont val="Tahoma"/>
            <family val="2"/>
          </rPr>
          <t>Martin Shkreli:</t>
        </r>
        <r>
          <rPr>
            <sz val="8"/>
            <color indexed="81"/>
            <rFont val="Tahoma"/>
            <family val="2"/>
          </rPr>
          <t xml:space="preserve">
Bear IMS estimate</t>
        </r>
      </text>
    </comment>
    <comment ref="AK40" authorId="2" shapeId="0" xr:uid="{00000000-0006-0000-0700-00009D000000}">
      <text>
        <r>
          <rPr>
            <b/>
            <sz val="8"/>
            <color indexed="81"/>
            <rFont val="Tahoma"/>
            <family val="2"/>
          </rPr>
          <t>Martin Shkreli:</t>
        </r>
        <r>
          <rPr>
            <sz val="8"/>
            <color indexed="81"/>
            <rFont val="Tahoma"/>
            <family val="2"/>
          </rPr>
          <t xml:space="preserve">
Bear IMS estimate</t>
        </r>
      </text>
    </comment>
    <comment ref="AL40" authorId="2" shapeId="0" xr:uid="{00000000-0006-0000-0700-00009E000000}">
      <text>
        <r>
          <rPr>
            <b/>
            <sz val="8"/>
            <color indexed="81"/>
            <rFont val="Tahoma"/>
            <family val="2"/>
          </rPr>
          <t>Martin Shkreli:</t>
        </r>
        <r>
          <rPr>
            <sz val="8"/>
            <color indexed="81"/>
            <rFont val="Tahoma"/>
            <family val="2"/>
          </rPr>
          <t xml:space="preserve">
Bear IMS estimate</t>
        </r>
      </text>
    </comment>
    <comment ref="AM40" authorId="2" shapeId="0" xr:uid="{00000000-0006-0000-0700-00009F000000}">
      <text>
        <r>
          <rPr>
            <b/>
            <sz val="8"/>
            <color indexed="81"/>
            <rFont val="Tahoma"/>
            <family val="2"/>
          </rPr>
          <t>Martin Shkreli:</t>
        </r>
        <r>
          <rPr>
            <sz val="8"/>
            <color indexed="81"/>
            <rFont val="Tahoma"/>
            <family val="2"/>
          </rPr>
          <t xml:space="preserve">
Bear IMS estimate</t>
        </r>
      </text>
    </comment>
    <comment ref="AN40" authorId="2" shapeId="0" xr:uid="{00000000-0006-0000-0700-0000A0000000}">
      <text>
        <r>
          <rPr>
            <b/>
            <sz val="8"/>
            <color indexed="81"/>
            <rFont val="Tahoma"/>
            <family val="2"/>
          </rPr>
          <t>Martin Shkreli:</t>
        </r>
        <r>
          <rPr>
            <sz val="8"/>
            <color indexed="81"/>
            <rFont val="Tahoma"/>
            <family val="2"/>
          </rPr>
          <t xml:space="preserve">
Bear IMS estimate</t>
        </r>
      </text>
    </comment>
    <comment ref="DV40" authorId="2" shapeId="0" xr:uid="{00000000-0006-0000-0700-0000A1000000}">
      <text>
        <r>
          <rPr>
            <b/>
            <sz val="8"/>
            <color indexed="81"/>
            <rFont val="Tahoma"/>
            <family val="2"/>
          </rPr>
          <t>Martin Shkreli:</t>
        </r>
        <r>
          <rPr>
            <sz val="8"/>
            <color indexed="81"/>
            <rFont val="Tahoma"/>
            <family val="2"/>
          </rPr>
          <t xml:space="preserve">
3/3/95 approval
158 JPM 158/0</t>
        </r>
      </text>
    </comment>
    <comment ref="DW40" authorId="2" shapeId="0" xr:uid="{00000000-0006-0000-0700-0000A2000000}">
      <text>
        <r>
          <rPr>
            <b/>
            <sz val="8"/>
            <color indexed="81"/>
            <rFont val="Tahoma"/>
            <family val="2"/>
          </rPr>
          <t>Martin Shkreli:</t>
        </r>
        <r>
          <rPr>
            <sz val="8"/>
            <color indexed="81"/>
            <rFont val="Tahoma"/>
            <family val="2"/>
          </rPr>
          <t xml:space="preserve">
264 Pru
255 JPM 255/0</t>
        </r>
      </text>
    </comment>
    <comment ref="DX40" authorId="2" shapeId="0" xr:uid="{00000000-0006-0000-0700-0000A3000000}">
      <text>
        <r>
          <rPr>
            <b/>
            <sz val="8"/>
            <color indexed="81"/>
            <rFont val="Tahoma"/>
            <family val="2"/>
          </rPr>
          <t>Martin Shkreli:</t>
        </r>
        <r>
          <rPr>
            <sz val="8"/>
            <color indexed="81"/>
            <rFont val="Tahoma"/>
            <family val="2"/>
          </rPr>
          <t xml:space="preserve">
338 Pru
320 Piper
327/8 JPM 327/0
320 ?</t>
        </r>
      </text>
    </comment>
    <comment ref="DY40" authorId="2" shapeId="0" xr:uid="{00000000-0006-0000-0700-0000A4000000}">
      <text>
        <r>
          <rPr>
            <b/>
            <sz val="8"/>
            <color indexed="81"/>
            <rFont val="Tahoma"/>
            <family val="2"/>
          </rPr>
          <t>Martin Shkreli:</t>
        </r>
        <r>
          <rPr>
            <sz val="8"/>
            <color indexed="81"/>
            <rFont val="Tahoma"/>
            <family val="2"/>
          </rPr>
          <t xml:space="preserve">
367 Bear
403 Pru
370 Piper
376 JPM 376/0
368 ?</t>
        </r>
      </text>
    </comment>
    <comment ref="DZ40" authorId="2" shapeId="0" xr:uid="{00000000-0006-0000-0700-0000A5000000}">
      <text>
        <r>
          <rPr>
            <b/>
            <sz val="8"/>
            <color indexed="81"/>
            <rFont val="Tahoma"/>
            <family val="2"/>
          </rPr>
          <t>Martin Shkreli:</t>
        </r>
        <r>
          <rPr>
            <sz val="8"/>
            <color indexed="81"/>
            <rFont val="Tahoma"/>
            <family val="2"/>
          </rPr>
          <t xml:space="preserve">
444 Merrill
440 Bear
445 Piper
454 JPM 451/3
442 ?</t>
        </r>
      </text>
    </comment>
    <comment ref="EA40" authorId="2" shapeId="0" xr:uid="{00000000-0006-0000-0700-0000A6000000}">
      <text>
        <r>
          <rPr>
            <b/>
            <sz val="8"/>
            <color indexed="81"/>
            <rFont val="Tahoma"/>
            <family val="2"/>
          </rPr>
          <t>Martin Shkreli:</t>
        </r>
        <r>
          <rPr>
            <sz val="8"/>
            <color indexed="81"/>
            <rFont val="Tahoma"/>
            <family val="2"/>
          </rPr>
          <t xml:space="preserve">
521 JPM 517/4</t>
        </r>
      </text>
    </comment>
    <comment ref="EB40" authorId="2" shapeId="0" xr:uid="{00000000-0006-0000-0700-0000A7000000}">
      <text>
        <r>
          <rPr>
            <b/>
            <sz val="8"/>
            <color indexed="81"/>
            <rFont val="Tahoma"/>
            <family val="2"/>
          </rPr>
          <t>Martin Shkreli:</t>
        </r>
        <r>
          <rPr>
            <sz val="8"/>
            <color indexed="81"/>
            <rFont val="Tahoma"/>
            <family val="2"/>
          </rPr>
          <t xml:space="preserve">
Bear IMS estimate 503
IMS Raw audit 671</t>
        </r>
      </text>
    </comment>
    <comment ref="EC40" authorId="2" shapeId="0" xr:uid="{00000000-0006-0000-0700-0000A8000000}">
      <text>
        <r>
          <rPr>
            <b/>
            <sz val="8"/>
            <color indexed="81"/>
            <rFont val="Tahoma"/>
            <family val="2"/>
          </rPr>
          <t>Martin Shkreli:</t>
        </r>
        <r>
          <rPr>
            <sz val="8"/>
            <color indexed="81"/>
            <rFont val="Tahoma"/>
            <family val="2"/>
          </rPr>
          <t xml:space="preserve">
Bear IMS estimate 414
IMS raw audit 552</t>
        </r>
      </text>
    </comment>
    <comment ref="ED40" authorId="2" shapeId="0" xr:uid="{00000000-0006-0000-0700-0000A9000000}">
      <text>
        <r>
          <rPr>
            <b/>
            <sz val="8"/>
            <color indexed="81"/>
            <rFont val="Tahoma"/>
            <family val="2"/>
          </rPr>
          <t>Martin Shkreli:</t>
        </r>
        <r>
          <rPr>
            <sz val="8"/>
            <color indexed="81"/>
            <rFont val="Tahoma"/>
            <family val="2"/>
          </rPr>
          <t xml:space="preserve">
Bear IMS estimate 247
IMS raw audit 329</t>
        </r>
      </text>
    </comment>
    <comment ref="EE40" authorId="2" shapeId="0" xr:uid="{00000000-0006-0000-0700-0000AA000000}">
      <text>
        <r>
          <rPr>
            <b/>
            <sz val="8"/>
            <color indexed="81"/>
            <rFont val="Tahoma"/>
            <family val="2"/>
          </rPr>
          <t>Martin Shkreli:</t>
        </r>
        <r>
          <rPr>
            <sz val="8"/>
            <color indexed="81"/>
            <rFont val="Tahoma"/>
            <family val="2"/>
          </rPr>
          <t xml:space="preserve">
Bear IMS estimate 279
IMS raw audit 372</t>
        </r>
      </text>
    </comment>
    <comment ref="EF40" authorId="2" shapeId="0" xr:uid="{00000000-0006-0000-0700-0000AB000000}">
      <text>
        <r>
          <rPr>
            <b/>
            <sz val="8"/>
            <color indexed="81"/>
            <rFont val="Tahoma"/>
            <family val="2"/>
          </rPr>
          <t>Martin Shkreli:</t>
        </r>
        <r>
          <rPr>
            <sz val="8"/>
            <color indexed="81"/>
            <rFont val="Tahoma"/>
            <family val="2"/>
          </rPr>
          <t xml:space="preserve">
Bear IMS estimate 145
IMS raw audit 193</t>
        </r>
      </text>
    </comment>
    <comment ref="DS41" authorId="2" shapeId="0" xr:uid="{00000000-0006-0000-0700-0000AC000000}">
      <text>
        <r>
          <rPr>
            <b/>
            <sz val="8"/>
            <color indexed="81"/>
            <rFont val="Tahoma"/>
            <family val="2"/>
          </rPr>
          <t>Martin Shkreli:</t>
        </r>
        <r>
          <rPr>
            <sz val="8"/>
            <color indexed="81"/>
            <rFont val="Tahoma"/>
            <family val="2"/>
          </rPr>
          <t xml:space="preserve">
9/11/92 approval</t>
        </r>
      </text>
    </comment>
    <comment ref="DV41" authorId="2" shapeId="0" xr:uid="{00000000-0006-0000-0700-0000AD000000}">
      <text>
        <r>
          <rPr>
            <b/>
            <sz val="8"/>
            <color indexed="81"/>
            <rFont val="Tahoma"/>
            <family val="2"/>
          </rPr>
          <t>Martin Shkreli:</t>
        </r>
        <r>
          <rPr>
            <sz val="8"/>
            <color indexed="81"/>
            <rFont val="Tahoma"/>
            <family val="2"/>
          </rPr>
          <t xml:space="preserve">
490 JPM 100/390</t>
        </r>
      </text>
    </comment>
    <comment ref="DW41" authorId="2" shapeId="0" xr:uid="{00000000-0006-0000-0700-0000AE000000}">
      <text>
        <r>
          <rPr>
            <b/>
            <sz val="8"/>
            <color indexed="81"/>
            <rFont val="Tahoma"/>
            <family val="2"/>
          </rPr>
          <t>Martin Shkreli:</t>
        </r>
        <r>
          <rPr>
            <sz val="8"/>
            <color indexed="81"/>
            <rFont val="Tahoma"/>
            <family val="2"/>
          </rPr>
          <t xml:space="preserve">
657 Pru
649 JPM 289/360</t>
        </r>
      </text>
    </comment>
    <comment ref="DX41" authorId="2" shapeId="0" xr:uid="{00000000-0006-0000-0700-0000AF000000}">
      <text>
        <r>
          <rPr>
            <b/>
            <sz val="8"/>
            <color indexed="81"/>
            <rFont val="Tahoma"/>
            <family val="2"/>
          </rPr>
          <t>Martin Shkreli:</t>
        </r>
        <r>
          <rPr>
            <sz val="8"/>
            <color indexed="81"/>
            <rFont val="Tahoma"/>
            <family val="2"/>
          </rPr>
          <t xml:space="preserve">
578 Pru
568 Piper
570 JPM 214/356
565 ?</t>
        </r>
      </text>
    </comment>
    <comment ref="DY41" authorId="2" shapeId="0" xr:uid="{00000000-0006-0000-0700-0000B0000000}">
      <text>
        <r>
          <rPr>
            <b/>
            <sz val="8"/>
            <color indexed="81"/>
            <rFont val="Tahoma"/>
            <family val="2"/>
          </rPr>
          <t>Martin Shkreli:</t>
        </r>
        <r>
          <rPr>
            <sz val="8"/>
            <color indexed="81"/>
            <rFont val="Tahoma"/>
            <family val="2"/>
          </rPr>
          <t xml:space="preserve">
543 Bear
555 Pru
548 Piper
549 JPM 236/313
547 ?</t>
        </r>
      </text>
    </comment>
    <comment ref="DZ41" authorId="2" shapeId="0" xr:uid="{00000000-0006-0000-0700-0000B1000000}">
      <text>
        <r>
          <rPr>
            <b/>
            <sz val="8"/>
            <color indexed="81"/>
            <rFont val="Tahoma"/>
            <family val="2"/>
          </rPr>
          <t>Martin Shkreli:</t>
        </r>
        <r>
          <rPr>
            <sz val="8"/>
            <color indexed="81"/>
            <rFont val="Tahoma"/>
            <family val="2"/>
          </rPr>
          <t xml:space="preserve">
602 Merrill
588 Bear
595 ?
595 jpm 238/357</t>
        </r>
      </text>
    </comment>
    <comment ref="EE41" authorId="2" shapeId="0" xr:uid="{00000000-0006-0000-0700-0000B2000000}">
      <text>
        <r>
          <rPr>
            <b/>
            <sz val="8"/>
            <color indexed="81"/>
            <rFont val="Tahoma"/>
            <family val="2"/>
          </rPr>
          <t>Martin Shkreli:</t>
        </r>
        <r>
          <rPr>
            <sz val="8"/>
            <color indexed="81"/>
            <rFont val="Tahoma"/>
            <family val="2"/>
          </rPr>
          <t xml:space="preserve">
ELAB launches generic</t>
        </r>
      </text>
    </comment>
    <comment ref="B42" authorId="2" shapeId="0" xr:uid="{00000000-0006-0000-0700-0000B3000000}">
      <text>
        <r>
          <rPr>
            <b/>
            <sz val="8"/>
            <color indexed="81"/>
            <rFont val="Tahoma"/>
            <family val="2"/>
          </rPr>
          <t>Martin Shkreli:</t>
        </r>
        <r>
          <rPr>
            <sz val="8"/>
            <color indexed="81"/>
            <rFont val="Tahoma"/>
            <family val="2"/>
          </rPr>
          <t xml:space="preserve">
OrthoEVRA, Ortho-TriCyclen</t>
        </r>
      </text>
    </comment>
    <comment ref="AD42" authorId="2" shapeId="0" xr:uid="{00000000-0006-0000-0700-0000B4000000}">
      <text>
        <r>
          <rPr>
            <b/>
            <sz val="8"/>
            <color indexed="81"/>
            <rFont val="Tahoma"/>
            <family val="2"/>
          </rPr>
          <t>Martin Shkreli:</t>
        </r>
        <r>
          <rPr>
            <sz val="8"/>
            <color indexed="81"/>
            <rFont val="Tahoma"/>
            <family val="2"/>
          </rPr>
          <t xml:space="preserve">
Barr launches generic</t>
        </r>
      </text>
    </comment>
    <comment ref="AG42" authorId="2" shapeId="0" xr:uid="{00000000-0006-0000-0700-0000B5000000}">
      <text>
        <r>
          <rPr>
            <b/>
            <sz val="8"/>
            <color indexed="81"/>
            <rFont val="Tahoma"/>
            <family val="2"/>
          </rPr>
          <t>Martin Shkreli:</t>
        </r>
        <r>
          <rPr>
            <sz val="8"/>
            <color indexed="81"/>
            <rFont val="Tahoma"/>
            <family val="2"/>
          </rPr>
          <t xml:space="preserve">
Ortho Tri Cyclen patient expires</t>
        </r>
      </text>
    </comment>
    <comment ref="DV42" authorId="2" shapeId="0" xr:uid="{00000000-0006-0000-0700-0000B6000000}">
      <text>
        <r>
          <rPr>
            <b/>
            <sz val="8"/>
            <color indexed="81"/>
            <rFont val="Tahoma"/>
            <family val="2"/>
          </rPr>
          <t>Martin Shkreli:</t>
        </r>
        <r>
          <rPr>
            <sz val="8"/>
            <color indexed="81"/>
            <rFont val="Tahoma"/>
            <family val="2"/>
          </rPr>
          <t xml:space="preserve">
580 JPM 430/150</t>
        </r>
      </text>
    </comment>
    <comment ref="DW42" authorId="2" shapeId="0" xr:uid="{00000000-0006-0000-0700-0000B7000000}">
      <text>
        <r>
          <rPr>
            <b/>
            <sz val="8"/>
            <color indexed="81"/>
            <rFont val="Tahoma"/>
            <family val="2"/>
          </rPr>
          <t>Martin Shkreli:</t>
        </r>
        <r>
          <rPr>
            <sz val="8"/>
            <color indexed="81"/>
            <rFont val="Tahoma"/>
            <family val="2"/>
          </rPr>
          <t xml:space="preserve">
590 Pru
582 JPM 432/150</t>
        </r>
      </text>
    </comment>
    <comment ref="DX42" authorId="2" shapeId="0" xr:uid="{00000000-0006-0000-0700-0000B8000000}">
      <text>
        <r>
          <rPr>
            <b/>
            <sz val="8"/>
            <color indexed="81"/>
            <rFont val="Tahoma"/>
            <family val="2"/>
          </rPr>
          <t>Martin Shkreli:</t>
        </r>
        <r>
          <rPr>
            <sz val="8"/>
            <color indexed="81"/>
            <rFont val="Tahoma"/>
            <family val="2"/>
          </rPr>
          <t xml:space="preserve">
672 Pru
658 Piper
667 JPM
649 ?
656 JPM 2 536/120</t>
        </r>
      </text>
    </comment>
    <comment ref="DY42" authorId="2" shapeId="0" xr:uid="{00000000-0006-0000-0700-0000B9000000}">
      <text>
        <r>
          <rPr>
            <b/>
            <sz val="8"/>
            <color indexed="81"/>
            <rFont val="Tahoma"/>
            <family val="2"/>
          </rPr>
          <t>Martin Shkreli:</t>
        </r>
        <r>
          <rPr>
            <sz val="8"/>
            <color indexed="81"/>
            <rFont val="Tahoma"/>
            <family val="2"/>
          </rPr>
          <t xml:space="preserve">
735 Bear
759 Pru
748 Piper
755/7 JPM 635/122
763 ?</t>
        </r>
      </text>
    </comment>
    <comment ref="DZ42" authorId="2" shapeId="0" xr:uid="{00000000-0006-0000-0700-0000BA000000}">
      <text>
        <r>
          <rPr>
            <b/>
            <sz val="8"/>
            <color indexed="81"/>
            <rFont val="Tahoma"/>
            <family val="2"/>
          </rPr>
          <t>Martin Shkreli:</t>
        </r>
        <r>
          <rPr>
            <sz val="8"/>
            <color indexed="81"/>
            <rFont val="Tahoma"/>
            <family val="2"/>
          </rPr>
          <t xml:space="preserve">
919 Merrill
890 Bear
913 Piper
913/4 JPM 788/125
926 ?</t>
        </r>
      </text>
    </comment>
    <comment ref="EA42" authorId="2" shapeId="0" xr:uid="{00000000-0006-0000-0700-0000BB000000}">
      <text>
        <r>
          <rPr>
            <b/>
            <sz val="8"/>
            <color indexed="81"/>
            <rFont val="Tahoma"/>
            <family val="2"/>
          </rPr>
          <t>Martin Shkreli:</t>
        </r>
        <r>
          <rPr>
            <sz val="8"/>
            <color indexed="81"/>
            <rFont val="Tahoma"/>
            <family val="2"/>
          </rPr>
          <t xml:space="preserve">
956 JPM 841/115</t>
        </r>
      </text>
    </comment>
    <comment ref="EB42" authorId="2" shapeId="0" xr:uid="{00000000-0006-0000-0700-0000BC000000}">
      <text>
        <r>
          <rPr>
            <b/>
            <sz val="8"/>
            <color indexed="81"/>
            <rFont val="Tahoma"/>
            <family val="2"/>
          </rPr>
          <t>Martin Shkreli:</t>
        </r>
        <r>
          <rPr>
            <sz val="8"/>
            <color indexed="81"/>
            <rFont val="Tahoma"/>
            <family val="2"/>
          </rPr>
          <t xml:space="preserve">
Ortho TriCyclen 671m</t>
        </r>
      </text>
    </comment>
    <comment ref="DZ43" authorId="2" shapeId="0" xr:uid="{00000000-0006-0000-0700-0000BD000000}">
      <text>
        <r>
          <rPr>
            <b/>
            <sz val="8"/>
            <color indexed="81"/>
            <rFont val="Tahoma"/>
            <family val="2"/>
          </rPr>
          <t>Martin Shkreli:</t>
        </r>
        <r>
          <rPr>
            <sz val="8"/>
            <color indexed="81"/>
            <rFont val="Tahoma"/>
            <family val="2"/>
          </rPr>
          <t xml:space="preserve">
Ditropan 87m</t>
        </r>
      </text>
    </comment>
    <comment ref="EA43" authorId="2" shapeId="0" xr:uid="{00000000-0006-0000-0700-0000BE000000}">
      <text>
        <r>
          <rPr>
            <b/>
            <sz val="8"/>
            <color indexed="81"/>
            <rFont val="Tahoma"/>
            <family val="2"/>
          </rPr>
          <t>Martin Shkreli:</t>
        </r>
        <r>
          <rPr>
            <sz val="8"/>
            <color indexed="81"/>
            <rFont val="Tahoma"/>
            <family val="2"/>
          </rPr>
          <t xml:space="preserve">
Ditropan 179m JPM</t>
        </r>
      </text>
    </comment>
    <comment ref="EB43" authorId="2" shapeId="0" xr:uid="{00000000-0006-0000-0700-0000BF000000}">
      <text>
        <r>
          <rPr>
            <b/>
            <sz val="8"/>
            <color indexed="81"/>
            <rFont val="Tahoma"/>
            <family val="2"/>
          </rPr>
          <t>Martin Shkreli:</t>
        </r>
        <r>
          <rPr>
            <sz val="8"/>
            <color indexed="81"/>
            <rFont val="Tahoma"/>
            <family val="2"/>
          </rPr>
          <t xml:space="preserve">
Ditropan 235m JPM</t>
        </r>
      </text>
    </comment>
    <comment ref="EC43" authorId="2" shapeId="0" xr:uid="{00000000-0006-0000-0700-0000C0000000}">
      <text>
        <r>
          <rPr>
            <b/>
            <sz val="8"/>
            <color indexed="81"/>
            <rFont val="Tahoma"/>
            <family val="2"/>
          </rPr>
          <t xml:space="preserve">Martin Shkreli:
</t>
        </r>
        <r>
          <rPr>
            <sz val="8"/>
            <color indexed="81"/>
            <rFont val="Tahoma"/>
            <family val="2"/>
          </rPr>
          <t>Ditropan 290m JPM</t>
        </r>
      </text>
    </comment>
    <comment ref="ED43" authorId="2" shapeId="0" xr:uid="{00000000-0006-0000-0700-0000C1000000}">
      <text>
        <r>
          <rPr>
            <b/>
            <sz val="8"/>
            <color indexed="81"/>
            <rFont val="Tahoma"/>
            <family val="2"/>
          </rPr>
          <t>Martin Shkreli:</t>
        </r>
        <r>
          <rPr>
            <sz val="8"/>
            <color indexed="81"/>
            <rFont val="Tahoma"/>
            <family val="2"/>
          </rPr>
          <t xml:space="preserve">
Ditropan 370m JPM</t>
        </r>
      </text>
    </comment>
    <comment ref="EE43" authorId="2" shapeId="0" xr:uid="{00000000-0006-0000-0700-0000C2000000}">
      <text>
        <r>
          <rPr>
            <b/>
            <sz val="8"/>
            <color indexed="81"/>
            <rFont val="Tahoma"/>
            <family val="2"/>
          </rPr>
          <t>Martin Shkreli:</t>
        </r>
        <r>
          <rPr>
            <sz val="8"/>
            <color indexed="81"/>
            <rFont val="Tahoma"/>
            <family val="2"/>
          </rPr>
          <t xml:space="preserve">
Ditropan 425m JPM</t>
        </r>
      </text>
    </comment>
    <comment ref="T44" authorId="2" shapeId="0" xr:uid="{00000000-0006-0000-0700-0000C3000000}">
      <text>
        <r>
          <rPr>
            <b/>
            <sz val="8"/>
            <color indexed="81"/>
            <rFont val="Tahoma"/>
            <family val="2"/>
          </rPr>
          <t>Martin Shkreli:</t>
        </r>
        <r>
          <rPr>
            <sz val="8"/>
            <color indexed="81"/>
            <rFont val="Tahoma"/>
            <family val="2"/>
          </rPr>
          <t xml:space="preserve">
Bear IMS estimate 5</t>
        </r>
      </text>
    </comment>
    <comment ref="U44" authorId="2" shapeId="0" xr:uid="{00000000-0006-0000-0700-0000C4000000}">
      <text>
        <r>
          <rPr>
            <b/>
            <sz val="8"/>
            <color indexed="81"/>
            <rFont val="Tahoma"/>
            <family val="2"/>
          </rPr>
          <t>Martin Shkreli:</t>
        </r>
        <r>
          <rPr>
            <sz val="8"/>
            <color indexed="81"/>
            <rFont val="Tahoma"/>
            <family val="2"/>
          </rPr>
          <t xml:space="preserve">
Bear IMS estimate 8</t>
        </r>
      </text>
    </comment>
    <comment ref="V44" authorId="2" shapeId="0" xr:uid="{00000000-0006-0000-0700-0000C5000000}">
      <text>
        <r>
          <rPr>
            <b/>
            <sz val="8"/>
            <color indexed="81"/>
            <rFont val="Tahoma"/>
            <family val="2"/>
          </rPr>
          <t>Martin Shkreli:</t>
        </r>
        <r>
          <rPr>
            <sz val="8"/>
            <color indexed="81"/>
            <rFont val="Tahoma"/>
            <family val="2"/>
          </rPr>
          <t xml:space="preserve">
Bear IMS estimate</t>
        </r>
      </text>
    </comment>
    <comment ref="W44" authorId="2" shapeId="0" xr:uid="{00000000-0006-0000-0700-0000C6000000}">
      <text>
        <r>
          <rPr>
            <b/>
            <sz val="8"/>
            <color indexed="81"/>
            <rFont val="Tahoma"/>
            <family val="2"/>
          </rPr>
          <t>Martin Shkreli:</t>
        </r>
        <r>
          <rPr>
            <sz val="8"/>
            <color indexed="81"/>
            <rFont val="Tahoma"/>
            <family val="2"/>
          </rPr>
          <t xml:space="preserve">
Bear IMS estimate</t>
        </r>
      </text>
    </comment>
    <comment ref="X44" authorId="2" shapeId="0" xr:uid="{00000000-0006-0000-0700-0000C7000000}">
      <text>
        <r>
          <rPr>
            <b/>
            <sz val="8"/>
            <color indexed="81"/>
            <rFont val="Tahoma"/>
            <family val="2"/>
          </rPr>
          <t>Martin Shkreli:</t>
        </r>
        <r>
          <rPr>
            <sz val="8"/>
            <color indexed="81"/>
            <rFont val="Tahoma"/>
            <family val="2"/>
          </rPr>
          <t xml:space="preserve">
Bear IMS estimate</t>
        </r>
      </text>
    </comment>
    <comment ref="Y44" authorId="2" shapeId="0" xr:uid="{00000000-0006-0000-0700-0000C8000000}">
      <text>
        <r>
          <rPr>
            <b/>
            <sz val="8"/>
            <color indexed="81"/>
            <rFont val="Tahoma"/>
            <family val="2"/>
          </rPr>
          <t>Martin Shkreli:</t>
        </r>
        <r>
          <rPr>
            <sz val="8"/>
            <color indexed="81"/>
            <rFont val="Tahoma"/>
            <family val="2"/>
          </rPr>
          <t xml:space="preserve">
Bear IMS estimate</t>
        </r>
      </text>
    </comment>
    <comment ref="Z44" authorId="2" shapeId="0" xr:uid="{00000000-0006-0000-0700-0000C9000000}">
      <text>
        <r>
          <rPr>
            <b/>
            <sz val="8"/>
            <color indexed="81"/>
            <rFont val="Tahoma"/>
            <family val="2"/>
          </rPr>
          <t>Martin Shkreli:</t>
        </r>
        <r>
          <rPr>
            <sz val="8"/>
            <color indexed="81"/>
            <rFont val="Tahoma"/>
            <family val="2"/>
          </rPr>
          <t xml:space="preserve">
Bear IMS estimate</t>
        </r>
      </text>
    </comment>
    <comment ref="AA44" authorId="2" shapeId="0" xr:uid="{00000000-0006-0000-0700-0000CA000000}">
      <text>
        <r>
          <rPr>
            <b/>
            <sz val="8"/>
            <color indexed="81"/>
            <rFont val="Tahoma"/>
            <family val="2"/>
          </rPr>
          <t>Martin Shkreli:</t>
        </r>
        <r>
          <rPr>
            <sz val="8"/>
            <color indexed="81"/>
            <rFont val="Tahoma"/>
            <family val="2"/>
          </rPr>
          <t xml:space="preserve">
Bear IMS estimate</t>
        </r>
      </text>
    </comment>
    <comment ref="AB44" authorId="2" shapeId="0" xr:uid="{00000000-0006-0000-0700-0000CB000000}">
      <text>
        <r>
          <rPr>
            <b/>
            <sz val="8"/>
            <color indexed="81"/>
            <rFont val="Tahoma"/>
            <family val="2"/>
          </rPr>
          <t>Martin Shkreli:</t>
        </r>
        <r>
          <rPr>
            <sz val="8"/>
            <color indexed="81"/>
            <rFont val="Tahoma"/>
            <family val="2"/>
          </rPr>
          <t xml:space="preserve">
Bear IMS estimate</t>
        </r>
      </text>
    </comment>
    <comment ref="AC44" authorId="2" shapeId="0" xr:uid="{00000000-0006-0000-0700-0000CC000000}">
      <text>
        <r>
          <rPr>
            <b/>
            <sz val="8"/>
            <color indexed="81"/>
            <rFont val="Tahoma"/>
            <family val="2"/>
          </rPr>
          <t>Martin Shkreli:</t>
        </r>
        <r>
          <rPr>
            <sz val="8"/>
            <color indexed="81"/>
            <rFont val="Tahoma"/>
            <family val="2"/>
          </rPr>
          <t xml:space="preserve">
Bear IMS estimate</t>
        </r>
      </text>
    </comment>
    <comment ref="AD44" authorId="2" shapeId="0" xr:uid="{00000000-0006-0000-0700-0000CD000000}">
      <text>
        <r>
          <rPr>
            <b/>
            <sz val="8"/>
            <color indexed="81"/>
            <rFont val="Tahoma"/>
            <family val="2"/>
          </rPr>
          <t>Martin Shkreli:</t>
        </r>
        <r>
          <rPr>
            <sz val="8"/>
            <color indexed="81"/>
            <rFont val="Tahoma"/>
            <family val="2"/>
          </rPr>
          <t xml:space="preserve">
Bear IMS estimate</t>
        </r>
      </text>
    </comment>
    <comment ref="AE44" authorId="2" shapeId="0" xr:uid="{00000000-0006-0000-0700-0000CE000000}">
      <text>
        <r>
          <rPr>
            <b/>
            <sz val="8"/>
            <color indexed="81"/>
            <rFont val="Tahoma"/>
            <family val="2"/>
          </rPr>
          <t>Martin Shkreli:</t>
        </r>
        <r>
          <rPr>
            <sz val="8"/>
            <color indexed="81"/>
            <rFont val="Tahoma"/>
            <family val="2"/>
          </rPr>
          <t xml:space="preserve">
Bear IMS estimate</t>
        </r>
      </text>
    </comment>
    <comment ref="AF44" authorId="2" shapeId="0" xr:uid="{00000000-0006-0000-0700-0000CF000000}">
      <text>
        <r>
          <rPr>
            <b/>
            <sz val="8"/>
            <color indexed="81"/>
            <rFont val="Tahoma"/>
            <family val="2"/>
          </rPr>
          <t>Martin Shkreli:</t>
        </r>
        <r>
          <rPr>
            <sz val="8"/>
            <color indexed="81"/>
            <rFont val="Tahoma"/>
            <family val="2"/>
          </rPr>
          <t xml:space="preserve">
Bear IMS estimate</t>
        </r>
      </text>
    </comment>
    <comment ref="AG44" authorId="2" shapeId="0" xr:uid="{00000000-0006-0000-0700-0000D0000000}">
      <text>
        <r>
          <rPr>
            <b/>
            <sz val="8"/>
            <color indexed="81"/>
            <rFont val="Tahoma"/>
            <family val="2"/>
          </rPr>
          <t>Martin Shkreli:</t>
        </r>
        <r>
          <rPr>
            <sz val="8"/>
            <color indexed="81"/>
            <rFont val="Tahoma"/>
            <family val="2"/>
          </rPr>
          <t xml:space="preserve">
Bear IMS estimate</t>
        </r>
      </text>
    </comment>
    <comment ref="AH44" authorId="2" shapeId="0" xr:uid="{00000000-0006-0000-0700-0000D1000000}">
      <text>
        <r>
          <rPr>
            <b/>
            <sz val="8"/>
            <color indexed="81"/>
            <rFont val="Tahoma"/>
            <family val="2"/>
          </rPr>
          <t>Martin Shkreli:</t>
        </r>
        <r>
          <rPr>
            <sz val="8"/>
            <color indexed="81"/>
            <rFont val="Tahoma"/>
            <family val="2"/>
          </rPr>
          <t xml:space="preserve">
Bear IMS estimate</t>
        </r>
      </text>
    </comment>
    <comment ref="AI44" authorId="2" shapeId="0" xr:uid="{00000000-0006-0000-0700-0000D2000000}">
      <text>
        <r>
          <rPr>
            <b/>
            <sz val="8"/>
            <color indexed="81"/>
            <rFont val="Tahoma"/>
            <family val="2"/>
          </rPr>
          <t>Martin Shkreli:</t>
        </r>
        <r>
          <rPr>
            <sz val="8"/>
            <color indexed="81"/>
            <rFont val="Tahoma"/>
            <family val="2"/>
          </rPr>
          <t xml:space="preserve">
Bear IMS estimate</t>
        </r>
      </text>
    </comment>
    <comment ref="AJ44" authorId="2" shapeId="0" xr:uid="{00000000-0006-0000-0700-0000D3000000}">
      <text>
        <r>
          <rPr>
            <b/>
            <sz val="8"/>
            <color indexed="81"/>
            <rFont val="Tahoma"/>
            <family val="2"/>
          </rPr>
          <t>Martin Shkreli:</t>
        </r>
        <r>
          <rPr>
            <sz val="8"/>
            <color indexed="81"/>
            <rFont val="Tahoma"/>
            <family val="2"/>
          </rPr>
          <t xml:space="preserve">
Bear IMS estimate</t>
        </r>
      </text>
    </comment>
    <comment ref="AK44" authorId="2" shapeId="0" xr:uid="{00000000-0006-0000-0700-0000D4000000}">
      <text>
        <r>
          <rPr>
            <b/>
            <sz val="8"/>
            <color indexed="81"/>
            <rFont val="Tahoma"/>
            <family val="2"/>
          </rPr>
          <t>Martin Shkreli:</t>
        </r>
        <r>
          <rPr>
            <sz val="8"/>
            <color indexed="81"/>
            <rFont val="Tahoma"/>
            <family val="2"/>
          </rPr>
          <t xml:space="preserve">
Bear IMS estimate</t>
        </r>
      </text>
    </comment>
    <comment ref="AL44" authorId="2" shapeId="0" xr:uid="{00000000-0006-0000-0700-0000D5000000}">
      <text>
        <r>
          <rPr>
            <b/>
            <sz val="8"/>
            <color indexed="81"/>
            <rFont val="Tahoma"/>
            <family val="2"/>
          </rPr>
          <t>Martin Shkreli:</t>
        </r>
        <r>
          <rPr>
            <sz val="8"/>
            <color indexed="81"/>
            <rFont val="Tahoma"/>
            <family val="2"/>
          </rPr>
          <t xml:space="preserve">
Bear IMS estimate</t>
        </r>
      </text>
    </comment>
    <comment ref="AM44" authorId="2" shapeId="0" xr:uid="{00000000-0006-0000-0700-0000D6000000}">
      <text>
        <r>
          <rPr>
            <b/>
            <sz val="8"/>
            <color indexed="81"/>
            <rFont val="Tahoma"/>
            <family val="2"/>
          </rPr>
          <t>Martin Shkreli:</t>
        </r>
        <r>
          <rPr>
            <sz val="8"/>
            <color indexed="81"/>
            <rFont val="Tahoma"/>
            <family val="2"/>
          </rPr>
          <t xml:space="preserve">
Bear IMS estimate</t>
        </r>
      </text>
    </comment>
    <comment ref="AN44" authorId="2" shapeId="0" xr:uid="{00000000-0006-0000-0700-0000D7000000}">
      <text>
        <r>
          <rPr>
            <b/>
            <sz val="8"/>
            <color indexed="81"/>
            <rFont val="Tahoma"/>
            <family val="2"/>
          </rPr>
          <t>Martin Shkreli:</t>
        </r>
        <r>
          <rPr>
            <sz val="8"/>
            <color indexed="81"/>
            <rFont val="Tahoma"/>
            <family val="2"/>
          </rPr>
          <t xml:space="preserve">
Bear IMS estimate</t>
        </r>
      </text>
    </comment>
    <comment ref="EB44" authorId="2" shapeId="0" xr:uid="{00000000-0006-0000-0700-0000D8000000}">
      <text>
        <r>
          <rPr>
            <b/>
            <sz val="8"/>
            <color indexed="81"/>
            <rFont val="Tahoma"/>
            <family val="2"/>
          </rPr>
          <t>Martin Shkreli:</t>
        </r>
        <r>
          <rPr>
            <sz val="8"/>
            <color indexed="81"/>
            <rFont val="Tahoma"/>
            <family val="2"/>
          </rPr>
          <t xml:space="preserve">
FDA approval
Bear IMS estimate 25
IMS raw audit 33</t>
        </r>
      </text>
    </comment>
    <comment ref="EC44" authorId="2" shapeId="0" xr:uid="{00000000-0006-0000-0700-0000D9000000}">
      <text>
        <r>
          <rPr>
            <b/>
            <sz val="8"/>
            <color indexed="81"/>
            <rFont val="Tahoma"/>
            <family val="2"/>
          </rPr>
          <t>Martin Shkreli:</t>
        </r>
        <r>
          <rPr>
            <sz val="8"/>
            <color indexed="81"/>
            <rFont val="Tahoma"/>
            <family val="2"/>
          </rPr>
          <t xml:space="preserve">
Bear IMS estimate 83
IMS raw audit 110</t>
        </r>
      </text>
    </comment>
    <comment ref="ED44" authorId="2" shapeId="0" xr:uid="{00000000-0006-0000-0700-0000DA000000}">
      <text>
        <r>
          <rPr>
            <b/>
            <sz val="8"/>
            <color indexed="81"/>
            <rFont val="Tahoma"/>
            <family val="2"/>
          </rPr>
          <t>Martin Shkreli:</t>
        </r>
        <r>
          <rPr>
            <sz val="8"/>
            <color indexed="81"/>
            <rFont val="Tahoma"/>
            <family val="2"/>
          </rPr>
          <t xml:space="preserve">
Bear IMS estimate 133
IMS audit 177</t>
        </r>
      </text>
    </comment>
    <comment ref="EE44" authorId="2" shapeId="0" xr:uid="{00000000-0006-0000-0700-0000DB000000}">
      <text>
        <r>
          <rPr>
            <b/>
            <sz val="8"/>
            <color indexed="81"/>
            <rFont val="Tahoma"/>
            <family val="2"/>
          </rPr>
          <t>Martin Shkreli:</t>
        </r>
        <r>
          <rPr>
            <sz val="8"/>
            <color indexed="81"/>
            <rFont val="Tahoma"/>
            <family val="2"/>
          </rPr>
          <t xml:space="preserve">
Bear IMS estimate 171
IMS raw audit 229</t>
        </r>
      </text>
    </comment>
    <comment ref="EF44" authorId="2" shapeId="0" xr:uid="{00000000-0006-0000-0700-0000DC000000}">
      <text>
        <r>
          <rPr>
            <b/>
            <sz val="8"/>
            <color indexed="81"/>
            <rFont val="Tahoma"/>
            <family val="2"/>
          </rPr>
          <t>Martin Shkreli:</t>
        </r>
        <r>
          <rPr>
            <sz val="8"/>
            <color indexed="81"/>
            <rFont val="Tahoma"/>
            <family val="2"/>
          </rPr>
          <t xml:space="preserve">
Bear IMS estimate 154
IMS raw audit 205</t>
        </r>
      </text>
    </comment>
    <comment ref="EG47" authorId="18" shapeId="0" xr:uid="{A3206388-7B58-4567-90FD-49B826FAE6FB}">
      <text>
        <t>[Threaded comment]
Your version of Excel allows you to read this threaded comment; however, any edits to it will get removed if the file is opened in a newer version of Excel. Learn more: https://go.microsoft.com/fwlink/?linkid=870924
Comment:
    Phase III</t>
      </text>
    </comment>
    <comment ref="EH47" authorId="19" shapeId="0" xr:uid="{C96DF80E-DB02-49F1-A10F-FA660591CCDB}">
      <text>
        <t>[Threaded comment]
Your version of Excel allows you to read this threaded comment; however, any edits to it will get removed if the file is opened in a newer version of Excel. Learn more: https://go.microsoft.com/fwlink/?linkid=870924
Comment:
    Phase III</t>
      </text>
    </comment>
    <comment ref="EI47" authorId="20" shapeId="0" xr:uid="{D4E15153-68A6-45BA-A7A9-B7478B48B6DE}">
      <text>
        <t>[Threaded comment]
Your version of Excel allows you to read this threaded comment; however, any edits to it will get removed if the file is opened in a newer version of Excel. Learn more: https://go.microsoft.com/fwlink/?linkid=870924
Comment:
    Filed</t>
      </text>
    </comment>
    <comment ref="EJ47" authorId="2" shapeId="0" xr:uid="{00000000-0006-0000-0700-0000DD000000}">
      <text>
        <r>
          <rPr>
            <b/>
            <sz val="8"/>
            <color indexed="81"/>
            <rFont val="Tahoma"/>
            <family val="2"/>
          </rPr>
          <t>Martin Shkreli:</t>
        </r>
        <r>
          <rPr>
            <sz val="8"/>
            <color indexed="81"/>
            <rFont val="Tahoma"/>
            <family val="2"/>
          </rPr>
          <t xml:space="preserve">
UBS $50m estimate</t>
        </r>
      </text>
    </comment>
    <comment ref="EK47" authorId="2" shapeId="0" xr:uid="{00000000-0006-0000-0700-0000DE000000}">
      <text>
        <r>
          <rPr>
            <b/>
            <sz val="8"/>
            <color indexed="81"/>
            <rFont val="Tahoma"/>
            <family val="2"/>
          </rPr>
          <t>Martin Shkreli:</t>
        </r>
        <r>
          <rPr>
            <sz val="8"/>
            <color indexed="81"/>
            <rFont val="Tahoma"/>
            <family val="2"/>
          </rPr>
          <t xml:space="preserve">
$87m UBS estimate
$300m ML estimate</t>
        </r>
      </text>
    </comment>
    <comment ref="EL47" authorId="2" shapeId="0" xr:uid="{00000000-0006-0000-0700-0000DF000000}">
      <text>
        <r>
          <rPr>
            <b/>
            <sz val="8"/>
            <color indexed="81"/>
            <rFont val="Tahoma"/>
            <family val="2"/>
          </rPr>
          <t>Martin Shkreli:</t>
        </r>
        <r>
          <rPr>
            <sz val="8"/>
            <color indexed="81"/>
            <rFont val="Tahoma"/>
            <family val="2"/>
          </rPr>
          <t xml:space="preserve">
$403m UBS
$550m ML</t>
        </r>
      </text>
    </comment>
    <comment ref="EM47" authorId="2" shapeId="0" xr:uid="{00000000-0006-0000-0700-0000E0000000}">
      <text>
        <r>
          <rPr>
            <b/>
            <sz val="8"/>
            <color indexed="81"/>
            <rFont val="Tahoma"/>
            <family val="2"/>
          </rPr>
          <t>Martin Shkreli:</t>
        </r>
        <r>
          <rPr>
            <sz val="8"/>
            <color indexed="81"/>
            <rFont val="Tahoma"/>
            <family val="2"/>
          </rPr>
          <t xml:space="preserve">
MS 650m est
ML 800m est</t>
        </r>
      </text>
    </comment>
    <comment ref="EN47" authorId="2" shapeId="0" xr:uid="{00000000-0006-0000-0700-0000E1000000}">
      <text>
        <r>
          <rPr>
            <b/>
            <sz val="8"/>
            <color indexed="81"/>
            <rFont val="Tahoma"/>
            <family val="2"/>
          </rPr>
          <t>Martin Shkreli:</t>
        </r>
        <r>
          <rPr>
            <sz val="8"/>
            <color indexed="81"/>
            <rFont val="Tahoma"/>
            <family val="2"/>
          </rPr>
          <t xml:space="preserve">
496m Piper est</t>
        </r>
      </text>
    </comment>
    <comment ref="S49" authorId="2" shapeId="0" xr:uid="{00000000-0006-0000-0700-0000E2000000}">
      <text>
        <r>
          <rPr>
            <b/>
            <sz val="8"/>
            <color indexed="81"/>
            <rFont val="Tahoma"/>
            <family val="2"/>
          </rPr>
          <t>Martin Shkreli:</t>
        </r>
        <r>
          <rPr>
            <sz val="8"/>
            <color indexed="81"/>
            <rFont val="Tahoma"/>
            <family val="2"/>
          </rPr>
          <t xml:space="preserve">
675 MS2</t>
        </r>
      </text>
    </comment>
    <comment ref="T49" authorId="2" shapeId="0" xr:uid="{00000000-0006-0000-0700-0000E3000000}">
      <text>
        <r>
          <rPr>
            <b/>
            <sz val="8"/>
            <color indexed="81"/>
            <rFont val="Tahoma"/>
            <family val="2"/>
          </rPr>
          <t>Martin Shkreli:</t>
        </r>
        <r>
          <rPr>
            <sz val="8"/>
            <color indexed="81"/>
            <rFont val="Tahoma"/>
            <family val="2"/>
          </rPr>
          <t xml:space="preserve">
737 MS2</t>
        </r>
      </text>
    </comment>
    <comment ref="U49" authorId="2" shapeId="0" xr:uid="{00000000-0006-0000-0700-0000E4000000}">
      <text>
        <r>
          <rPr>
            <b/>
            <sz val="8"/>
            <color indexed="81"/>
            <rFont val="Tahoma"/>
            <family val="2"/>
          </rPr>
          <t>Martin Shkreli:</t>
        </r>
        <r>
          <rPr>
            <sz val="8"/>
            <color indexed="81"/>
            <rFont val="Tahoma"/>
            <family val="2"/>
          </rPr>
          <t xml:space="preserve">
573 MS2</t>
        </r>
      </text>
    </comment>
    <comment ref="AP49" authorId="3" shapeId="0" xr:uid="{00000000-0006-0000-0700-0000E5000000}">
      <text>
        <r>
          <rPr>
            <b/>
            <sz val="8"/>
            <color indexed="8"/>
            <rFont val="Times New Roman"/>
            <family val="1"/>
          </rPr>
          <t xml:space="preserve">Martin Shkreli:
</t>
        </r>
        <r>
          <rPr>
            <sz val="8"/>
            <color indexed="8"/>
            <rFont val="Times New Roman"/>
            <family val="1"/>
          </rPr>
          <t>Ditropan generic</t>
        </r>
      </text>
    </comment>
    <comment ref="CV49" authorId="21" shapeId="0" xr:uid="{4DB783BB-D4CA-476A-8111-7E0E945FB149}">
      <text>
        <t>[Threaded comment]
Your version of Excel allows you to read this threaded comment; however, any edits to it will get removed if the file is opened in a newer version of Excel. Learn more: https://go.microsoft.com/fwlink/?linkid=870924
Comment:
    had 271?</t>
      </text>
    </comment>
    <comment ref="DV49" authorId="2" shapeId="0" xr:uid="{00000000-0006-0000-0700-0000E6000000}">
      <text>
        <r>
          <rPr>
            <b/>
            <sz val="8"/>
            <color indexed="81"/>
            <rFont val="Tahoma"/>
            <family val="2"/>
          </rPr>
          <t>Martin Shkreli:</t>
        </r>
        <r>
          <rPr>
            <sz val="8"/>
            <color indexed="81"/>
            <rFont val="Tahoma"/>
            <family val="2"/>
          </rPr>
          <t xml:space="preserve">
1382 JPM 225/1157</t>
        </r>
      </text>
    </comment>
    <comment ref="DW49" authorId="2" shapeId="0" xr:uid="{00000000-0006-0000-0700-0000E7000000}">
      <text>
        <r>
          <rPr>
            <b/>
            <sz val="8"/>
            <color indexed="81"/>
            <rFont val="Tahoma"/>
            <family val="2"/>
          </rPr>
          <t>Martin Shkreli:</t>
        </r>
        <r>
          <rPr>
            <sz val="8"/>
            <color indexed="81"/>
            <rFont val="Tahoma"/>
            <family val="2"/>
          </rPr>
          <t xml:space="preserve">
1756 Pru
1533 JPM 314/1219</t>
        </r>
      </text>
    </comment>
    <comment ref="DX49" authorId="2" shapeId="0" xr:uid="{00000000-0006-0000-0700-0000E8000000}">
      <text>
        <r>
          <rPr>
            <b/>
            <sz val="8"/>
            <color indexed="81"/>
            <rFont val="Tahoma"/>
            <family val="2"/>
          </rPr>
          <t>Martin Shkreli:</t>
        </r>
        <r>
          <rPr>
            <sz val="8"/>
            <color indexed="81"/>
            <rFont val="Tahoma"/>
            <family val="2"/>
          </rPr>
          <t xml:space="preserve">
1661 Pru
Propulsid: 1007 - JPM
1602 JPM 304/1298</t>
        </r>
      </text>
    </comment>
    <comment ref="DY49" authorId="2" shapeId="0" xr:uid="{00000000-0006-0000-0700-0000E9000000}">
      <text>
        <r>
          <rPr>
            <b/>
            <sz val="8"/>
            <color indexed="81"/>
            <rFont val="Tahoma"/>
            <family val="2"/>
          </rPr>
          <t>Martin Shkreli:</t>
        </r>
        <r>
          <rPr>
            <sz val="8"/>
            <color indexed="81"/>
            <rFont val="Tahoma"/>
            <family val="2"/>
          </rPr>
          <t xml:space="preserve">
1674 Pru
1004 Propulsid - JPM
1729 JPM 466/1263</t>
        </r>
      </text>
    </comment>
    <comment ref="DZ49" authorId="2" shapeId="0" xr:uid="{00000000-0006-0000-0700-0000EA000000}">
      <text>
        <r>
          <rPr>
            <b/>
            <sz val="8"/>
            <color indexed="81"/>
            <rFont val="Tahoma"/>
            <family val="2"/>
          </rPr>
          <t>Martin Shkreli:</t>
        </r>
        <r>
          <rPr>
            <sz val="8"/>
            <color indexed="81"/>
            <rFont val="Tahoma"/>
            <family val="2"/>
          </rPr>
          <t xml:space="preserve">
1904 Bear
956 Propulsid - JPM
3340 JPM
1962 JPM2 719/1252</t>
        </r>
      </text>
    </comment>
    <comment ref="EA49" authorId="2" shapeId="0" xr:uid="{00000000-0006-0000-0700-0000EB000000}">
      <text>
        <r>
          <rPr>
            <b/>
            <sz val="8"/>
            <color indexed="81"/>
            <rFont val="Tahoma"/>
            <family val="2"/>
          </rPr>
          <t>Martin Shkreli:</t>
        </r>
        <r>
          <rPr>
            <sz val="8"/>
            <color indexed="81"/>
            <rFont val="Tahoma"/>
            <family val="2"/>
          </rPr>
          <t xml:space="preserve">
297 JPM Propulsid
1945 JPM 819/1126</t>
        </r>
      </text>
    </comment>
    <comment ref="EI49" authorId="2" shapeId="0" xr:uid="{00000000-0006-0000-0700-0000EC000000}">
      <text>
        <r>
          <rPr>
            <b/>
            <sz val="8"/>
            <color indexed="81"/>
            <rFont val="Tahoma"/>
            <family val="2"/>
          </rPr>
          <t>Martin Shkreli:</t>
        </r>
        <r>
          <rPr>
            <sz val="8"/>
            <color indexed="81"/>
            <rFont val="Tahoma"/>
            <family val="2"/>
          </rPr>
          <t xml:space="preserve">
Includes Intelence, Doribax, Hormonal Contraceptives</t>
        </r>
      </text>
    </comment>
    <comment ref="X50" authorId="2" shapeId="0" xr:uid="{00000000-0006-0000-0700-0000ED000000}">
      <text>
        <r>
          <rPr>
            <b/>
            <sz val="8"/>
            <color indexed="81"/>
            <rFont val="Tahoma"/>
            <family val="2"/>
          </rPr>
          <t>Martin Shkreli:</t>
        </r>
        <r>
          <rPr>
            <sz val="8"/>
            <color indexed="81"/>
            <rFont val="Tahoma"/>
            <family val="2"/>
          </rPr>
          <t xml:space="preserve">
18m DES Bear</t>
        </r>
      </text>
    </comment>
    <comment ref="Y50" authorId="2" shapeId="0" xr:uid="{00000000-0006-0000-0700-0000EE000000}">
      <text>
        <r>
          <rPr>
            <b/>
            <sz val="8"/>
            <color indexed="81"/>
            <rFont val="Tahoma"/>
            <family val="2"/>
          </rPr>
          <t>Martin Shkreli:</t>
        </r>
        <r>
          <rPr>
            <sz val="8"/>
            <color indexed="81"/>
            <rFont val="Tahoma"/>
            <family val="2"/>
          </rPr>
          <t xml:space="preserve">
44m DES Bear</t>
        </r>
      </text>
    </comment>
    <comment ref="Z50" authorId="2" shapeId="0" xr:uid="{00000000-0006-0000-0700-0000EF000000}">
      <text>
        <r>
          <rPr>
            <b/>
            <sz val="8"/>
            <color indexed="81"/>
            <rFont val="Tahoma"/>
            <family val="2"/>
          </rPr>
          <t>Martin Shkreli:</t>
        </r>
        <r>
          <rPr>
            <sz val="8"/>
            <color indexed="81"/>
            <rFont val="Tahoma"/>
            <family val="2"/>
          </rPr>
          <t xml:space="preserve">
50m DES Bear</t>
        </r>
      </text>
    </comment>
    <comment ref="AA50" authorId="2" shapeId="0" xr:uid="{00000000-0006-0000-0700-0000F0000000}">
      <text>
        <r>
          <rPr>
            <b/>
            <sz val="8"/>
            <color indexed="81"/>
            <rFont val="Tahoma"/>
            <family val="2"/>
          </rPr>
          <t>Martin Shkreli:</t>
        </r>
        <r>
          <rPr>
            <sz val="8"/>
            <color indexed="81"/>
            <rFont val="Tahoma"/>
            <family val="2"/>
          </rPr>
          <t xml:space="preserve">
75m DES Bear</t>
        </r>
      </text>
    </comment>
    <comment ref="AB50" authorId="2" shapeId="0" xr:uid="{00000000-0006-0000-0700-0000F1000000}">
      <text>
        <r>
          <rPr>
            <b/>
            <sz val="8"/>
            <color indexed="81"/>
            <rFont val="Tahoma"/>
            <family val="2"/>
          </rPr>
          <t>Martin Shkreli:</t>
        </r>
        <r>
          <rPr>
            <sz val="8"/>
            <color indexed="81"/>
            <rFont val="Tahoma"/>
            <family val="2"/>
          </rPr>
          <t xml:space="preserve">
198m DES Bear</t>
        </r>
      </text>
    </comment>
    <comment ref="AC50" authorId="2" shapeId="0" xr:uid="{00000000-0006-0000-0700-0000F2000000}">
      <text>
        <r>
          <rPr>
            <b/>
            <sz val="8"/>
            <color indexed="81"/>
            <rFont val="Tahoma"/>
            <family val="2"/>
          </rPr>
          <t>Martin Shkreli:</t>
        </r>
        <r>
          <rPr>
            <sz val="8"/>
            <color indexed="81"/>
            <rFont val="Tahoma"/>
            <family val="2"/>
          </rPr>
          <t xml:space="preserve">
489m DES Bear</t>
        </r>
      </text>
    </comment>
    <comment ref="AD50" authorId="2" shapeId="0" xr:uid="{00000000-0006-0000-0700-0000F3000000}">
      <text>
        <r>
          <rPr>
            <b/>
            <sz val="8"/>
            <color indexed="81"/>
            <rFont val="Tahoma"/>
            <family val="2"/>
          </rPr>
          <t>Martin Shkreli:</t>
        </r>
        <r>
          <rPr>
            <sz val="8"/>
            <color indexed="81"/>
            <rFont val="Tahoma"/>
            <family val="2"/>
          </rPr>
          <t xml:space="preserve">
550m DES Bear</t>
        </r>
      </text>
    </comment>
    <comment ref="AE50" authorId="2" shapeId="0" xr:uid="{00000000-0006-0000-0700-0000F4000000}">
      <text>
        <r>
          <rPr>
            <b/>
            <sz val="8"/>
            <color indexed="81"/>
            <rFont val="Tahoma"/>
            <family val="2"/>
          </rPr>
          <t>Martin Shkreli:</t>
        </r>
        <r>
          <rPr>
            <sz val="8"/>
            <color indexed="81"/>
            <rFont val="Tahoma"/>
            <family val="2"/>
          </rPr>
          <t xml:space="preserve">
532m DES Bear</t>
        </r>
      </text>
    </comment>
    <comment ref="AF50" authorId="2" shapeId="0" xr:uid="{00000000-0006-0000-0700-0000F5000000}">
      <text>
        <r>
          <rPr>
            <b/>
            <sz val="8"/>
            <color indexed="81"/>
            <rFont val="Tahoma"/>
            <family val="2"/>
          </rPr>
          <t>Martin Shkreli:</t>
        </r>
        <r>
          <rPr>
            <sz val="8"/>
            <color indexed="81"/>
            <rFont val="Tahoma"/>
            <family val="2"/>
          </rPr>
          <t xml:space="preserve">
331m DES Bear</t>
        </r>
      </text>
    </comment>
    <comment ref="AG50" authorId="2" shapeId="0" xr:uid="{00000000-0006-0000-0700-0000F6000000}">
      <text>
        <r>
          <rPr>
            <b/>
            <sz val="8"/>
            <color indexed="81"/>
            <rFont val="Tahoma"/>
            <family val="2"/>
          </rPr>
          <t>Martin Shkreli:</t>
        </r>
        <r>
          <rPr>
            <sz val="8"/>
            <color indexed="81"/>
            <rFont val="Tahoma"/>
            <family val="2"/>
          </rPr>
          <t xml:space="preserve">
439m DES Bear</t>
        </r>
      </text>
    </comment>
    <comment ref="AH50" authorId="2" shapeId="0" xr:uid="{00000000-0006-0000-0700-0000F7000000}">
      <text>
        <r>
          <rPr>
            <b/>
            <sz val="8"/>
            <color indexed="81"/>
            <rFont val="Tahoma"/>
            <family val="2"/>
          </rPr>
          <t>Martin Shkreli:</t>
        </r>
        <r>
          <rPr>
            <sz val="8"/>
            <color indexed="81"/>
            <rFont val="Tahoma"/>
            <family val="2"/>
          </rPr>
          <t xml:space="preserve">
561m DES Bear</t>
        </r>
      </text>
    </comment>
    <comment ref="AI50" authorId="2" shapeId="0" xr:uid="{00000000-0006-0000-0700-0000F8000000}">
      <text>
        <r>
          <rPr>
            <b/>
            <sz val="8"/>
            <color indexed="81"/>
            <rFont val="Tahoma"/>
            <family val="2"/>
          </rPr>
          <t>Martin Shkreli:</t>
        </r>
        <r>
          <rPr>
            <sz val="8"/>
            <color indexed="81"/>
            <rFont val="Tahoma"/>
            <family val="2"/>
          </rPr>
          <t xml:space="preserve">
617 DES bear actual</t>
        </r>
      </text>
    </comment>
    <comment ref="AJ50" authorId="2" shapeId="0" xr:uid="{00000000-0006-0000-0700-0000F9000000}">
      <text>
        <r>
          <rPr>
            <b/>
            <sz val="8"/>
            <color indexed="81"/>
            <rFont val="Tahoma"/>
            <family val="2"/>
          </rPr>
          <t>Martin Shkreli:</t>
        </r>
        <r>
          <rPr>
            <sz val="8"/>
            <color indexed="81"/>
            <rFont val="Tahoma"/>
            <family val="2"/>
          </rPr>
          <t xml:space="preserve">
659 bear des actual</t>
        </r>
      </text>
    </comment>
    <comment ref="AK50" authorId="2" shapeId="0" xr:uid="{00000000-0006-0000-0700-0000FA000000}">
      <text>
        <r>
          <rPr>
            <b/>
            <sz val="8"/>
            <color indexed="81"/>
            <rFont val="Tahoma"/>
            <family val="2"/>
          </rPr>
          <t>Martin Shkreli:</t>
        </r>
        <r>
          <rPr>
            <sz val="8"/>
            <color indexed="81"/>
            <rFont val="Tahoma"/>
            <family val="2"/>
          </rPr>
          <t xml:space="preserve">
656 bear actual des</t>
        </r>
      </text>
    </comment>
    <comment ref="AL50" authorId="2" shapeId="0" xr:uid="{00000000-0006-0000-0700-0000FB000000}">
      <text>
        <r>
          <rPr>
            <b/>
            <sz val="8"/>
            <color indexed="81"/>
            <rFont val="Tahoma"/>
            <family val="2"/>
          </rPr>
          <t>Martin Shkreli:</t>
        </r>
        <r>
          <rPr>
            <sz val="8"/>
            <color indexed="81"/>
            <rFont val="Tahoma"/>
            <family val="2"/>
          </rPr>
          <t xml:space="preserve">
670 bear des actual</t>
        </r>
      </text>
    </comment>
    <comment ref="AM50" authorId="2" shapeId="0" xr:uid="{00000000-0006-0000-0700-0000FC000000}">
      <text>
        <r>
          <rPr>
            <b/>
            <sz val="8"/>
            <color indexed="81"/>
            <rFont val="Tahoma"/>
            <family val="2"/>
          </rPr>
          <t>Martin Shkreli:</t>
        </r>
        <r>
          <rPr>
            <sz val="8"/>
            <color indexed="81"/>
            <rFont val="Tahoma"/>
            <family val="2"/>
          </rPr>
          <t xml:space="preserve">
717 Bear DES actual</t>
        </r>
      </text>
    </comment>
    <comment ref="AN50" authorId="2" shapeId="0" xr:uid="{00000000-0006-0000-0700-0000FD000000}">
      <text>
        <r>
          <rPr>
            <b/>
            <sz val="8"/>
            <color indexed="81"/>
            <rFont val="Tahoma"/>
            <family val="2"/>
          </rPr>
          <t>Martin Shkreli:</t>
        </r>
        <r>
          <rPr>
            <sz val="8"/>
            <color indexed="81"/>
            <rFont val="Tahoma"/>
            <family val="2"/>
          </rPr>
          <t xml:space="preserve">
695 DES Bear actual</t>
        </r>
      </text>
    </comment>
    <comment ref="BA50" authorId="13" shapeId="0" xr:uid="{00000000-0006-0000-0700-0000FE000000}">
      <text>
        <r>
          <rPr>
            <b/>
            <sz val="8"/>
            <color indexed="81"/>
            <rFont val="Tahoma"/>
            <family val="2"/>
          </rPr>
          <t>Marek Biestek:</t>
        </r>
        <r>
          <rPr>
            <sz val="8"/>
            <color indexed="81"/>
            <rFont val="Tahoma"/>
            <family val="2"/>
          </rPr>
          <t xml:space="preserve">
Well below expectations</t>
        </r>
      </text>
    </comment>
    <comment ref="BC50" authorId="0" shapeId="0" xr:uid="{00000000-0006-0000-0700-0000FF000000}">
      <text>
        <r>
          <rPr>
            <b/>
            <sz val="9"/>
            <color indexed="81"/>
            <rFont val="Tahoma"/>
            <family val="2"/>
          </rPr>
          <t>MSMB - Andre:</t>
        </r>
        <r>
          <rPr>
            <sz val="9"/>
            <color indexed="81"/>
            <rFont val="Tahoma"/>
            <family val="2"/>
          </rPr>
          <t xml:space="preserve">
Cypher 190m, -27%</t>
        </r>
      </text>
    </comment>
    <comment ref="BD50" authorId="4" shapeId="0" xr:uid="{00000000-0006-0000-0700-000000010000}">
      <text>
        <r>
          <rPr>
            <b/>
            <sz val="9"/>
            <color indexed="81"/>
            <rFont val="Tahoma"/>
            <family val="2"/>
          </rPr>
          <t>MSMB:</t>
        </r>
        <r>
          <rPr>
            <sz val="9"/>
            <color indexed="81"/>
            <rFont val="Tahoma"/>
            <family val="2"/>
          </rPr>
          <t xml:space="preserve">
Cypher 170m, -29% y/y</t>
        </r>
      </text>
    </comment>
    <comment ref="DY50" authorId="2" shapeId="0" xr:uid="{00000000-0006-0000-0700-000001010000}">
      <text>
        <r>
          <rPr>
            <b/>
            <sz val="8"/>
            <color indexed="81"/>
            <rFont val="Tahoma"/>
            <family val="2"/>
          </rPr>
          <t>Martin Shkreli:</t>
        </r>
        <r>
          <rPr>
            <sz val="8"/>
            <color indexed="81"/>
            <rFont val="Tahoma"/>
            <family val="2"/>
          </rPr>
          <t xml:space="preserve">
914 Cowen</t>
        </r>
      </text>
    </comment>
    <comment ref="DZ50" authorId="2" shapeId="0" xr:uid="{00000000-0006-0000-0700-000002010000}">
      <text>
        <r>
          <rPr>
            <b/>
            <sz val="8"/>
            <color indexed="81"/>
            <rFont val="Tahoma"/>
            <family val="2"/>
          </rPr>
          <t>Martin Shkreli:</t>
        </r>
        <r>
          <rPr>
            <sz val="8"/>
            <color indexed="81"/>
            <rFont val="Tahoma"/>
            <family val="2"/>
          </rPr>
          <t xml:space="preserve">
Bear 935 actual</t>
        </r>
      </text>
    </comment>
    <comment ref="EA50" authorId="2" shapeId="0" xr:uid="{00000000-0006-0000-0700-000003010000}">
      <text>
        <r>
          <rPr>
            <b/>
            <sz val="8"/>
            <color indexed="81"/>
            <rFont val="Tahoma"/>
            <family val="2"/>
          </rPr>
          <t>Martin Shkreli:</t>
        </r>
        <r>
          <rPr>
            <sz val="8"/>
            <color indexed="81"/>
            <rFont val="Tahoma"/>
            <family val="2"/>
          </rPr>
          <t xml:space="preserve">
Bear actual 1056</t>
        </r>
      </text>
    </comment>
    <comment ref="EC50" authorId="2" shapeId="0" xr:uid="{00000000-0006-0000-0700-000004010000}">
      <text>
        <r>
          <rPr>
            <b/>
            <sz val="8"/>
            <color indexed="81"/>
            <rFont val="Tahoma"/>
            <family val="2"/>
          </rPr>
          <t>Martin Shkreli:</t>
        </r>
        <r>
          <rPr>
            <sz val="8"/>
            <color indexed="81"/>
            <rFont val="Tahoma"/>
            <family val="2"/>
          </rPr>
          <t xml:space="preserve">
112 DES Bear</t>
        </r>
      </text>
    </comment>
    <comment ref="EE50" authorId="2" shapeId="0" xr:uid="{00000000-0006-0000-0700-000005010000}">
      <text>
        <r>
          <rPr>
            <b/>
            <sz val="8"/>
            <color indexed="81"/>
            <rFont val="Tahoma"/>
            <family val="2"/>
          </rPr>
          <t>Martin Shkreli:</t>
        </r>
        <r>
          <rPr>
            <sz val="8"/>
            <color indexed="81"/>
            <rFont val="Tahoma"/>
            <family val="2"/>
          </rPr>
          <t xml:space="preserve">
1863 DES bear</t>
        </r>
      </text>
    </comment>
    <comment ref="EF50" authorId="2" shapeId="0" xr:uid="{00000000-0006-0000-0700-000006010000}">
      <text>
        <r>
          <rPr>
            <b/>
            <sz val="8"/>
            <color indexed="81"/>
            <rFont val="Tahoma"/>
            <family val="2"/>
          </rPr>
          <t>Martin Shkreli:</t>
        </r>
        <r>
          <rPr>
            <sz val="8"/>
            <color indexed="81"/>
            <rFont val="Tahoma"/>
            <family val="2"/>
          </rPr>
          <t xml:space="preserve">
2606 DES Bear actual</t>
        </r>
      </text>
    </comment>
    <comment ref="EI50" authorId="3" shapeId="0" xr:uid="{00000000-0006-0000-0700-000007010000}">
      <text>
        <r>
          <rPr>
            <b/>
            <sz val="8"/>
            <color indexed="8"/>
            <rFont val="Times New Roman"/>
            <family val="1"/>
          </rPr>
          <t xml:space="preserve">Lane Nussbaum:
</t>
        </r>
        <r>
          <rPr>
            <sz val="8"/>
            <color indexed="8"/>
            <rFont val="Times New Roman"/>
            <family val="1"/>
          </rPr>
          <t>Xience launch in Q108?</t>
        </r>
      </text>
    </comment>
    <comment ref="DZ54" authorId="2" shapeId="0" xr:uid="{00000000-0006-0000-0700-000008010000}">
      <text>
        <r>
          <rPr>
            <b/>
            <sz val="8"/>
            <color indexed="81"/>
            <rFont val="Tahoma"/>
            <family val="2"/>
          </rPr>
          <t>Martin Shkreli:</t>
        </r>
        <r>
          <rPr>
            <sz val="8"/>
            <color indexed="81"/>
            <rFont val="Tahoma"/>
            <family val="2"/>
          </rPr>
          <t xml:space="preserve">
Bear 1702 actual</t>
        </r>
      </text>
    </comment>
    <comment ref="B55" authorId="2" shapeId="0" xr:uid="{00000000-0006-0000-0700-000009010000}">
      <text>
        <r>
          <rPr>
            <b/>
            <sz val="8"/>
            <color indexed="81"/>
            <rFont val="Tahoma"/>
            <family val="2"/>
          </rPr>
          <t>Martin Shkreli:</t>
        </r>
        <r>
          <rPr>
            <sz val="8"/>
            <color indexed="81"/>
            <rFont val="Tahoma"/>
            <family val="2"/>
          </rPr>
          <t xml:space="preserve">
May include Regranex
Ethicon and EES sales restated to reflect JJMI restructure, where Adv. Sterilization Products and Vascular Access products transferred to EES and Wound Management xfered to Ethicon.</t>
        </r>
      </text>
    </comment>
    <comment ref="S55" authorId="2" shapeId="0" xr:uid="{00000000-0006-0000-0700-00000A010000}">
      <text>
        <r>
          <rPr>
            <b/>
            <sz val="8"/>
            <color indexed="81"/>
            <rFont val="Tahoma"/>
            <family val="2"/>
          </rPr>
          <t>Martin Shkreli:</t>
        </r>
        <r>
          <rPr>
            <sz val="8"/>
            <color indexed="81"/>
            <rFont val="Tahoma"/>
            <family val="2"/>
          </rPr>
          <t xml:space="preserve">
577 MS 2
577 Bear actual</t>
        </r>
      </text>
    </comment>
    <comment ref="T55" authorId="2" shapeId="0" xr:uid="{00000000-0006-0000-0700-00000B010000}">
      <text>
        <r>
          <rPr>
            <b/>
            <sz val="8"/>
            <color indexed="81"/>
            <rFont val="Tahoma"/>
            <family val="2"/>
          </rPr>
          <t>Martin Shkreli:</t>
        </r>
        <r>
          <rPr>
            <sz val="8"/>
            <color indexed="81"/>
            <rFont val="Tahoma"/>
            <family val="2"/>
          </rPr>
          <t xml:space="preserve">
594 MS 2</t>
        </r>
      </text>
    </comment>
    <comment ref="U55" authorId="2" shapeId="0" xr:uid="{00000000-0006-0000-0700-00000C010000}">
      <text>
        <r>
          <rPr>
            <b/>
            <sz val="8"/>
            <color indexed="81"/>
            <rFont val="Tahoma"/>
            <family val="2"/>
          </rPr>
          <t>Martin Shkreli:</t>
        </r>
        <r>
          <rPr>
            <sz val="8"/>
            <color indexed="81"/>
            <rFont val="Tahoma"/>
            <family val="2"/>
          </rPr>
          <t xml:space="preserve">
597 MS 2</t>
        </r>
      </text>
    </comment>
    <comment ref="V55" authorId="2" shapeId="0" xr:uid="{00000000-0006-0000-0700-00000D010000}">
      <text>
        <r>
          <rPr>
            <b/>
            <sz val="8"/>
            <color indexed="81"/>
            <rFont val="Tahoma"/>
            <family val="2"/>
          </rPr>
          <t>Martin Shkreli:</t>
        </r>
        <r>
          <rPr>
            <sz val="8"/>
            <color indexed="81"/>
            <rFont val="Tahoma"/>
            <family val="2"/>
          </rPr>
          <t xml:space="preserve">
Bear 607 actual</t>
        </r>
      </text>
    </comment>
    <comment ref="BC55" authorId="0" shapeId="0" xr:uid="{00000000-0006-0000-0700-00000E010000}">
      <text>
        <r>
          <rPr>
            <b/>
            <sz val="9"/>
            <color indexed="81"/>
            <rFont val="Tahoma"/>
            <family val="2"/>
          </rPr>
          <t>MSMB - Andre:</t>
        </r>
        <r>
          <rPr>
            <sz val="9"/>
            <color indexed="81"/>
            <rFont val="Tahoma"/>
            <family val="2"/>
          </rPr>
          <t xml:space="preserve">
Acclarent and Mentor added to growth</t>
        </r>
      </text>
    </comment>
    <comment ref="DY55" authorId="2" shapeId="0" xr:uid="{00000000-0006-0000-0700-00000F010000}">
      <text>
        <r>
          <rPr>
            <b/>
            <sz val="8"/>
            <color indexed="81"/>
            <rFont val="Tahoma"/>
            <family val="2"/>
          </rPr>
          <t>Martin Shkreli:</t>
        </r>
        <r>
          <rPr>
            <sz val="8"/>
            <color indexed="81"/>
            <rFont val="Tahoma"/>
            <family val="2"/>
          </rPr>
          <t xml:space="preserve">
1608 JPM
1800 Cowen</t>
        </r>
      </text>
    </comment>
    <comment ref="DZ55" authorId="2" shapeId="0" xr:uid="{00000000-0006-0000-0700-000010010000}">
      <text>
        <r>
          <rPr>
            <b/>
            <sz val="8"/>
            <color indexed="81"/>
            <rFont val="Tahoma"/>
            <family val="2"/>
          </rPr>
          <t>Martin Shkreli:</t>
        </r>
        <r>
          <rPr>
            <sz val="8"/>
            <color indexed="81"/>
            <rFont val="Tahoma"/>
            <family val="2"/>
          </rPr>
          <t xml:space="preserve">
1936 Cowen
1830 Bear Actual</t>
        </r>
      </text>
    </comment>
    <comment ref="EB55" authorId="2" shapeId="0" xr:uid="{00000000-0006-0000-0700-000011010000}">
      <text>
        <r>
          <rPr>
            <b/>
            <sz val="8"/>
            <color indexed="81"/>
            <rFont val="Tahoma"/>
            <family val="2"/>
          </rPr>
          <t>Martin Shkreli:</t>
        </r>
        <r>
          <rPr>
            <sz val="8"/>
            <color indexed="81"/>
            <rFont val="Tahoma"/>
            <family val="2"/>
          </rPr>
          <t xml:space="preserve">
2246 Bear actual</t>
        </r>
      </text>
    </comment>
    <comment ref="DY56" authorId="2" shapeId="0" xr:uid="{00000000-0006-0000-0700-000012010000}">
      <text>
        <r>
          <rPr>
            <b/>
            <sz val="8"/>
            <color indexed="81"/>
            <rFont val="Tahoma"/>
            <family val="2"/>
          </rPr>
          <t>Martin Shkreli:</t>
        </r>
        <r>
          <rPr>
            <sz val="8"/>
            <color indexed="81"/>
            <rFont val="Tahoma"/>
            <family val="2"/>
          </rPr>
          <t xml:space="preserve">
1144 Cowen</t>
        </r>
      </text>
    </comment>
    <comment ref="DZ56" authorId="2" shapeId="0" xr:uid="{00000000-0006-0000-0700-000013010000}">
      <text>
        <r>
          <rPr>
            <b/>
            <sz val="8"/>
            <color indexed="81"/>
            <rFont val="Tahoma"/>
            <family val="2"/>
          </rPr>
          <t>Martin Shkreli:</t>
        </r>
        <r>
          <rPr>
            <sz val="8"/>
            <color indexed="81"/>
            <rFont val="Tahoma"/>
            <family val="2"/>
          </rPr>
          <t xml:space="preserve">
1315 Cowen
Bear 1371 actual</t>
        </r>
      </text>
    </comment>
    <comment ref="BS57" authorId="5" shapeId="0" xr:uid="{00000000-0006-0000-0700-000014010000}">
      <text>
        <r>
          <rPr>
            <b/>
            <sz val="9"/>
            <color indexed="81"/>
            <rFont val="Tahoma"/>
            <family val="2"/>
          </rPr>
          <t>Martin:</t>
        </r>
        <r>
          <rPr>
            <sz val="9"/>
            <color indexed="81"/>
            <rFont val="Tahoma"/>
            <family val="2"/>
          </rPr>
          <t xml:space="preserve">
Infection prevention</t>
        </r>
      </text>
    </comment>
    <comment ref="S59" authorId="2" shapeId="0" xr:uid="{00000000-0006-0000-0700-000015010000}">
      <text>
        <r>
          <rPr>
            <b/>
            <sz val="8"/>
            <color indexed="81"/>
            <rFont val="Tahoma"/>
            <family val="2"/>
          </rPr>
          <t>Martin Shkreli:</t>
        </r>
        <r>
          <rPr>
            <sz val="8"/>
            <color indexed="81"/>
            <rFont val="Tahoma"/>
            <family val="2"/>
          </rPr>
          <t xml:space="preserve">
258 MS 2
258 Bear actual</t>
        </r>
      </text>
    </comment>
    <comment ref="T59" authorId="2" shapeId="0" xr:uid="{00000000-0006-0000-0700-000016010000}">
      <text>
        <r>
          <rPr>
            <b/>
            <sz val="8"/>
            <color indexed="81"/>
            <rFont val="Tahoma"/>
            <family val="2"/>
          </rPr>
          <t>Martin Shkreli:</t>
        </r>
        <r>
          <rPr>
            <sz val="8"/>
            <color indexed="81"/>
            <rFont val="Tahoma"/>
            <family val="2"/>
          </rPr>
          <t xml:space="preserve">
264 MS 2
264 Bear actual</t>
        </r>
      </text>
    </comment>
    <comment ref="U59" authorId="2" shapeId="0" xr:uid="{00000000-0006-0000-0700-000017010000}">
      <text>
        <r>
          <rPr>
            <b/>
            <sz val="8"/>
            <color indexed="81"/>
            <rFont val="Tahoma"/>
            <family val="2"/>
          </rPr>
          <t>Martin Shkreli:</t>
        </r>
        <r>
          <rPr>
            <sz val="8"/>
            <color indexed="81"/>
            <rFont val="Tahoma"/>
            <family val="2"/>
          </rPr>
          <t xml:space="preserve">
288 MS 2
288 bear actual</t>
        </r>
      </text>
    </comment>
    <comment ref="AL59" authorId="2" shapeId="0" xr:uid="{00000000-0006-0000-0700-000018010000}">
      <text>
        <r>
          <rPr>
            <b/>
            <sz val="8"/>
            <color indexed="81"/>
            <rFont val="Tahoma"/>
            <family val="2"/>
          </rPr>
          <t>Martin Shkreli:</t>
        </r>
        <r>
          <rPr>
            <sz val="8"/>
            <color indexed="81"/>
            <rFont val="Tahoma"/>
            <family val="2"/>
          </rPr>
          <t xml:space="preserve">
FDA Warning Letter</t>
        </r>
      </text>
    </comment>
    <comment ref="AM59" authorId="3" shapeId="0" xr:uid="{00000000-0006-0000-0700-000019010000}">
      <text>
        <r>
          <rPr>
            <sz val="8"/>
            <color indexed="8"/>
            <rFont val="Times New Roman"/>
            <family val="1"/>
          </rPr>
          <t>Animus acquisition completed</t>
        </r>
      </text>
    </comment>
    <comment ref="DY59" authorId="2" shapeId="0" xr:uid="{00000000-0006-0000-0700-00001A010000}">
      <text>
        <r>
          <rPr>
            <b/>
            <sz val="8"/>
            <color indexed="81"/>
            <rFont val="Tahoma"/>
            <family val="2"/>
          </rPr>
          <t>Martin Shkreli:</t>
        </r>
        <r>
          <rPr>
            <sz val="8"/>
            <color indexed="81"/>
            <rFont val="Tahoma"/>
            <family val="2"/>
          </rPr>
          <t xml:space="preserve">
996 JPM
988 Cowen</t>
        </r>
      </text>
    </comment>
    <comment ref="DZ59" authorId="2" shapeId="0" xr:uid="{00000000-0006-0000-0700-00001B010000}">
      <text>
        <r>
          <rPr>
            <b/>
            <sz val="8"/>
            <color indexed="81"/>
            <rFont val="Tahoma"/>
            <family val="2"/>
          </rPr>
          <t>Martin Shkreli:</t>
        </r>
        <r>
          <rPr>
            <sz val="8"/>
            <color indexed="81"/>
            <rFont val="Tahoma"/>
            <family val="2"/>
          </rPr>
          <t xml:space="preserve">
1028 Cowen
1043 JPM
1043 MS
1043 Bear actual</t>
        </r>
      </text>
    </comment>
    <comment ref="EB59" authorId="2" shapeId="0" xr:uid="{00000000-0006-0000-0700-00001C010000}">
      <text>
        <r>
          <rPr>
            <b/>
            <sz val="8"/>
            <color indexed="81"/>
            <rFont val="Tahoma"/>
            <family val="2"/>
          </rPr>
          <t>Martin Shkreli:</t>
        </r>
        <r>
          <rPr>
            <sz val="8"/>
            <color indexed="81"/>
            <rFont val="Tahoma"/>
            <family val="2"/>
          </rPr>
          <t xml:space="preserve">
1095 Bear actual</t>
        </r>
      </text>
    </comment>
    <comment ref="DY60" authorId="2" shapeId="0" xr:uid="{00000000-0006-0000-0700-00001D010000}">
      <text>
        <r>
          <rPr>
            <b/>
            <sz val="8"/>
            <color indexed="81"/>
            <rFont val="Tahoma"/>
            <family val="2"/>
          </rPr>
          <t>Martin Shkreli:</t>
        </r>
        <r>
          <rPr>
            <sz val="8"/>
            <color indexed="81"/>
            <rFont val="Tahoma"/>
            <family val="2"/>
          </rPr>
          <t xml:space="preserve">
972 Cowen
988 JPM</t>
        </r>
      </text>
    </comment>
    <comment ref="DZ60" authorId="2" shapeId="0" xr:uid="{00000000-0006-0000-0700-00001E010000}">
      <text>
        <r>
          <rPr>
            <b/>
            <sz val="8"/>
            <color indexed="81"/>
            <rFont val="Tahoma"/>
            <family val="2"/>
          </rPr>
          <t>Martin Shkreli:</t>
        </r>
        <r>
          <rPr>
            <sz val="8"/>
            <color indexed="81"/>
            <rFont val="Tahoma"/>
            <family val="2"/>
          </rPr>
          <t xml:space="preserve">
919 Cowen
940 Bear actual</t>
        </r>
      </text>
    </comment>
    <comment ref="S61" authorId="2" shapeId="0" xr:uid="{00000000-0006-0000-0700-00001F010000}">
      <text>
        <r>
          <rPr>
            <b/>
            <sz val="8"/>
            <color indexed="81"/>
            <rFont val="Tahoma"/>
            <family val="2"/>
          </rPr>
          <t>Martin Shkreli:</t>
        </r>
        <r>
          <rPr>
            <sz val="8"/>
            <color indexed="81"/>
            <rFont val="Tahoma"/>
            <family val="2"/>
          </rPr>
          <t xml:space="preserve">
259 MS 2
259 Bear actual</t>
        </r>
      </text>
    </comment>
    <comment ref="T61" authorId="2" shapeId="0" xr:uid="{00000000-0006-0000-0700-000020010000}">
      <text>
        <r>
          <rPr>
            <b/>
            <sz val="8"/>
            <color indexed="81"/>
            <rFont val="Tahoma"/>
            <family val="2"/>
          </rPr>
          <t>Martin Shkreli:</t>
        </r>
        <r>
          <rPr>
            <sz val="8"/>
            <color indexed="81"/>
            <rFont val="Tahoma"/>
            <family val="2"/>
          </rPr>
          <t xml:space="preserve">
258 MS 2
258 Bear actual</t>
        </r>
      </text>
    </comment>
    <comment ref="U61" authorId="2" shapeId="0" xr:uid="{00000000-0006-0000-0700-000021010000}">
      <text>
        <r>
          <rPr>
            <b/>
            <sz val="8"/>
            <color indexed="81"/>
            <rFont val="Tahoma"/>
            <family val="2"/>
          </rPr>
          <t>Martin Shkreli:</t>
        </r>
        <r>
          <rPr>
            <sz val="8"/>
            <color indexed="81"/>
            <rFont val="Tahoma"/>
            <family val="2"/>
          </rPr>
          <t xml:space="preserve">
275 MS2
275 Bear actual</t>
        </r>
      </text>
    </comment>
    <comment ref="DY61" authorId="2" shapeId="0" xr:uid="{00000000-0006-0000-0700-000022010000}">
      <text>
        <r>
          <rPr>
            <b/>
            <sz val="8"/>
            <color indexed="81"/>
            <rFont val="Tahoma"/>
            <family val="2"/>
          </rPr>
          <t>Martin Shkreli:</t>
        </r>
        <r>
          <rPr>
            <sz val="8"/>
            <color indexed="81"/>
            <rFont val="Tahoma"/>
            <family val="2"/>
          </rPr>
          <t xml:space="preserve">
866 Cowen</t>
        </r>
      </text>
    </comment>
    <comment ref="DZ61" authorId="2" shapeId="0" xr:uid="{00000000-0006-0000-0700-000023010000}">
      <text>
        <r>
          <rPr>
            <b/>
            <sz val="8"/>
            <color indexed="81"/>
            <rFont val="Tahoma"/>
            <family val="2"/>
          </rPr>
          <t>Martin Shkreli:</t>
        </r>
        <r>
          <rPr>
            <sz val="8"/>
            <color indexed="81"/>
            <rFont val="Tahoma"/>
            <family val="2"/>
          </rPr>
          <t xml:space="preserve">
937 Bear actual</t>
        </r>
      </text>
    </comment>
    <comment ref="EB61" authorId="2" shapeId="0" xr:uid="{00000000-0006-0000-0700-000024010000}">
      <text>
        <r>
          <rPr>
            <b/>
            <sz val="8"/>
            <color indexed="81"/>
            <rFont val="Tahoma"/>
            <family val="2"/>
          </rPr>
          <t>Martin Shkreli:</t>
        </r>
        <r>
          <rPr>
            <sz val="8"/>
            <color indexed="81"/>
            <rFont val="Tahoma"/>
            <family val="2"/>
          </rPr>
          <t xml:space="preserve">
1044 Bear actual</t>
        </r>
      </text>
    </comment>
    <comment ref="O62" authorId="2" shapeId="0" xr:uid="{00000000-0006-0000-0700-000025010000}">
      <text>
        <r>
          <rPr>
            <b/>
            <sz val="8"/>
            <color indexed="81"/>
            <rFont val="Tahoma"/>
            <family val="2"/>
          </rPr>
          <t>Martin Shkreli:</t>
        </r>
        <r>
          <rPr>
            <sz val="8"/>
            <color indexed="81"/>
            <rFont val="Tahoma"/>
            <family val="2"/>
          </rPr>
          <t xml:space="preserve">
142 Bear actual</t>
        </r>
      </text>
    </comment>
    <comment ref="P62" authorId="2" shapeId="0" xr:uid="{00000000-0006-0000-0700-000026010000}">
      <text>
        <r>
          <rPr>
            <b/>
            <sz val="8"/>
            <color indexed="81"/>
            <rFont val="Tahoma"/>
            <family val="2"/>
          </rPr>
          <t>Martin Shkreli:</t>
        </r>
        <r>
          <rPr>
            <sz val="8"/>
            <color indexed="81"/>
            <rFont val="Tahoma"/>
            <family val="2"/>
          </rPr>
          <t xml:space="preserve">
137 Bear actual</t>
        </r>
      </text>
    </comment>
    <comment ref="Q62" authorId="2" shapeId="0" xr:uid="{00000000-0006-0000-0700-000027010000}">
      <text>
        <r>
          <rPr>
            <b/>
            <sz val="8"/>
            <color indexed="81"/>
            <rFont val="Tahoma"/>
            <family val="2"/>
          </rPr>
          <t>Martin Shkreli:</t>
        </r>
        <r>
          <rPr>
            <sz val="8"/>
            <color indexed="81"/>
            <rFont val="Tahoma"/>
            <family val="2"/>
          </rPr>
          <t xml:space="preserve">
143 Bear actual</t>
        </r>
      </text>
    </comment>
    <comment ref="R62" authorId="2" shapeId="0" xr:uid="{00000000-0006-0000-0700-000028010000}">
      <text>
        <r>
          <rPr>
            <b/>
            <sz val="8"/>
            <color indexed="81"/>
            <rFont val="Tahoma"/>
            <family val="2"/>
          </rPr>
          <t>Martin Shkreli:</t>
        </r>
        <r>
          <rPr>
            <sz val="8"/>
            <color indexed="81"/>
            <rFont val="Tahoma"/>
            <family val="2"/>
          </rPr>
          <t xml:space="preserve">
133 Bear actual</t>
        </r>
      </text>
    </comment>
    <comment ref="S62" authorId="2" shapeId="0" xr:uid="{00000000-0006-0000-0700-000029010000}">
      <text>
        <r>
          <rPr>
            <b/>
            <sz val="8"/>
            <color indexed="81"/>
            <rFont val="Tahoma"/>
            <family val="2"/>
          </rPr>
          <t>Martin Shkreli:</t>
        </r>
        <r>
          <rPr>
            <sz val="8"/>
            <color indexed="81"/>
            <rFont val="Tahoma"/>
            <family val="2"/>
          </rPr>
          <t xml:space="preserve">
83 MS2
83 Bear actual</t>
        </r>
      </text>
    </comment>
    <comment ref="T62" authorId="2" shapeId="0" xr:uid="{00000000-0006-0000-0700-00002A010000}">
      <text>
        <r>
          <rPr>
            <b/>
            <sz val="8"/>
            <color indexed="81"/>
            <rFont val="Tahoma"/>
            <family val="2"/>
          </rPr>
          <t>Martin Shkreli:</t>
        </r>
        <r>
          <rPr>
            <sz val="8"/>
            <color indexed="81"/>
            <rFont val="Tahoma"/>
            <family val="2"/>
          </rPr>
          <t xml:space="preserve">
67 MS2
131 Bear actual</t>
        </r>
      </text>
    </comment>
    <comment ref="U62" authorId="2" shapeId="0" xr:uid="{00000000-0006-0000-0700-00002B010000}">
      <text>
        <r>
          <rPr>
            <b/>
            <sz val="8"/>
            <color indexed="81"/>
            <rFont val="Tahoma"/>
            <family val="2"/>
          </rPr>
          <t>Martin Shkreli:</t>
        </r>
        <r>
          <rPr>
            <sz val="8"/>
            <color indexed="81"/>
            <rFont val="Tahoma"/>
            <family val="2"/>
          </rPr>
          <t xml:space="preserve">
34 MS2
98 Bear actual</t>
        </r>
      </text>
    </comment>
    <comment ref="V62" authorId="2" shapeId="0" xr:uid="{00000000-0006-0000-0700-00002C010000}">
      <text>
        <r>
          <rPr>
            <b/>
            <sz val="8"/>
            <color indexed="81"/>
            <rFont val="Tahoma"/>
            <family val="2"/>
          </rPr>
          <t>Martin Shkreli:</t>
        </r>
        <r>
          <rPr>
            <sz val="8"/>
            <color indexed="81"/>
            <rFont val="Tahoma"/>
            <family val="2"/>
          </rPr>
          <t xml:space="preserve">
30 Bear actual</t>
        </r>
      </text>
    </comment>
    <comment ref="W62" authorId="2" shapeId="0" xr:uid="{00000000-0006-0000-0700-00002D010000}">
      <text>
        <r>
          <rPr>
            <b/>
            <sz val="8"/>
            <color indexed="81"/>
            <rFont val="Tahoma"/>
            <family val="2"/>
          </rPr>
          <t>Martin Shkreli:</t>
        </r>
        <r>
          <rPr>
            <sz val="8"/>
            <color indexed="81"/>
            <rFont val="Tahoma"/>
            <family val="2"/>
          </rPr>
          <t xml:space="preserve">
29 Bear actual</t>
        </r>
      </text>
    </comment>
    <comment ref="Y62" authorId="2" shapeId="0" xr:uid="{00000000-0006-0000-0700-00002E010000}">
      <text>
        <r>
          <rPr>
            <b/>
            <sz val="8"/>
            <color indexed="81"/>
            <rFont val="Tahoma"/>
            <family val="2"/>
          </rPr>
          <t>Martin Shkreli:</t>
        </r>
        <r>
          <rPr>
            <sz val="8"/>
            <color indexed="81"/>
            <rFont val="Tahoma"/>
            <family val="2"/>
          </rPr>
          <t xml:space="preserve">
32 Bear actual</t>
        </r>
      </text>
    </comment>
    <comment ref="Z62" authorId="2" shapeId="0" xr:uid="{00000000-0006-0000-0700-00002F010000}">
      <text>
        <r>
          <rPr>
            <b/>
            <sz val="8"/>
            <color indexed="81"/>
            <rFont val="Tahoma"/>
            <family val="2"/>
          </rPr>
          <t>Martin Shkreli:</t>
        </r>
        <r>
          <rPr>
            <sz val="8"/>
            <color indexed="81"/>
            <rFont val="Tahoma"/>
            <family val="2"/>
          </rPr>
          <t xml:space="preserve">
24 Bear actual</t>
        </r>
      </text>
    </comment>
    <comment ref="AA62" authorId="2" shapeId="0" xr:uid="{00000000-0006-0000-0700-000030010000}">
      <text>
        <r>
          <rPr>
            <b/>
            <sz val="8"/>
            <color indexed="81"/>
            <rFont val="Tahoma"/>
            <family val="2"/>
          </rPr>
          <t>Martin Shkreli:</t>
        </r>
        <r>
          <rPr>
            <sz val="8"/>
            <color indexed="81"/>
            <rFont val="Tahoma"/>
            <family val="2"/>
          </rPr>
          <t xml:space="preserve">
17m Bear actual</t>
        </r>
      </text>
    </comment>
    <comment ref="AB62" authorId="2" shapeId="0" xr:uid="{00000000-0006-0000-0700-000031010000}">
      <text>
        <r>
          <rPr>
            <b/>
            <sz val="8"/>
            <color indexed="81"/>
            <rFont val="Tahoma"/>
            <family val="2"/>
          </rPr>
          <t>Martin Shkreli:</t>
        </r>
        <r>
          <rPr>
            <sz val="8"/>
            <color indexed="81"/>
            <rFont val="Tahoma"/>
            <family val="2"/>
          </rPr>
          <t xml:space="preserve">
17m Bear actual</t>
        </r>
      </text>
    </comment>
    <comment ref="DZ62" authorId="2" shapeId="0" xr:uid="{00000000-0006-0000-0700-000032010000}">
      <text>
        <r>
          <rPr>
            <b/>
            <sz val="8"/>
            <color indexed="81"/>
            <rFont val="Tahoma"/>
            <family val="2"/>
          </rPr>
          <t>Martin Shkreli:</t>
        </r>
        <r>
          <rPr>
            <sz val="8"/>
            <color indexed="81"/>
            <rFont val="Tahoma"/>
            <family val="2"/>
          </rPr>
          <t xml:space="preserve">
1156 Bear actual</t>
        </r>
      </text>
    </comment>
    <comment ref="EA62" authorId="2" shapeId="0" xr:uid="{00000000-0006-0000-0700-000033010000}">
      <text>
        <r>
          <rPr>
            <b/>
            <sz val="8"/>
            <color indexed="81"/>
            <rFont val="Tahoma"/>
            <family val="2"/>
          </rPr>
          <t>Martin Shkreli:</t>
        </r>
        <r>
          <rPr>
            <sz val="8"/>
            <color indexed="81"/>
            <rFont val="Tahoma"/>
            <family val="2"/>
          </rPr>
          <t xml:space="preserve">
554 Bear actual</t>
        </r>
      </text>
    </comment>
    <comment ref="EB62" authorId="2" shapeId="0" xr:uid="{00000000-0006-0000-0700-000034010000}">
      <text>
        <r>
          <rPr>
            <b/>
            <sz val="8"/>
            <color indexed="81"/>
            <rFont val="Tahoma"/>
            <family val="2"/>
          </rPr>
          <t>Martin Shkreli:</t>
        </r>
        <r>
          <rPr>
            <sz val="8"/>
            <color indexed="81"/>
            <rFont val="Tahoma"/>
            <family val="2"/>
          </rPr>
          <t xml:space="preserve">
341 Bear actual</t>
        </r>
      </text>
    </comment>
    <comment ref="EC62" authorId="2" shapeId="0" xr:uid="{00000000-0006-0000-0700-000035010000}">
      <text>
        <r>
          <rPr>
            <b/>
            <sz val="8"/>
            <color indexed="81"/>
            <rFont val="Tahoma"/>
            <family val="2"/>
          </rPr>
          <t>Martin Shkreli:</t>
        </r>
        <r>
          <rPr>
            <sz val="8"/>
            <color indexed="81"/>
            <rFont val="Tahoma"/>
            <family val="2"/>
          </rPr>
          <t xml:space="preserve">
118 bear actual</t>
        </r>
      </text>
    </comment>
    <comment ref="ED62" authorId="2" shapeId="0" xr:uid="{00000000-0006-0000-0700-000036010000}">
      <text>
        <r>
          <rPr>
            <b/>
            <sz val="8"/>
            <color indexed="81"/>
            <rFont val="Tahoma"/>
            <family val="2"/>
          </rPr>
          <t>Martin Shkreli:</t>
        </r>
        <r>
          <rPr>
            <sz val="8"/>
            <color indexed="81"/>
            <rFont val="Tahoma"/>
            <family val="2"/>
          </rPr>
          <t xml:space="preserve">
Bear 68 actual</t>
        </r>
      </text>
    </comment>
    <comment ref="S63" authorId="2" shapeId="0" xr:uid="{00000000-0006-0000-0700-000037010000}">
      <text>
        <r>
          <rPr>
            <b/>
            <sz val="8"/>
            <color indexed="81"/>
            <rFont val="Tahoma"/>
            <family val="2"/>
          </rPr>
          <t>Martin Shkreli:</t>
        </r>
        <r>
          <rPr>
            <sz val="8"/>
            <color indexed="81"/>
            <rFont val="Tahoma"/>
            <family val="2"/>
          </rPr>
          <t xml:space="preserve">
1631 MS2</t>
        </r>
      </text>
    </comment>
    <comment ref="T63" authorId="2" shapeId="0" xr:uid="{00000000-0006-0000-0700-000038010000}">
      <text>
        <r>
          <rPr>
            <b/>
            <sz val="8"/>
            <color indexed="81"/>
            <rFont val="Tahoma"/>
            <family val="2"/>
          </rPr>
          <t>Martin Shkreli:</t>
        </r>
        <r>
          <rPr>
            <sz val="8"/>
            <color indexed="81"/>
            <rFont val="Tahoma"/>
            <family val="2"/>
          </rPr>
          <t xml:space="preserve">
1529 MS2</t>
        </r>
      </text>
    </comment>
    <comment ref="U63" authorId="2" shapeId="0" xr:uid="{00000000-0006-0000-0700-000039010000}">
      <text>
        <r>
          <rPr>
            <b/>
            <sz val="8"/>
            <color indexed="81"/>
            <rFont val="Tahoma"/>
            <family val="2"/>
          </rPr>
          <t>Martin Shkreli:</t>
        </r>
        <r>
          <rPr>
            <sz val="8"/>
            <color indexed="81"/>
            <rFont val="Tahoma"/>
            <family val="2"/>
          </rPr>
          <t xml:space="preserve">
1609 MS2</t>
        </r>
      </text>
    </comment>
    <comment ref="AU63" authorId="2" shapeId="0" xr:uid="{00000000-0006-0000-0700-00003A010000}">
      <text>
        <r>
          <rPr>
            <b/>
            <sz val="8"/>
            <color indexed="81"/>
            <rFont val="Tahoma"/>
            <family val="2"/>
          </rPr>
          <t>Martin Shkreli:</t>
        </r>
        <r>
          <rPr>
            <sz val="8"/>
            <color indexed="81"/>
            <rFont val="Tahoma"/>
            <family val="2"/>
          </rPr>
          <t xml:space="preserve">
Zyrtec build</t>
        </r>
      </text>
    </comment>
    <comment ref="AY63" authorId="2" shapeId="0" xr:uid="{00000000-0006-0000-0700-00003B010000}">
      <text>
        <r>
          <rPr>
            <b/>
            <sz val="8"/>
            <color indexed="81"/>
            <rFont val="Tahoma"/>
            <family val="2"/>
          </rPr>
          <t>Martin Shkreli:</t>
        </r>
        <r>
          <rPr>
            <sz val="8"/>
            <color indexed="81"/>
            <rFont val="Tahoma"/>
            <family val="2"/>
          </rPr>
          <t xml:space="preserve">
Slowdown from Zyrtec inventory build not refilling. 1% operational growth ex-Zyrtec.</t>
        </r>
      </text>
    </comment>
    <comment ref="BA63" authorId="7" shapeId="0" xr:uid="{00000000-0006-0000-0700-00003C010000}">
      <text>
        <r>
          <rPr>
            <sz val="8"/>
            <color indexed="81"/>
            <rFont val="Tahoma"/>
            <family val="2"/>
          </rPr>
          <t>August Cowen meeting: not seeing economy improving</t>
        </r>
      </text>
    </comment>
    <comment ref="BD63" authorId="4" shapeId="0" xr:uid="{00000000-0006-0000-0700-00003D010000}">
      <text>
        <r>
          <rPr>
            <b/>
            <sz val="9"/>
            <color indexed="81"/>
            <rFont val="Tahoma"/>
            <family val="2"/>
          </rPr>
          <t>MSMB:</t>
        </r>
        <r>
          <rPr>
            <sz val="9"/>
            <color indexed="81"/>
            <rFont val="Tahoma"/>
            <family val="2"/>
          </rPr>
          <t xml:space="preserve">
Majority of McNeil products not affected by recall.</t>
        </r>
      </text>
    </comment>
    <comment ref="CJ63" authorId="22" shapeId="0" xr:uid="{8DFE66A4-8ABE-4D82-9EB1-696F5E7D611D}">
      <text>
        <t>[Threaded comment]
Your version of Excel allows you to read this threaded comment; however, any edits to it will get removed if the file is opened in a newer version of Excel. Learn more: https://go.microsoft.com/fwlink/?linkid=870924
Comment:
    3504 actual</t>
      </text>
    </comment>
    <comment ref="CN63" authorId="23" shapeId="0" xr:uid="{3494F573-46D4-4E53-A253-04C304315026}">
      <text>
        <t>[Threaded comment]
Your version of Excel allows you to read this threaded comment; however, any edits to it will get removed if the file is opened in a newer version of Excel. Learn more: https://go.microsoft.com/fwlink/?linkid=870924
Comment:
    actual: 3544</t>
      </text>
    </comment>
    <comment ref="CU63" authorId="24" shapeId="0" xr:uid="{D4AB6CA5-1D56-4651-98CE-4220E7D81D4C}">
      <text>
        <t>[Threaded comment]
Your version of Excel allows you to read this threaded comment; however, any edits to it will get removed if the file is opened in a newer version of Excel. Learn more: https://go.microsoft.com/fwlink/?linkid=870924
Comment:
    Q121 report: 3543m</t>
      </text>
    </comment>
    <comment ref="CV63" authorId="25" shapeId="0" xr:uid="{D8FE38F6-D7D6-460E-9D87-73CEBFFA1B4E}">
      <text>
        <t>[Threaded comment]
Your version of Excel allows you to read this threaded comment; however, any edits to it will get removed if the file is opened in a newer version of Excel. Learn more: https://go.microsoft.com/fwlink/?linkid=870924
Comment:
    was 3735, now 3854?</t>
      </text>
    </comment>
    <comment ref="CX63" authorId="26" shapeId="0" xr:uid="{B0274F3D-4C01-427B-BAEB-F305023327D6}">
      <text>
        <t>[Threaded comment]
Your version of Excel allows you to read this threaded comment; however, any edits to it will get removed if the file is opened in a newer version of Excel. Learn more: https://go.microsoft.com/fwlink/?linkid=870924
Comment:
    Was 3657</t>
      </text>
    </comment>
    <comment ref="DZ63" authorId="2" shapeId="0" xr:uid="{00000000-0006-0000-0700-00003E010000}">
      <text>
        <r>
          <rPr>
            <b/>
            <sz val="8"/>
            <color indexed="81"/>
            <rFont val="Tahoma"/>
            <family val="2"/>
          </rPr>
          <t>Martin Shkreli:</t>
        </r>
        <r>
          <rPr>
            <sz val="8"/>
            <color indexed="81"/>
            <rFont val="Tahoma"/>
            <family val="2"/>
          </rPr>
          <t xml:space="preserve">
6248 bear
6862 cowen</t>
        </r>
      </text>
    </comment>
    <comment ref="EA63" authorId="2" shapeId="0" xr:uid="{00000000-0006-0000-0700-00003F010000}">
      <text>
        <r>
          <rPr>
            <b/>
            <sz val="8"/>
            <color indexed="81"/>
            <rFont val="Tahoma"/>
            <family val="2"/>
          </rPr>
          <t>Martin Shkreli:</t>
        </r>
        <r>
          <rPr>
            <sz val="8"/>
            <color indexed="81"/>
            <rFont val="Tahoma"/>
            <family val="2"/>
          </rPr>
          <t xml:space="preserve">
6271 bear</t>
        </r>
      </text>
    </comment>
    <comment ref="EB63" authorId="2" shapeId="0" xr:uid="{00000000-0006-0000-0700-000040010000}">
      <text>
        <r>
          <rPr>
            <b/>
            <sz val="8"/>
            <color indexed="81"/>
            <rFont val="Tahoma"/>
            <family val="2"/>
          </rPr>
          <t>Martin Shkreli:</t>
        </r>
        <r>
          <rPr>
            <sz val="8"/>
            <color indexed="81"/>
            <rFont val="Tahoma"/>
            <family val="2"/>
          </rPr>
          <t xml:space="preserve">
6321 bear</t>
        </r>
      </text>
    </comment>
    <comment ref="EK63" authorId="4" shapeId="0" xr:uid="{00000000-0006-0000-0700-000041010000}">
      <text>
        <r>
          <rPr>
            <b/>
            <sz val="9"/>
            <color indexed="81"/>
            <rFont val="Tahoma"/>
            <family val="2"/>
          </rPr>
          <t>MSMB:</t>
        </r>
        <r>
          <rPr>
            <sz val="9"/>
            <color indexed="81"/>
            <rFont val="Tahoma"/>
            <family val="2"/>
          </rPr>
          <t xml:space="preserve">
McNeil recall is 650m in sales last 3 years</t>
        </r>
      </text>
    </comment>
    <comment ref="K64" authorId="2" shapeId="0" xr:uid="{00000000-0006-0000-0700-000042010000}">
      <text>
        <r>
          <rPr>
            <b/>
            <sz val="8"/>
            <color indexed="81"/>
            <rFont val="Tahoma"/>
            <family val="2"/>
          </rPr>
          <t>Martin Shkreli:</t>
        </r>
        <r>
          <rPr>
            <sz val="8"/>
            <color indexed="81"/>
            <rFont val="Tahoma"/>
            <family val="2"/>
          </rPr>
          <t xml:space="preserve">
6859? jpm</t>
        </r>
      </text>
    </comment>
    <comment ref="L64" authorId="2" shapeId="0" xr:uid="{00000000-0006-0000-0700-000043010000}">
      <text>
        <r>
          <rPr>
            <b/>
            <sz val="8"/>
            <color indexed="81"/>
            <rFont val="Tahoma"/>
            <family val="2"/>
          </rPr>
          <t>Martin Shkreli:</t>
        </r>
        <r>
          <rPr>
            <sz val="8"/>
            <color indexed="81"/>
            <rFont val="Tahoma"/>
            <family val="2"/>
          </rPr>
          <t xml:space="preserve">
7099 jpm</t>
        </r>
      </text>
    </comment>
    <comment ref="M64" authorId="2" shapeId="0" xr:uid="{00000000-0006-0000-0700-000044010000}">
      <text>
        <r>
          <rPr>
            <b/>
            <sz val="8"/>
            <color indexed="81"/>
            <rFont val="Tahoma"/>
            <family val="2"/>
          </rPr>
          <t>Martin Shkreli:</t>
        </r>
        <r>
          <rPr>
            <sz val="8"/>
            <color indexed="81"/>
            <rFont val="Tahoma"/>
            <family val="2"/>
          </rPr>
          <t xml:space="preserve">
7085 jpm</t>
        </r>
      </text>
    </comment>
    <comment ref="N64" authorId="2" shapeId="0" xr:uid="{00000000-0006-0000-0700-000045010000}">
      <text>
        <r>
          <rPr>
            <b/>
            <sz val="8"/>
            <color indexed="81"/>
            <rFont val="Tahoma"/>
            <family val="2"/>
          </rPr>
          <t>Martin Shkreli:</t>
        </r>
        <r>
          <rPr>
            <sz val="8"/>
            <color indexed="81"/>
            <rFont val="Tahoma"/>
            <family val="2"/>
          </rPr>
          <t xml:space="preserve">
6964 jpm</t>
        </r>
      </text>
    </comment>
    <comment ref="O64" authorId="2" shapeId="0" xr:uid="{00000000-0006-0000-0700-000046010000}">
      <text>
        <r>
          <rPr>
            <b/>
            <sz val="8"/>
            <color indexed="81"/>
            <rFont val="Tahoma"/>
            <family val="2"/>
          </rPr>
          <t>Martin Shkreli:</t>
        </r>
        <r>
          <rPr>
            <sz val="8"/>
            <color indexed="81"/>
            <rFont val="Tahoma"/>
            <family val="2"/>
          </rPr>
          <t xml:space="preserve">
7440 jpm
7440 bear</t>
        </r>
      </text>
    </comment>
    <comment ref="P64" authorId="2" shapeId="0" xr:uid="{00000000-0006-0000-0700-000047010000}">
      <text>
        <r>
          <rPr>
            <b/>
            <sz val="8"/>
            <color indexed="81"/>
            <rFont val="Tahoma"/>
            <family val="2"/>
          </rPr>
          <t>Martin Shkreli:</t>
        </r>
        <r>
          <rPr>
            <sz val="8"/>
            <color indexed="81"/>
            <rFont val="Tahoma"/>
            <family val="2"/>
          </rPr>
          <t xml:space="preserve">
7670 jpm
7670 bear</t>
        </r>
      </text>
    </comment>
    <comment ref="Q64" authorId="2" shapeId="0" xr:uid="{00000000-0006-0000-0700-000048010000}">
      <text>
        <r>
          <rPr>
            <b/>
            <sz val="8"/>
            <color indexed="81"/>
            <rFont val="Tahoma"/>
            <family val="2"/>
          </rPr>
          <t>Martin Shkreli:</t>
        </r>
        <r>
          <rPr>
            <sz val="8"/>
            <color indexed="81"/>
            <rFont val="Tahoma"/>
            <family val="2"/>
          </rPr>
          <t xml:space="preserve">
7438 jpm
7438 bear</t>
        </r>
      </text>
    </comment>
    <comment ref="R64" authorId="2" shapeId="0" xr:uid="{00000000-0006-0000-0700-000049010000}">
      <text>
        <r>
          <rPr>
            <b/>
            <sz val="8"/>
            <color indexed="81"/>
            <rFont val="Tahoma"/>
            <family val="2"/>
          </rPr>
          <t>Martin Shkreli:</t>
        </r>
        <r>
          <rPr>
            <sz val="8"/>
            <color indexed="81"/>
            <rFont val="Tahoma"/>
            <family val="2"/>
          </rPr>
          <t xml:space="preserve">
7298 jpm
7298 bear</t>
        </r>
      </text>
    </comment>
    <comment ref="S64" authorId="2" shapeId="0" xr:uid="{00000000-0006-0000-0700-00004A010000}">
      <text>
        <r>
          <rPr>
            <b/>
            <sz val="8"/>
            <color indexed="81"/>
            <rFont val="Tahoma"/>
            <family val="2"/>
          </rPr>
          <t>Martin Shkreli:</t>
        </r>
        <r>
          <rPr>
            <sz val="8"/>
            <color indexed="81"/>
            <rFont val="Tahoma"/>
            <family val="2"/>
          </rPr>
          <t xml:space="preserve">
7856 bear
7815 jpm actual
Inventory stocking hurt Q by $50m, FX helped by $265m</t>
        </r>
      </text>
    </comment>
    <comment ref="T64" authorId="2" shapeId="0" xr:uid="{00000000-0006-0000-0700-00004B010000}">
      <text>
        <r>
          <rPr>
            <b/>
            <sz val="8"/>
            <color indexed="81"/>
            <rFont val="Tahoma"/>
            <family val="2"/>
          </rPr>
          <t>Martin Shkreli:</t>
        </r>
        <r>
          <rPr>
            <sz val="8"/>
            <color indexed="81"/>
            <rFont val="Tahoma"/>
            <family val="2"/>
          </rPr>
          <t xml:space="preserve">
8179 bear
Inventory hurt by 200m, acquisitions helped by 20m, FX helped by 256m</t>
        </r>
      </text>
    </comment>
    <comment ref="U64" authorId="2" shapeId="0" xr:uid="{00000000-0006-0000-0700-00004C010000}">
      <text>
        <r>
          <rPr>
            <b/>
            <sz val="8"/>
            <color indexed="81"/>
            <rFont val="Tahoma"/>
            <family val="2"/>
          </rPr>
          <t>Martin Shkreli:</t>
        </r>
        <r>
          <rPr>
            <sz val="8"/>
            <color indexed="81"/>
            <rFont val="Tahoma"/>
            <family val="2"/>
          </rPr>
          <t xml:space="preserve">
8058 bear AZA DEAL
Acquisitions helped by $85m, inventory by $100m, FX by $160m</t>
        </r>
      </text>
    </comment>
    <comment ref="V64" authorId="2" shapeId="0" xr:uid="{00000000-0006-0000-0700-00004D010000}">
      <text>
        <r>
          <rPr>
            <b/>
            <sz val="8"/>
            <color indexed="81"/>
            <rFont val="Tahoma"/>
            <family val="2"/>
          </rPr>
          <t>Martin Shkreli:</t>
        </r>
        <r>
          <rPr>
            <sz val="8"/>
            <color indexed="81"/>
            <rFont val="Tahoma"/>
            <family val="2"/>
          </rPr>
          <t xml:space="preserve">
8225 bear
Inventory hurt by $170m, FX helped by $85m</t>
        </r>
      </text>
    </comment>
    <comment ref="AA64" authorId="2" shapeId="0" xr:uid="{00000000-0006-0000-0700-00004E010000}">
      <text>
        <r>
          <rPr>
            <b/>
            <sz val="8"/>
            <color indexed="81"/>
            <rFont val="Tahoma"/>
            <family val="2"/>
          </rPr>
          <t>Martin Shkreli:</t>
        </r>
        <r>
          <rPr>
            <sz val="8"/>
            <color indexed="81"/>
            <rFont val="Tahoma"/>
            <family val="2"/>
          </rPr>
          <t xml:space="preserve">
Inventory +80m
FX -365m</t>
        </r>
      </text>
    </comment>
    <comment ref="AB64" authorId="2" shapeId="0" xr:uid="{00000000-0006-0000-0700-00004F010000}">
      <text>
        <r>
          <rPr>
            <b/>
            <sz val="8"/>
            <color indexed="81"/>
            <rFont val="Tahoma"/>
            <family val="2"/>
          </rPr>
          <t>Martin Shkreli:</t>
        </r>
        <r>
          <rPr>
            <sz val="8"/>
            <color indexed="81"/>
            <rFont val="Tahoma"/>
            <family val="2"/>
          </rPr>
          <t xml:space="preserve">
Acquisitions -20
Inventory -80
FX -457</t>
        </r>
      </text>
    </comment>
    <comment ref="AC64" authorId="2" shapeId="0" xr:uid="{00000000-0006-0000-0700-000050010000}">
      <text>
        <r>
          <rPr>
            <b/>
            <sz val="8"/>
            <color indexed="81"/>
            <rFont val="Tahoma"/>
            <family val="2"/>
          </rPr>
          <t>Martin Shkreli:</t>
        </r>
        <r>
          <rPr>
            <sz val="8"/>
            <color indexed="81"/>
            <rFont val="Tahoma"/>
            <family val="2"/>
          </rPr>
          <t xml:space="preserve">
Acquisitions -45
FX -318</t>
        </r>
      </text>
    </comment>
    <comment ref="AD64" authorId="2" shapeId="0" xr:uid="{00000000-0006-0000-0700-000051010000}">
      <text>
        <r>
          <rPr>
            <b/>
            <sz val="8"/>
            <color indexed="81"/>
            <rFont val="Tahoma"/>
            <family val="2"/>
          </rPr>
          <t>Martin Shkreli:</t>
        </r>
        <r>
          <rPr>
            <sz val="8"/>
            <color indexed="81"/>
            <rFont val="Tahoma"/>
            <family val="2"/>
          </rPr>
          <t xml:space="preserve">
11254 JPM
FX -525</t>
        </r>
      </text>
    </comment>
    <comment ref="AL64" authorId="2" shapeId="0" xr:uid="{00000000-0006-0000-0700-000052010000}">
      <text>
        <r>
          <rPr>
            <b/>
            <sz val="8"/>
            <color indexed="81"/>
            <rFont val="Tahoma"/>
            <family val="2"/>
          </rPr>
          <t>Martin Shkreli:</t>
        </r>
        <r>
          <rPr>
            <sz val="8"/>
            <color indexed="81"/>
            <rFont val="Tahoma"/>
            <family val="2"/>
          </rPr>
          <t xml:space="preserve">
13 week quarter vs 14 week LY (0.50% impact)</t>
        </r>
      </text>
    </comment>
    <comment ref="AQ64" authorId="3" shapeId="0" xr:uid="{00000000-0006-0000-0700-000053010000}">
      <text>
        <r>
          <rPr>
            <b/>
            <sz val="8"/>
            <color indexed="8"/>
            <rFont val="Times New Roman"/>
            <family val="1"/>
          </rPr>
          <t xml:space="preserve">Martin Shkreli:
</t>
        </r>
        <r>
          <rPr>
            <sz val="8"/>
            <color indexed="8"/>
            <rFont val="Times New Roman"/>
            <family val="1"/>
          </rPr>
          <t>10-11%</t>
        </r>
      </text>
    </comment>
    <comment ref="AZ64" authorId="2" shapeId="0" xr:uid="{00000000-0006-0000-0700-000054010000}">
      <text>
        <r>
          <rPr>
            <b/>
            <sz val="8"/>
            <color indexed="81"/>
            <rFont val="Tahoma"/>
            <family val="2"/>
          </rPr>
          <t>Martin Shkreli:</t>
        </r>
        <r>
          <rPr>
            <sz val="8"/>
            <color indexed="81"/>
            <rFont val="Tahoma"/>
            <family val="2"/>
          </rPr>
          <t xml:space="preserve">
7/4: 14.980bn consensus</t>
        </r>
      </text>
    </comment>
    <comment ref="BC64" authorId="0" shapeId="0" xr:uid="{00000000-0006-0000-0700-000055010000}">
      <text>
        <r>
          <rPr>
            <b/>
            <sz val="9"/>
            <color indexed="81"/>
            <rFont val="Tahoma"/>
            <family val="2"/>
          </rPr>
          <t>MSMB - Andre:</t>
        </r>
        <r>
          <rPr>
            <sz val="9"/>
            <color indexed="81"/>
            <rFont val="Tahoma"/>
            <family val="2"/>
          </rPr>
          <t xml:space="preserve">
60m impact from reform</t>
        </r>
      </text>
    </comment>
    <comment ref="BD64" authorId="4" shapeId="0" xr:uid="{00000000-0006-0000-0700-000056010000}">
      <text>
        <r>
          <rPr>
            <b/>
            <sz val="9"/>
            <color indexed="81"/>
            <rFont val="Tahoma"/>
            <family val="2"/>
          </rPr>
          <t>MSMB:</t>
        </r>
        <r>
          <rPr>
            <sz val="9"/>
            <color indexed="81"/>
            <rFont val="Tahoma"/>
            <family val="2"/>
          </rPr>
          <t xml:space="preserve">
15903 consensus on 6/1/10
15955 consensus on 5/15/10</t>
        </r>
      </text>
    </comment>
    <comment ref="CN64" authorId="27" shapeId="0" xr:uid="{4074C536-E10D-4126-A24D-0AAC46FA4222}">
      <text>
        <t>[Threaded comment]
Your version of Excel allows you to read this threaded comment; however, any edits to it will get removed if the file is opened in a newer version of Excel. Learn more: https://go.microsoft.com/fwlink/?linkid=870924
Comment:
    20562 actual</t>
      </text>
    </comment>
    <comment ref="CV64" authorId="28" shapeId="0" xr:uid="{3B857DD8-37A9-4E26-BCDD-046757882E93}">
      <text>
        <t>[Threaded comment]
Your version of Excel allows you to read this threaded comment; however, any edits to it will get removed if the file is opened in a newer version of Excel. Learn more: https://go.microsoft.com/fwlink/?linkid=870924
Comment:
    23312 offcial in Q222 release</t>
      </text>
    </comment>
    <comment ref="DE64" authorId="29" shapeId="0" xr:uid="{B7BA8C1E-B644-44F8-9BA7-BB394878E543}">
      <text>
        <t>[Threaded comment]
Your version of Excel allows you to read this threaded comment; however, any edits to it will get removed if the file is opened in a newer version of Excel. Learn more: https://go.microsoft.com/fwlink/?linkid=870924
Comment:
    21351 actual</t>
      </text>
    </comment>
    <comment ref="DI64" authorId="30" shapeId="0" xr:uid="{63A708B9-BA0C-4642-96F6-C56EB7E6BA48}">
      <text>
        <t>[Threaded comment]
Your version of Excel allows you to read this threaded comment; however, any edits to it will get removed if the file is opened in a newer version of Excel. Learn more: https://go.microsoft.com/fwlink/?linkid=870924
Comment:
    22471 actual</t>
      </text>
    </comment>
    <comment ref="DQ64" authorId="2" shapeId="0" xr:uid="{00000000-0006-0000-0700-000057010000}">
      <text>
        <r>
          <rPr>
            <b/>
            <sz val="8"/>
            <color indexed="81"/>
            <rFont val="Tahoma"/>
            <family val="2"/>
          </rPr>
          <t>Martin Shkreli:</t>
        </r>
        <r>
          <rPr>
            <sz val="8"/>
            <color indexed="81"/>
            <rFont val="Tahoma"/>
            <family val="2"/>
          </rPr>
          <t xml:space="preserve">
11331 bear</t>
        </r>
      </text>
    </comment>
    <comment ref="DR64" authorId="2" shapeId="0" xr:uid="{00000000-0006-0000-0700-000058010000}">
      <text>
        <r>
          <rPr>
            <b/>
            <sz val="8"/>
            <color indexed="81"/>
            <rFont val="Tahoma"/>
            <family val="2"/>
          </rPr>
          <t>Martin Shkreli:</t>
        </r>
        <r>
          <rPr>
            <sz val="8"/>
            <color indexed="81"/>
            <rFont val="Tahoma"/>
            <family val="2"/>
          </rPr>
          <t xml:space="preserve">
12571 bear</t>
        </r>
      </text>
    </comment>
    <comment ref="DS64" authorId="2" shapeId="0" xr:uid="{00000000-0006-0000-0700-000059010000}">
      <text>
        <r>
          <rPr>
            <b/>
            <sz val="8"/>
            <color indexed="81"/>
            <rFont val="Tahoma"/>
            <family val="2"/>
          </rPr>
          <t>Martin Shkreli:</t>
        </r>
        <r>
          <rPr>
            <sz val="8"/>
            <color indexed="81"/>
            <rFont val="Tahoma"/>
            <family val="2"/>
          </rPr>
          <t xml:space="preserve">
13985 bear</t>
        </r>
      </text>
    </comment>
    <comment ref="DT64" authorId="2" shapeId="0" xr:uid="{00000000-0006-0000-0700-00005A010000}">
      <text>
        <r>
          <rPr>
            <b/>
            <sz val="8"/>
            <color indexed="81"/>
            <rFont val="Tahoma"/>
            <family val="2"/>
          </rPr>
          <t>Martin Shkreli:</t>
        </r>
        <r>
          <rPr>
            <sz val="8"/>
            <color indexed="81"/>
            <rFont val="Tahoma"/>
            <family val="2"/>
          </rPr>
          <t xml:space="preserve">
14302 bear</t>
        </r>
      </text>
    </comment>
    <comment ref="DU64" authorId="2" shapeId="0" xr:uid="{00000000-0006-0000-0700-00005B010000}">
      <text>
        <r>
          <rPr>
            <b/>
            <sz val="8"/>
            <color indexed="81"/>
            <rFont val="Tahoma"/>
            <family val="2"/>
          </rPr>
          <t>Martin Shkreli:</t>
        </r>
        <r>
          <rPr>
            <sz val="8"/>
            <color indexed="81"/>
            <rFont val="Tahoma"/>
            <family val="2"/>
          </rPr>
          <t xml:space="preserve">
15916 bear</t>
        </r>
      </text>
    </comment>
    <comment ref="DV64" authorId="2" shapeId="0" xr:uid="{00000000-0006-0000-0700-00005C010000}">
      <text>
        <r>
          <rPr>
            <b/>
            <sz val="8"/>
            <color indexed="81"/>
            <rFont val="Tahoma"/>
            <family val="2"/>
          </rPr>
          <t>Martin Shkreli:</t>
        </r>
        <r>
          <rPr>
            <sz val="8"/>
            <color indexed="81"/>
            <rFont val="Tahoma"/>
            <family val="2"/>
          </rPr>
          <t xml:space="preserve">
19068 bear</t>
        </r>
      </text>
    </comment>
    <comment ref="DW64" authorId="2" shapeId="0" xr:uid="{00000000-0006-0000-0700-00005D010000}">
      <text>
        <r>
          <rPr>
            <b/>
            <sz val="8"/>
            <color indexed="81"/>
            <rFont val="Tahoma"/>
            <family val="2"/>
          </rPr>
          <t>Martin Shkreli:</t>
        </r>
        <r>
          <rPr>
            <sz val="8"/>
            <color indexed="81"/>
            <rFont val="Tahoma"/>
            <family val="2"/>
          </rPr>
          <t xml:space="preserve">
21984 bear</t>
        </r>
      </text>
    </comment>
    <comment ref="DX64" authorId="2" shapeId="0" xr:uid="{00000000-0006-0000-0700-00005E010000}">
      <text>
        <r>
          <rPr>
            <b/>
            <sz val="8"/>
            <color indexed="81"/>
            <rFont val="Tahoma"/>
            <family val="2"/>
          </rPr>
          <t>Martin Shkreli:</t>
        </r>
        <r>
          <rPr>
            <sz val="8"/>
            <color indexed="81"/>
            <rFont val="Tahoma"/>
            <family val="2"/>
          </rPr>
          <t xml:space="preserve">
23118 bear</t>
        </r>
      </text>
    </comment>
    <comment ref="DY64" authorId="2" shapeId="0" xr:uid="{00000000-0006-0000-0700-00005F010000}">
      <text>
        <r>
          <rPr>
            <b/>
            <sz val="8"/>
            <color indexed="81"/>
            <rFont val="Tahoma"/>
            <family val="2"/>
          </rPr>
          <t>Martin Shkreli:</t>
        </r>
        <r>
          <rPr>
            <sz val="8"/>
            <color indexed="81"/>
            <rFont val="Tahoma"/>
            <family val="2"/>
          </rPr>
          <t xml:space="preserve">
24398 bear</t>
        </r>
      </text>
    </comment>
    <comment ref="DZ64" authorId="2" shapeId="0" xr:uid="{00000000-0006-0000-0700-000060010000}">
      <text>
        <r>
          <rPr>
            <b/>
            <sz val="8"/>
            <color indexed="81"/>
            <rFont val="Tahoma"/>
            <family val="2"/>
          </rPr>
          <t>Martin Shkreli:</t>
        </r>
        <r>
          <rPr>
            <sz val="8"/>
            <color indexed="81"/>
            <rFont val="Tahoma"/>
            <family val="2"/>
          </rPr>
          <t xml:space="preserve">
28008 jpm - incl alza as pooling?
28007 bear, 27357 bear</t>
        </r>
      </text>
    </comment>
    <comment ref="EA64" authorId="2" shapeId="0" xr:uid="{00000000-0006-0000-0700-000061010000}">
      <text>
        <r>
          <rPr>
            <b/>
            <sz val="8"/>
            <color indexed="81"/>
            <rFont val="Tahoma"/>
            <family val="2"/>
          </rPr>
          <t>Martin Shkreli:</t>
        </r>
        <r>
          <rPr>
            <sz val="8"/>
            <color indexed="81"/>
            <rFont val="Tahoma"/>
            <family val="2"/>
          </rPr>
          <t xml:space="preserve">
29846 jpm - may incl alza as pooling
29846 bear
29174 bear 2</t>
        </r>
      </text>
    </comment>
    <comment ref="EB64" authorId="2" shapeId="0" xr:uid="{00000000-0006-0000-0700-000062010000}">
      <text>
        <r>
          <rPr>
            <b/>
            <sz val="8"/>
            <color indexed="81"/>
            <rFont val="Tahoma"/>
            <family val="2"/>
          </rPr>
          <t>Martin Shkreli:</t>
        </r>
        <r>
          <rPr>
            <sz val="8"/>
            <color indexed="81"/>
            <rFont val="Tahoma"/>
            <family val="2"/>
          </rPr>
          <t xml:space="preserve">
32318 bear
</t>
        </r>
      </text>
    </comment>
    <comment ref="EG64" authorId="3" shapeId="0" xr:uid="{00000000-0006-0000-0700-000063010000}">
      <text>
        <r>
          <rPr>
            <b/>
            <sz val="8"/>
            <color indexed="8"/>
            <rFont val="Times New Roman"/>
            <family val="1"/>
          </rPr>
          <t xml:space="preserve">Bloomberg:
</t>
        </r>
        <r>
          <rPr>
            <sz val="8"/>
            <color indexed="8"/>
            <rFont val="Times New Roman"/>
            <family val="1"/>
          </rPr>
          <t>was 52.887</t>
        </r>
      </text>
    </comment>
    <comment ref="EH64" authorId="3" shapeId="0" xr:uid="{00000000-0006-0000-0700-000064010000}">
      <text>
        <r>
          <rPr>
            <b/>
            <sz val="8"/>
            <color indexed="8"/>
            <rFont val="Times New Roman"/>
            <family val="1"/>
          </rPr>
          <t xml:space="preserve">Martin Shkreli:
</t>
        </r>
        <r>
          <rPr>
            <sz val="8"/>
            <color indexed="8"/>
            <rFont val="Times New Roman"/>
            <family val="1"/>
          </rPr>
          <t>12-13% growth (PFE adds 700bps, 50bps from FX)
ESAs, DES op growth of 12-12.5%. Slightly higher than 11.5-12.5%
consensus was 59.705, and was 55.7 before that
61.095 official result</t>
        </r>
      </text>
    </comment>
    <comment ref="EI64" authorId="3" shapeId="0" xr:uid="{00000000-0006-0000-0700-000065010000}">
      <text>
        <r>
          <rPr>
            <sz val="8"/>
            <color indexed="8"/>
            <rFont val="Times New Roman"/>
            <family val="1"/>
          </rPr>
          <t>Estimate was 62.604
Official result was 63.747b</t>
        </r>
      </text>
    </comment>
    <comment ref="EJ64" authorId="3" shapeId="0" xr:uid="{00000000-0006-0000-0700-000066010000}">
      <text>
        <r>
          <rPr>
            <b/>
            <sz val="8"/>
            <color indexed="8"/>
            <rFont val="Times New Roman"/>
            <family val="1"/>
          </rPr>
          <t xml:space="preserve">Bloomberg:
Q209: -1% to +1% implying 61-62
Q109: -1% to +1% FY09 implying 63bn-64bn, 60bn-61bn assuming constant FX going forward
</t>
        </r>
        <r>
          <rPr>
            <sz val="8"/>
            <color indexed="8"/>
            <rFont val="Times New Roman"/>
            <family val="1"/>
          </rPr>
          <t>was 65.745
was 61 many years ago</t>
        </r>
      </text>
    </comment>
    <comment ref="EK64" authorId="3" shapeId="0" xr:uid="{00000000-0006-0000-0700-000067010000}">
      <text>
        <r>
          <rPr>
            <sz val="8"/>
            <color indexed="8"/>
            <rFont val="Times New Roman"/>
            <family val="1"/>
          </rPr>
          <t>Q210: 62.5bn CC (1+% CC)
Mid-Q1: Many lower #s, consensus 63,757
Q110: reit 64-64bn CC
Q409: 63-64bn CC, 64-65bn.</t>
        </r>
        <r>
          <rPr>
            <b/>
            <sz val="8"/>
            <color indexed="8"/>
            <rFont val="Times New Roman"/>
            <family val="1"/>
          </rPr>
          <t xml:space="preserve">
</t>
        </r>
        <r>
          <rPr>
            <sz val="8"/>
            <color indexed="8"/>
            <rFont val="Times New Roman"/>
            <family val="1"/>
          </rPr>
          <t>was 68.382
was 62 many years ago</t>
        </r>
      </text>
    </comment>
    <comment ref="EU64" authorId="31" shapeId="0" xr:uid="{81B591DD-1FF9-411C-BAA6-4375EF42A02A}">
      <text>
        <t>[Threaded comment]
Your version of Excel allows you to read this threaded comment; however, any edits to it will get removed if the file is opened in a newer version of Excel. Learn more: https://go.microsoft.com/fwlink/?linkid=870924
Comment:
    2022 10-K 82584</t>
      </text>
    </comment>
    <comment ref="EV64" authorId="32" shapeId="0" xr:uid="{17B6C408-6627-42FF-9ADC-D78B6E22BBFE}">
      <text>
        <t>[Threaded comment]
Your version of Excel allows you to read this threaded comment; however, any edits to it will get removed if the file is opened in a newer version of Excel. Learn more: https://go.microsoft.com/fwlink/?linkid=870924
Comment:
    2022 10-K: 93775</t>
      </text>
    </comment>
    <comment ref="EW64" authorId="33" shapeId="0" xr:uid="{2B6993CA-2FE9-424C-A2AB-7F7A198D76A3}">
      <text>
        <t>[Threaded comment]
Your version of Excel allows you to read this threaded comment; however, any edits to it will get removed if the file is opened in a newer version of Excel. Learn more: https://go.microsoft.com/fwlink/?linkid=870924
Comment:
    2022 10-K 94943</t>
      </text>
    </comment>
    <comment ref="EZ64" authorId="34" shapeId="0" xr:uid="{7C8EB3EA-9F68-4382-B912-52A378943493}">
      <text>
        <t>[Threaded comment]
Your version of Excel allows you to read this threaded comment; however, any edits to it will get removed if the file is opened in a newer version of Excel. Learn more: https://go.microsoft.com/fwlink/?linkid=870924
Comment:
    Guided to &gt;57B pharma</t>
      </text>
    </comment>
    <comment ref="K65" authorId="2" shapeId="0" xr:uid="{00000000-0006-0000-0700-000068010000}">
      <text>
        <r>
          <rPr>
            <b/>
            <sz val="8"/>
            <color indexed="81"/>
            <rFont val="Tahoma"/>
            <family val="2"/>
          </rPr>
          <t>Martin Shkreli:</t>
        </r>
        <r>
          <rPr>
            <sz val="8"/>
            <color indexed="81"/>
            <rFont val="Tahoma"/>
            <family val="2"/>
          </rPr>
          <t xml:space="preserve">
2080? jpm</t>
        </r>
      </text>
    </comment>
    <comment ref="L65" authorId="2" shapeId="0" xr:uid="{00000000-0006-0000-0700-000069010000}">
      <text>
        <r>
          <rPr>
            <b/>
            <sz val="8"/>
            <color indexed="81"/>
            <rFont val="Tahoma"/>
            <family val="2"/>
          </rPr>
          <t>Martin Shkreli:</t>
        </r>
        <r>
          <rPr>
            <sz val="8"/>
            <color indexed="81"/>
            <rFont val="Tahoma"/>
            <family val="2"/>
          </rPr>
          <t xml:space="preserve">
2135 jpm</t>
        </r>
      </text>
    </comment>
    <comment ref="M65" authorId="2" shapeId="0" xr:uid="{00000000-0006-0000-0700-00006A010000}">
      <text>
        <r>
          <rPr>
            <b/>
            <sz val="8"/>
            <color indexed="81"/>
            <rFont val="Tahoma"/>
            <family val="2"/>
          </rPr>
          <t>Martin Shkreli:</t>
        </r>
        <r>
          <rPr>
            <sz val="8"/>
            <color indexed="81"/>
            <rFont val="Tahoma"/>
            <family val="2"/>
          </rPr>
          <t xml:space="preserve">
2087 jpm</t>
        </r>
      </text>
    </comment>
    <comment ref="N65" authorId="2" shapeId="0" xr:uid="{00000000-0006-0000-0700-00006B010000}">
      <text>
        <r>
          <rPr>
            <b/>
            <sz val="8"/>
            <color indexed="81"/>
            <rFont val="Tahoma"/>
            <family val="2"/>
          </rPr>
          <t>Martin Shkreli:</t>
        </r>
        <r>
          <rPr>
            <sz val="8"/>
            <color indexed="81"/>
            <rFont val="Tahoma"/>
            <family val="2"/>
          </rPr>
          <t xml:space="preserve">
2196 jpm</t>
        </r>
      </text>
    </comment>
    <comment ref="O65" authorId="2" shapeId="0" xr:uid="{00000000-0006-0000-0700-00006C010000}">
      <text>
        <r>
          <rPr>
            <b/>
            <sz val="8"/>
            <color indexed="81"/>
            <rFont val="Tahoma"/>
            <family val="2"/>
          </rPr>
          <t>Martin Shkreli:</t>
        </r>
        <r>
          <rPr>
            <sz val="8"/>
            <color indexed="81"/>
            <rFont val="Tahoma"/>
            <family val="2"/>
          </rPr>
          <t xml:space="preserve">
2242 jpm
2242 bear</t>
        </r>
      </text>
    </comment>
    <comment ref="P65" authorId="2" shapeId="0" xr:uid="{00000000-0006-0000-0700-00006D010000}">
      <text>
        <r>
          <rPr>
            <b/>
            <sz val="8"/>
            <color indexed="81"/>
            <rFont val="Tahoma"/>
            <family val="2"/>
          </rPr>
          <t>Martin Shkreli:</t>
        </r>
        <r>
          <rPr>
            <sz val="8"/>
            <color indexed="81"/>
            <rFont val="Tahoma"/>
            <family val="2"/>
          </rPr>
          <t xml:space="preserve">
2261 jpm
2261 bear</t>
        </r>
      </text>
    </comment>
    <comment ref="Q65" authorId="2" shapeId="0" xr:uid="{00000000-0006-0000-0700-00006E010000}">
      <text>
        <r>
          <rPr>
            <b/>
            <sz val="8"/>
            <color indexed="81"/>
            <rFont val="Tahoma"/>
            <family val="2"/>
          </rPr>
          <t>Martin Shkreli:</t>
        </r>
        <r>
          <rPr>
            <sz val="8"/>
            <color indexed="81"/>
            <rFont val="Tahoma"/>
            <family val="2"/>
          </rPr>
          <t xml:space="preserve">
2191 jpm
2191 bear</t>
        </r>
      </text>
    </comment>
    <comment ref="R65" authorId="2" shapeId="0" xr:uid="{00000000-0006-0000-0700-00006F010000}">
      <text>
        <r>
          <rPr>
            <b/>
            <sz val="8"/>
            <color indexed="81"/>
            <rFont val="Tahoma"/>
            <family val="2"/>
          </rPr>
          <t>Martin Shkreli:</t>
        </r>
        <r>
          <rPr>
            <sz val="8"/>
            <color indexed="81"/>
            <rFont val="Tahoma"/>
            <family val="2"/>
          </rPr>
          <t xml:space="preserve">
2214 jpm
2214 bear</t>
        </r>
      </text>
    </comment>
    <comment ref="S65" authorId="2" shapeId="0" xr:uid="{00000000-0006-0000-0700-000070010000}">
      <text>
        <r>
          <rPr>
            <b/>
            <sz val="8"/>
            <color indexed="81"/>
            <rFont val="Tahoma"/>
            <family val="2"/>
          </rPr>
          <t>Martin Shkreli:</t>
        </r>
        <r>
          <rPr>
            <sz val="8"/>
            <color indexed="81"/>
            <rFont val="Tahoma"/>
            <family val="2"/>
          </rPr>
          <t xml:space="preserve">
2311 bear
2311 jpm</t>
        </r>
      </text>
    </comment>
    <comment ref="T65" authorId="2" shapeId="0" xr:uid="{00000000-0006-0000-0700-000071010000}">
      <text>
        <r>
          <rPr>
            <b/>
            <sz val="8"/>
            <color indexed="81"/>
            <rFont val="Tahoma"/>
            <family val="2"/>
          </rPr>
          <t>Martin Shkreli:</t>
        </r>
        <r>
          <rPr>
            <sz val="8"/>
            <color indexed="81"/>
            <rFont val="Tahoma"/>
            <family val="2"/>
          </rPr>
          <t xml:space="preserve">
2372 bear</t>
        </r>
      </text>
    </comment>
    <comment ref="U65" authorId="2" shapeId="0" xr:uid="{00000000-0006-0000-0700-000072010000}">
      <text>
        <r>
          <rPr>
            <b/>
            <sz val="8"/>
            <color indexed="81"/>
            <rFont val="Tahoma"/>
            <family val="2"/>
          </rPr>
          <t>Martin Shkreli:</t>
        </r>
        <r>
          <rPr>
            <sz val="8"/>
            <color indexed="81"/>
            <rFont val="Tahoma"/>
            <family val="2"/>
          </rPr>
          <t xml:space="preserve">
2396 bear</t>
        </r>
      </text>
    </comment>
    <comment ref="V65" authorId="2" shapeId="0" xr:uid="{00000000-0006-0000-0700-000073010000}">
      <text>
        <r>
          <rPr>
            <b/>
            <sz val="8"/>
            <color indexed="81"/>
            <rFont val="Tahoma"/>
            <family val="2"/>
          </rPr>
          <t>Martin Shkreli:</t>
        </r>
        <r>
          <rPr>
            <sz val="8"/>
            <color indexed="81"/>
            <rFont val="Tahoma"/>
            <family val="2"/>
          </rPr>
          <t xml:space="preserve">
2502 bear</t>
        </r>
      </text>
    </comment>
    <comment ref="AI65" authorId="2" shapeId="0" xr:uid="{00000000-0006-0000-0700-000074010000}">
      <text>
        <r>
          <rPr>
            <b/>
            <sz val="8"/>
            <color indexed="81"/>
            <rFont val="Tahoma"/>
            <family val="2"/>
          </rPr>
          <t>Martin Shkreli:</t>
        </r>
        <r>
          <rPr>
            <sz val="8"/>
            <color indexed="81"/>
            <rFont val="Tahoma"/>
            <family val="2"/>
          </rPr>
          <t xml:space="preserve">
3482 bear</t>
        </r>
      </text>
    </comment>
    <comment ref="AJ65" authorId="2" shapeId="0" xr:uid="{00000000-0006-0000-0700-000075010000}">
      <text>
        <r>
          <rPr>
            <b/>
            <sz val="8"/>
            <color indexed="81"/>
            <rFont val="Tahoma"/>
            <family val="2"/>
          </rPr>
          <t>Martin Shkreli:</t>
        </r>
        <r>
          <rPr>
            <sz val="8"/>
            <color indexed="81"/>
            <rFont val="Tahoma"/>
            <family val="2"/>
          </rPr>
          <t xml:space="preserve">
3508 bear</t>
        </r>
      </text>
    </comment>
    <comment ref="AK65" authorId="2" shapeId="0" xr:uid="{00000000-0006-0000-0700-000076010000}">
      <text>
        <r>
          <rPr>
            <b/>
            <sz val="8"/>
            <color indexed="81"/>
            <rFont val="Tahoma"/>
            <family val="2"/>
          </rPr>
          <t>Martin Shkreli:</t>
        </r>
        <r>
          <rPr>
            <sz val="8"/>
            <color indexed="81"/>
            <rFont val="Tahoma"/>
            <family val="2"/>
          </rPr>
          <t xml:space="preserve">
3340 bear</t>
        </r>
      </text>
    </comment>
    <comment ref="AL65" authorId="2" shapeId="0" xr:uid="{00000000-0006-0000-0700-000077010000}">
      <text>
        <r>
          <rPr>
            <b/>
            <sz val="8"/>
            <color indexed="81"/>
            <rFont val="Tahoma"/>
            <family val="2"/>
          </rPr>
          <t>Martin Shkreli:</t>
        </r>
        <r>
          <rPr>
            <sz val="8"/>
            <color indexed="81"/>
            <rFont val="Tahoma"/>
            <family val="2"/>
          </rPr>
          <t xml:space="preserve">
3624 bear</t>
        </r>
      </text>
    </comment>
    <comment ref="DC65" authorId="35" shapeId="0" xr:uid="{97C52B0D-8BC9-4BBC-9350-037D6E02FA16}">
      <text>
        <t xml:space="preserve">[Threaded comment]
Your version of Excel allows you to read this threaded comment; however, any edits to it will get removed if the file is opened in a newer version of Excel. Learn more: https://go.microsoft.com/fwlink/?linkid=870924
Comment:
    8,395 with consumer </t>
      </text>
    </comment>
    <comment ref="DQ65" authorId="2" shapeId="0" xr:uid="{00000000-0006-0000-0700-000078010000}">
      <text>
        <r>
          <rPr>
            <b/>
            <sz val="8"/>
            <color indexed="81"/>
            <rFont val="Tahoma"/>
            <family val="2"/>
          </rPr>
          <t>Martin Shkreli:</t>
        </r>
        <r>
          <rPr>
            <sz val="8"/>
            <color indexed="81"/>
            <rFont val="Tahoma"/>
            <family val="2"/>
          </rPr>
          <t xml:space="preserve">
3957 bear</t>
        </r>
      </text>
    </comment>
    <comment ref="DR65" authorId="2" shapeId="0" xr:uid="{00000000-0006-0000-0700-000079010000}">
      <text>
        <r>
          <rPr>
            <b/>
            <sz val="8"/>
            <color indexed="81"/>
            <rFont val="Tahoma"/>
            <family val="2"/>
          </rPr>
          <t>Martin Shkreli:</t>
        </r>
        <r>
          <rPr>
            <sz val="8"/>
            <color indexed="81"/>
            <rFont val="Tahoma"/>
            <family val="2"/>
          </rPr>
          <t xml:space="preserve">
4248 bear</t>
        </r>
      </text>
    </comment>
    <comment ref="DS65" authorId="2" shapeId="0" xr:uid="{00000000-0006-0000-0700-00007A010000}">
      <text>
        <r>
          <rPr>
            <b/>
            <sz val="8"/>
            <color indexed="81"/>
            <rFont val="Tahoma"/>
            <family val="2"/>
          </rPr>
          <t>Martin Shkreli:</t>
        </r>
        <r>
          <rPr>
            <sz val="8"/>
            <color indexed="81"/>
            <rFont val="Tahoma"/>
            <family val="2"/>
          </rPr>
          <t xml:space="preserve">
4748 bear</t>
        </r>
      </text>
    </comment>
    <comment ref="DT65" authorId="2" shapeId="0" xr:uid="{00000000-0006-0000-0700-00007B010000}">
      <text>
        <r>
          <rPr>
            <b/>
            <sz val="8"/>
            <color indexed="81"/>
            <rFont val="Tahoma"/>
            <family val="2"/>
          </rPr>
          <t>Martin Shkreli:</t>
        </r>
        <r>
          <rPr>
            <sz val="8"/>
            <color indexed="81"/>
            <rFont val="Tahoma"/>
            <family val="2"/>
          </rPr>
          <t xml:space="preserve">
4869 bear</t>
        </r>
      </text>
    </comment>
    <comment ref="DU65" authorId="2" shapeId="0" xr:uid="{00000000-0006-0000-0700-00007C010000}">
      <text>
        <r>
          <rPr>
            <b/>
            <sz val="8"/>
            <color indexed="81"/>
            <rFont val="Tahoma"/>
            <family val="2"/>
          </rPr>
          <t>Martin Shkreli:</t>
        </r>
        <r>
          <rPr>
            <sz val="8"/>
            <color indexed="81"/>
            <rFont val="Tahoma"/>
            <family val="2"/>
          </rPr>
          <t xml:space="preserve">
5350 bear</t>
        </r>
      </text>
    </comment>
    <comment ref="DV65" authorId="2" shapeId="0" xr:uid="{00000000-0006-0000-0700-00007D010000}">
      <text>
        <r>
          <rPr>
            <b/>
            <sz val="8"/>
            <color indexed="81"/>
            <rFont val="Tahoma"/>
            <family val="2"/>
          </rPr>
          <t>Martin Shkreli:</t>
        </r>
        <r>
          <rPr>
            <sz val="8"/>
            <color indexed="81"/>
            <rFont val="Tahoma"/>
            <family val="2"/>
          </rPr>
          <t xml:space="preserve">
6303 bear</t>
        </r>
      </text>
    </comment>
    <comment ref="DW65" authorId="2" shapeId="0" xr:uid="{00000000-0006-0000-0700-00007E010000}">
      <text>
        <r>
          <rPr>
            <b/>
            <sz val="8"/>
            <color indexed="81"/>
            <rFont val="Tahoma"/>
            <family val="2"/>
          </rPr>
          <t>Martin Shkreli:</t>
        </r>
        <r>
          <rPr>
            <sz val="8"/>
            <color indexed="81"/>
            <rFont val="Tahoma"/>
            <family val="2"/>
          </rPr>
          <t xml:space="preserve">
7130 bear</t>
        </r>
      </text>
    </comment>
    <comment ref="DX65" authorId="2" shapeId="0" xr:uid="{00000000-0006-0000-0700-00007F010000}">
      <text>
        <r>
          <rPr>
            <b/>
            <sz val="8"/>
            <color indexed="81"/>
            <rFont val="Tahoma"/>
            <family val="2"/>
          </rPr>
          <t>Martin Shkreli:</t>
        </r>
        <r>
          <rPr>
            <sz val="8"/>
            <color indexed="81"/>
            <rFont val="Tahoma"/>
            <family val="2"/>
          </rPr>
          <t xml:space="preserve">
7291 bear</t>
        </r>
      </text>
    </comment>
    <comment ref="DY65" authorId="2" shapeId="0" xr:uid="{00000000-0006-0000-0700-000080010000}">
      <text>
        <r>
          <rPr>
            <b/>
            <sz val="8"/>
            <color indexed="81"/>
            <rFont val="Tahoma"/>
            <family val="2"/>
          </rPr>
          <t>Martin Shkreli:</t>
        </r>
        <r>
          <rPr>
            <sz val="8"/>
            <color indexed="81"/>
            <rFont val="Tahoma"/>
            <family val="2"/>
          </rPr>
          <t xml:space="preserve">
7646 bear</t>
        </r>
      </text>
    </comment>
    <comment ref="DZ65" authorId="2" shapeId="0" xr:uid="{00000000-0006-0000-0700-000081010000}">
      <text>
        <r>
          <rPr>
            <b/>
            <sz val="8"/>
            <color indexed="81"/>
            <rFont val="Tahoma"/>
            <family val="2"/>
          </rPr>
          <t>Martin Shkreli:</t>
        </r>
        <r>
          <rPr>
            <sz val="8"/>
            <color indexed="81"/>
            <rFont val="Tahoma"/>
            <family val="2"/>
          </rPr>
          <t xml:space="preserve">
8498 jpm
8498 bear</t>
        </r>
      </text>
    </comment>
    <comment ref="EA65" authorId="2" shapeId="0" xr:uid="{00000000-0006-0000-0700-000082010000}">
      <text>
        <r>
          <rPr>
            <b/>
            <sz val="8"/>
            <color indexed="81"/>
            <rFont val="Tahoma"/>
            <family val="2"/>
          </rPr>
          <t>Martin Shkreli:</t>
        </r>
        <r>
          <rPr>
            <sz val="8"/>
            <color indexed="81"/>
            <rFont val="Tahoma"/>
            <family val="2"/>
          </rPr>
          <t xml:space="preserve">
8908 jpm
8908 bear</t>
        </r>
      </text>
    </comment>
    <comment ref="EB65" authorId="2" shapeId="0" xr:uid="{00000000-0006-0000-0700-000083010000}">
      <text>
        <r>
          <rPr>
            <b/>
            <sz val="8"/>
            <color indexed="81"/>
            <rFont val="Tahoma"/>
            <family val="2"/>
          </rPr>
          <t>Martin Shkreli:</t>
        </r>
        <r>
          <rPr>
            <sz val="8"/>
            <color indexed="81"/>
            <rFont val="Tahoma"/>
            <family val="2"/>
          </rPr>
          <t xml:space="preserve">
9581 bear</t>
        </r>
      </text>
    </comment>
    <comment ref="K66" authorId="2" shapeId="0" xr:uid="{00000000-0006-0000-0700-000084010000}">
      <text>
        <r>
          <rPr>
            <b/>
            <sz val="8"/>
            <color indexed="81"/>
            <rFont val="Tahoma"/>
            <family val="2"/>
          </rPr>
          <t>Martin Shkreli:</t>
        </r>
        <r>
          <rPr>
            <sz val="8"/>
            <color indexed="81"/>
            <rFont val="Tahoma"/>
            <family val="2"/>
          </rPr>
          <t xml:space="preserve">
4779 jpm?</t>
        </r>
      </text>
    </comment>
    <comment ref="L66" authorId="2" shapeId="0" xr:uid="{00000000-0006-0000-0700-000085010000}">
      <text>
        <r>
          <rPr>
            <b/>
            <sz val="8"/>
            <color indexed="81"/>
            <rFont val="Tahoma"/>
            <family val="2"/>
          </rPr>
          <t>Martin Shkreli:</t>
        </r>
        <r>
          <rPr>
            <sz val="8"/>
            <color indexed="81"/>
            <rFont val="Tahoma"/>
            <family val="2"/>
          </rPr>
          <t xml:space="preserve">
4964 jpm</t>
        </r>
      </text>
    </comment>
    <comment ref="M66" authorId="2" shapeId="0" xr:uid="{00000000-0006-0000-0700-000086010000}">
      <text>
        <r>
          <rPr>
            <b/>
            <sz val="8"/>
            <color indexed="81"/>
            <rFont val="Tahoma"/>
            <family val="2"/>
          </rPr>
          <t>Martin Shkreli:</t>
        </r>
        <r>
          <rPr>
            <sz val="8"/>
            <color indexed="81"/>
            <rFont val="Tahoma"/>
            <family val="2"/>
          </rPr>
          <t xml:space="preserve">
4998 jp</t>
        </r>
      </text>
    </comment>
    <comment ref="N66" authorId="2" shapeId="0" xr:uid="{00000000-0006-0000-0700-000087010000}">
      <text>
        <r>
          <rPr>
            <b/>
            <sz val="8"/>
            <color indexed="81"/>
            <rFont val="Tahoma"/>
            <family val="2"/>
          </rPr>
          <t>Martin Shkreli:</t>
        </r>
        <r>
          <rPr>
            <sz val="8"/>
            <color indexed="81"/>
            <rFont val="Tahoma"/>
            <family val="2"/>
          </rPr>
          <t xml:space="preserve">
4768 jpm</t>
        </r>
      </text>
    </comment>
    <comment ref="O66" authorId="2" shapeId="0" xr:uid="{00000000-0006-0000-0700-000088010000}">
      <text>
        <r>
          <rPr>
            <b/>
            <sz val="8"/>
            <color indexed="81"/>
            <rFont val="Tahoma"/>
            <family val="2"/>
          </rPr>
          <t>Martin Shkreli:</t>
        </r>
        <r>
          <rPr>
            <sz val="8"/>
            <color indexed="81"/>
            <rFont val="Tahoma"/>
            <family val="2"/>
          </rPr>
          <t xml:space="preserve">
5198 jpm
5198 bear</t>
        </r>
      </text>
    </comment>
    <comment ref="P66" authorId="2" shapeId="0" xr:uid="{00000000-0006-0000-0700-000089010000}">
      <text>
        <r>
          <rPr>
            <b/>
            <sz val="8"/>
            <color indexed="81"/>
            <rFont val="Tahoma"/>
            <family val="2"/>
          </rPr>
          <t>Martin Shkreli:</t>
        </r>
        <r>
          <rPr>
            <sz val="8"/>
            <color indexed="81"/>
            <rFont val="Tahoma"/>
            <family val="2"/>
          </rPr>
          <t xml:space="preserve">
5409 jpm
5409 bear</t>
        </r>
      </text>
    </comment>
    <comment ref="Q66" authorId="2" shapeId="0" xr:uid="{00000000-0006-0000-0700-00008A010000}">
      <text>
        <r>
          <rPr>
            <b/>
            <sz val="8"/>
            <color indexed="81"/>
            <rFont val="Tahoma"/>
            <family val="2"/>
          </rPr>
          <t>Martin Shkreli:</t>
        </r>
        <r>
          <rPr>
            <sz val="8"/>
            <color indexed="81"/>
            <rFont val="Tahoma"/>
            <family val="2"/>
          </rPr>
          <t xml:space="preserve">
5247 jpm
5247 bear</t>
        </r>
      </text>
    </comment>
    <comment ref="R66" authorId="2" shapeId="0" xr:uid="{00000000-0006-0000-0700-00008B010000}">
      <text>
        <r>
          <rPr>
            <b/>
            <sz val="8"/>
            <color indexed="81"/>
            <rFont val="Tahoma"/>
            <family val="2"/>
          </rPr>
          <t>Martin Shkreli:</t>
        </r>
        <r>
          <rPr>
            <sz val="8"/>
            <color indexed="81"/>
            <rFont val="Tahoma"/>
            <family val="2"/>
          </rPr>
          <t xml:space="preserve">
5084 jpm
5084 bear</t>
        </r>
      </text>
    </comment>
    <comment ref="S66" authorId="2" shapeId="0" xr:uid="{00000000-0006-0000-0700-00008C010000}">
      <text>
        <r>
          <rPr>
            <b/>
            <sz val="8"/>
            <color indexed="81"/>
            <rFont val="Tahoma"/>
            <family val="2"/>
          </rPr>
          <t>Martin Shkreli:</t>
        </r>
        <r>
          <rPr>
            <sz val="8"/>
            <color indexed="81"/>
            <rFont val="Tahoma"/>
            <family val="2"/>
          </rPr>
          <t xml:space="preserve">
5545 bear</t>
        </r>
      </text>
    </comment>
    <comment ref="T66" authorId="2" shapeId="0" xr:uid="{00000000-0006-0000-0700-00008D010000}">
      <text>
        <r>
          <rPr>
            <b/>
            <sz val="8"/>
            <color indexed="81"/>
            <rFont val="Tahoma"/>
            <family val="2"/>
          </rPr>
          <t>Martin Shkreli:</t>
        </r>
        <r>
          <rPr>
            <sz val="8"/>
            <color indexed="81"/>
            <rFont val="Tahoma"/>
            <family val="2"/>
          </rPr>
          <t xml:space="preserve">
5807 bear</t>
        </r>
      </text>
    </comment>
    <comment ref="U66" authorId="2" shapeId="0" xr:uid="{00000000-0006-0000-0700-00008E010000}">
      <text>
        <r>
          <rPr>
            <b/>
            <sz val="8"/>
            <color indexed="81"/>
            <rFont val="Tahoma"/>
            <family val="2"/>
          </rPr>
          <t>Martin Shkreli:</t>
        </r>
        <r>
          <rPr>
            <sz val="8"/>
            <color indexed="81"/>
            <rFont val="Tahoma"/>
            <family val="2"/>
          </rPr>
          <t xml:space="preserve">
5662 bear</t>
        </r>
      </text>
    </comment>
    <comment ref="V66" authorId="2" shapeId="0" xr:uid="{00000000-0006-0000-0700-00008F010000}">
      <text>
        <r>
          <rPr>
            <b/>
            <sz val="8"/>
            <color indexed="81"/>
            <rFont val="Tahoma"/>
            <family val="2"/>
          </rPr>
          <t>Martin Shkreli:</t>
        </r>
        <r>
          <rPr>
            <sz val="8"/>
            <color indexed="81"/>
            <rFont val="Tahoma"/>
            <family val="2"/>
          </rPr>
          <t xml:space="preserve">
5723 bear</t>
        </r>
      </text>
    </comment>
    <comment ref="AI66" authorId="2" shapeId="0" xr:uid="{00000000-0006-0000-0700-000090010000}">
      <text>
        <r>
          <rPr>
            <b/>
            <sz val="8"/>
            <color indexed="81"/>
            <rFont val="Tahoma"/>
            <family val="2"/>
          </rPr>
          <t>Martin Shkreli:</t>
        </r>
        <r>
          <rPr>
            <sz val="8"/>
            <color indexed="81"/>
            <rFont val="Tahoma"/>
            <family val="2"/>
          </rPr>
          <t xml:space="preserve">
9350 bear</t>
        </r>
      </text>
    </comment>
    <comment ref="AJ66" authorId="2" shapeId="0" xr:uid="{00000000-0006-0000-0700-000091010000}">
      <text>
        <r>
          <rPr>
            <b/>
            <sz val="8"/>
            <color indexed="81"/>
            <rFont val="Tahoma"/>
            <family val="2"/>
          </rPr>
          <t>Martin Shkreli:</t>
        </r>
        <r>
          <rPr>
            <sz val="8"/>
            <color indexed="81"/>
            <rFont val="Tahoma"/>
            <family val="2"/>
          </rPr>
          <t xml:space="preserve">
9254 bear</t>
        </r>
      </text>
    </comment>
    <comment ref="AK66" authorId="2" shapeId="0" xr:uid="{00000000-0006-0000-0700-000092010000}">
      <text>
        <r>
          <rPr>
            <b/>
            <sz val="8"/>
            <color indexed="81"/>
            <rFont val="Tahoma"/>
            <family val="2"/>
          </rPr>
          <t>Martin Shkreli:</t>
        </r>
        <r>
          <rPr>
            <sz val="8"/>
            <color indexed="81"/>
            <rFont val="Tahoma"/>
            <family val="2"/>
          </rPr>
          <t xml:space="preserve">
8970 bear</t>
        </r>
      </text>
    </comment>
    <comment ref="AL66" authorId="2" shapeId="0" xr:uid="{00000000-0006-0000-0700-000093010000}">
      <text>
        <r>
          <rPr>
            <b/>
            <sz val="8"/>
            <color indexed="81"/>
            <rFont val="Tahoma"/>
            <family val="2"/>
          </rPr>
          <t>Martin Shkreli:</t>
        </r>
        <r>
          <rPr>
            <sz val="8"/>
            <color indexed="81"/>
            <rFont val="Tahoma"/>
            <family val="2"/>
          </rPr>
          <t xml:space="preserve">
8986 bear</t>
        </r>
      </text>
    </comment>
    <comment ref="DQ66" authorId="2" shapeId="0" xr:uid="{00000000-0006-0000-0700-000094010000}">
      <text>
        <r>
          <rPr>
            <b/>
            <sz val="8"/>
            <color indexed="81"/>
            <rFont val="Tahoma"/>
            <family val="2"/>
          </rPr>
          <t>Martin Shkreli:</t>
        </r>
        <r>
          <rPr>
            <sz val="8"/>
            <color indexed="81"/>
            <rFont val="Tahoma"/>
            <family val="2"/>
          </rPr>
          <t xml:space="preserve">
7374 bear</t>
        </r>
      </text>
    </comment>
    <comment ref="DR66" authorId="2" shapeId="0" xr:uid="{00000000-0006-0000-0700-000095010000}">
      <text>
        <r>
          <rPr>
            <b/>
            <sz val="8"/>
            <color indexed="81"/>
            <rFont val="Tahoma"/>
            <family val="2"/>
          </rPr>
          <t>Martin Shkreli:</t>
        </r>
        <r>
          <rPr>
            <sz val="8"/>
            <color indexed="81"/>
            <rFont val="Tahoma"/>
            <family val="2"/>
          </rPr>
          <t xml:space="preserve">
8323 bear</t>
        </r>
      </text>
    </comment>
    <comment ref="DS66" authorId="2" shapeId="0" xr:uid="{00000000-0006-0000-0700-000096010000}">
      <text>
        <r>
          <rPr>
            <b/>
            <sz val="8"/>
            <color indexed="81"/>
            <rFont val="Tahoma"/>
            <family val="2"/>
          </rPr>
          <t>Martin Shkreli:</t>
        </r>
        <r>
          <rPr>
            <sz val="8"/>
            <color indexed="81"/>
            <rFont val="Tahoma"/>
            <family val="2"/>
          </rPr>
          <t xml:space="preserve">
9237 bear</t>
        </r>
      </text>
    </comment>
    <comment ref="DT66" authorId="2" shapeId="0" xr:uid="{00000000-0006-0000-0700-000097010000}">
      <text>
        <r>
          <rPr>
            <b/>
            <sz val="8"/>
            <color indexed="81"/>
            <rFont val="Tahoma"/>
            <family val="2"/>
          </rPr>
          <t>Martin Shkreli:</t>
        </r>
        <r>
          <rPr>
            <sz val="8"/>
            <color indexed="81"/>
            <rFont val="Tahoma"/>
            <family val="2"/>
          </rPr>
          <t xml:space="preserve">
9433 bear</t>
        </r>
      </text>
    </comment>
    <comment ref="DU66" authorId="2" shapeId="0" xr:uid="{00000000-0006-0000-0700-000098010000}">
      <text>
        <r>
          <rPr>
            <b/>
            <sz val="8"/>
            <color indexed="81"/>
            <rFont val="Tahoma"/>
            <family val="2"/>
          </rPr>
          <t>Martin Shkreli:</t>
        </r>
        <r>
          <rPr>
            <sz val="8"/>
            <color indexed="81"/>
            <rFont val="Tahoma"/>
            <family val="2"/>
          </rPr>
          <t xml:space="preserve">
10566 bear</t>
        </r>
      </text>
    </comment>
    <comment ref="DV66" authorId="2" shapeId="0" xr:uid="{00000000-0006-0000-0700-000099010000}">
      <text>
        <r>
          <rPr>
            <b/>
            <sz val="8"/>
            <color indexed="81"/>
            <rFont val="Tahoma"/>
            <family val="2"/>
          </rPr>
          <t>Martin Shkreli:</t>
        </r>
        <r>
          <rPr>
            <sz val="8"/>
            <color indexed="81"/>
            <rFont val="Tahoma"/>
            <family val="2"/>
          </rPr>
          <t xml:space="preserve">
12765 bear</t>
        </r>
      </text>
    </comment>
    <comment ref="DW66" authorId="2" shapeId="0" xr:uid="{00000000-0006-0000-0700-00009A010000}">
      <text>
        <r>
          <rPr>
            <b/>
            <sz val="8"/>
            <color indexed="81"/>
            <rFont val="Tahoma"/>
            <family val="2"/>
          </rPr>
          <t>Martin Shkreli:</t>
        </r>
        <r>
          <rPr>
            <sz val="8"/>
            <color indexed="81"/>
            <rFont val="Tahoma"/>
            <family val="2"/>
          </rPr>
          <t xml:space="preserve">
14854 bear</t>
        </r>
      </text>
    </comment>
    <comment ref="DX66" authorId="2" shapeId="0" xr:uid="{00000000-0006-0000-0700-00009B010000}">
      <text>
        <r>
          <rPr>
            <b/>
            <sz val="8"/>
            <color indexed="81"/>
            <rFont val="Tahoma"/>
            <family val="2"/>
          </rPr>
          <t>Martin Shkreli:</t>
        </r>
        <r>
          <rPr>
            <sz val="8"/>
            <color indexed="81"/>
            <rFont val="Tahoma"/>
            <family val="2"/>
          </rPr>
          <t xml:space="preserve">
15827 bear</t>
        </r>
      </text>
    </comment>
    <comment ref="DY66" authorId="2" shapeId="0" xr:uid="{00000000-0006-0000-0700-00009C010000}">
      <text>
        <r>
          <rPr>
            <b/>
            <sz val="8"/>
            <color indexed="81"/>
            <rFont val="Tahoma"/>
            <family val="2"/>
          </rPr>
          <t>Martin Shkreli:</t>
        </r>
        <r>
          <rPr>
            <sz val="8"/>
            <color indexed="81"/>
            <rFont val="Tahoma"/>
            <family val="2"/>
          </rPr>
          <t xml:space="preserve">
16752 bear</t>
        </r>
      </text>
    </comment>
    <comment ref="DZ66" authorId="2" shapeId="0" xr:uid="{00000000-0006-0000-0700-00009D010000}">
      <text>
        <r>
          <rPr>
            <b/>
            <sz val="8"/>
            <color indexed="81"/>
            <rFont val="Tahoma"/>
            <family val="2"/>
          </rPr>
          <t>Martin Shkreli:</t>
        </r>
        <r>
          <rPr>
            <sz val="8"/>
            <color indexed="81"/>
            <rFont val="Tahoma"/>
            <family val="2"/>
          </rPr>
          <t xml:space="preserve">
19510 jpm
19509 bear</t>
        </r>
      </text>
    </comment>
    <comment ref="EA66" authorId="2" shapeId="0" xr:uid="{00000000-0006-0000-0700-00009E010000}">
      <text>
        <r>
          <rPr>
            <b/>
            <sz val="8"/>
            <color indexed="81"/>
            <rFont val="Tahoma"/>
            <family val="2"/>
          </rPr>
          <t>Martin Shkreli:</t>
        </r>
        <r>
          <rPr>
            <sz val="8"/>
            <color indexed="81"/>
            <rFont val="Tahoma"/>
            <family val="2"/>
          </rPr>
          <t xml:space="preserve">
20938 jpm
20938 bear</t>
        </r>
      </text>
    </comment>
    <comment ref="EB66" authorId="2" shapeId="0" xr:uid="{00000000-0006-0000-0700-00009F010000}">
      <text>
        <r>
          <rPr>
            <b/>
            <sz val="8"/>
            <color indexed="81"/>
            <rFont val="Tahoma"/>
            <family val="2"/>
          </rPr>
          <t>Martin Shkreli:</t>
        </r>
        <r>
          <rPr>
            <sz val="8"/>
            <color indexed="81"/>
            <rFont val="Tahoma"/>
            <family val="2"/>
          </rPr>
          <t xml:space="preserve">
22737 bear</t>
        </r>
      </text>
    </comment>
    <comment ref="K67" authorId="2" shapeId="0" xr:uid="{00000000-0006-0000-0700-0000A0010000}">
      <text>
        <r>
          <rPr>
            <b/>
            <sz val="8"/>
            <color indexed="81"/>
            <rFont val="Tahoma"/>
            <family val="2"/>
          </rPr>
          <t>Martin Shkreli:</t>
        </r>
        <r>
          <rPr>
            <sz val="8"/>
            <color indexed="81"/>
            <rFont val="Tahoma"/>
            <family val="2"/>
          </rPr>
          <t xml:space="preserve">
2491 jpm</t>
        </r>
      </text>
    </comment>
    <comment ref="L67" authorId="2" shapeId="0" xr:uid="{00000000-0006-0000-0700-0000A1010000}">
      <text>
        <r>
          <rPr>
            <b/>
            <sz val="8"/>
            <color indexed="81"/>
            <rFont val="Tahoma"/>
            <family val="2"/>
          </rPr>
          <t>Martin Shkreli:</t>
        </r>
        <r>
          <rPr>
            <sz val="8"/>
            <color indexed="81"/>
            <rFont val="Tahoma"/>
            <family val="2"/>
          </rPr>
          <t xml:space="preserve">
2646 jpm</t>
        </r>
      </text>
    </comment>
    <comment ref="M67" authorId="2" shapeId="0" xr:uid="{00000000-0006-0000-0700-0000A2010000}">
      <text>
        <r>
          <rPr>
            <b/>
            <sz val="8"/>
            <color indexed="81"/>
            <rFont val="Tahoma"/>
            <family val="2"/>
          </rPr>
          <t>Martin Shkreli:</t>
        </r>
        <r>
          <rPr>
            <sz val="8"/>
            <color indexed="81"/>
            <rFont val="Tahoma"/>
            <family val="2"/>
          </rPr>
          <t xml:space="preserve">
2682 jpm</t>
        </r>
      </text>
    </comment>
    <comment ref="N67" authorId="2" shapeId="0" xr:uid="{00000000-0006-0000-0700-0000A3010000}">
      <text>
        <r>
          <rPr>
            <b/>
            <sz val="8"/>
            <color indexed="81"/>
            <rFont val="Tahoma"/>
            <family val="2"/>
          </rPr>
          <t>Martin Shkreli:</t>
        </r>
        <r>
          <rPr>
            <sz val="8"/>
            <color indexed="81"/>
            <rFont val="Tahoma"/>
            <family val="2"/>
          </rPr>
          <t xml:space="preserve">
2937 jpm</t>
        </r>
      </text>
    </comment>
    <comment ref="O67" authorId="2" shapeId="0" xr:uid="{00000000-0006-0000-0700-0000A4010000}">
      <text>
        <r>
          <rPr>
            <b/>
            <sz val="8"/>
            <color indexed="81"/>
            <rFont val="Tahoma"/>
            <family val="2"/>
          </rPr>
          <t>Martin Shkreli:</t>
        </r>
        <r>
          <rPr>
            <sz val="8"/>
            <color indexed="81"/>
            <rFont val="Tahoma"/>
            <family val="2"/>
          </rPr>
          <t xml:space="preserve">
2679 jpm
2679 bear</t>
        </r>
      </text>
    </comment>
    <comment ref="P67" authorId="2" shapeId="0" xr:uid="{00000000-0006-0000-0700-0000A5010000}">
      <text>
        <r>
          <rPr>
            <b/>
            <sz val="8"/>
            <color indexed="81"/>
            <rFont val="Tahoma"/>
            <family val="2"/>
          </rPr>
          <t>Martin Shkreli:</t>
        </r>
        <r>
          <rPr>
            <sz val="8"/>
            <color indexed="81"/>
            <rFont val="Tahoma"/>
            <family val="2"/>
          </rPr>
          <t xml:space="preserve">
2829 jpm
2829 bear</t>
        </r>
      </text>
    </comment>
    <comment ref="Q67" authorId="2" shapeId="0" xr:uid="{00000000-0006-0000-0700-0000A6010000}">
      <text>
        <r>
          <rPr>
            <b/>
            <sz val="8"/>
            <color indexed="81"/>
            <rFont val="Tahoma"/>
            <family val="2"/>
          </rPr>
          <t>Martin Shkreli:</t>
        </r>
        <r>
          <rPr>
            <sz val="8"/>
            <color indexed="81"/>
            <rFont val="Tahoma"/>
            <family val="2"/>
          </rPr>
          <t xml:space="preserve">
2767 jpm
2767 bear</t>
        </r>
      </text>
    </comment>
    <comment ref="R67" authorId="2" shapeId="0" xr:uid="{00000000-0006-0000-0700-0000A7010000}">
      <text>
        <r>
          <rPr>
            <b/>
            <sz val="8"/>
            <color indexed="81"/>
            <rFont val="Tahoma"/>
            <family val="2"/>
          </rPr>
          <t>Martin Shkreli:</t>
        </r>
        <r>
          <rPr>
            <sz val="8"/>
            <color indexed="81"/>
            <rFont val="Tahoma"/>
            <family val="2"/>
          </rPr>
          <t xml:space="preserve">
2943 jpm
2943 bear</t>
        </r>
      </text>
    </comment>
    <comment ref="S67" authorId="2" shapeId="0" xr:uid="{00000000-0006-0000-0700-0000A8010000}">
      <text>
        <r>
          <rPr>
            <b/>
            <sz val="8"/>
            <color indexed="81"/>
            <rFont val="Tahoma"/>
            <family val="2"/>
          </rPr>
          <t>Martin Shkreli:</t>
        </r>
        <r>
          <rPr>
            <sz val="8"/>
            <color indexed="81"/>
            <rFont val="Tahoma"/>
            <family val="2"/>
          </rPr>
          <t xml:space="preserve">
2666 bear
2666 jpm</t>
        </r>
      </text>
    </comment>
    <comment ref="T67" authorId="2" shapeId="0" xr:uid="{00000000-0006-0000-0700-0000A9010000}">
      <text>
        <r>
          <rPr>
            <b/>
            <sz val="8"/>
            <color indexed="81"/>
            <rFont val="Tahoma"/>
            <family val="2"/>
          </rPr>
          <t>Martin Shkreli:</t>
        </r>
        <r>
          <rPr>
            <sz val="8"/>
            <color indexed="81"/>
            <rFont val="Tahoma"/>
            <family val="2"/>
          </rPr>
          <t xml:space="preserve">
2802 bear</t>
        </r>
      </text>
    </comment>
    <comment ref="U67" authorId="2" shapeId="0" xr:uid="{00000000-0006-0000-0700-0000AA010000}">
      <text>
        <r>
          <rPr>
            <b/>
            <sz val="8"/>
            <color indexed="81"/>
            <rFont val="Tahoma"/>
            <family val="2"/>
          </rPr>
          <t>Martin Shkreli:</t>
        </r>
        <r>
          <rPr>
            <sz val="8"/>
            <color indexed="81"/>
            <rFont val="Tahoma"/>
            <family val="2"/>
          </rPr>
          <t xml:space="preserve">
2703 bear</t>
        </r>
      </text>
    </comment>
    <comment ref="V67" authorId="2" shapeId="0" xr:uid="{00000000-0006-0000-0700-0000AB010000}">
      <text>
        <r>
          <rPr>
            <b/>
            <sz val="8"/>
            <color indexed="81"/>
            <rFont val="Tahoma"/>
            <family val="2"/>
          </rPr>
          <t>Martin Shkreli:</t>
        </r>
        <r>
          <rPr>
            <sz val="8"/>
            <color indexed="81"/>
            <rFont val="Tahoma"/>
            <family val="2"/>
          </rPr>
          <t xml:space="preserve">
3089 bear</t>
        </r>
      </text>
    </comment>
    <comment ref="AI67" authorId="2" shapeId="0" xr:uid="{00000000-0006-0000-0700-0000AC010000}">
      <text>
        <r>
          <rPr>
            <b/>
            <sz val="8"/>
            <color indexed="81"/>
            <rFont val="Tahoma"/>
            <family val="2"/>
          </rPr>
          <t>Martin Shkreli:</t>
        </r>
        <r>
          <rPr>
            <sz val="8"/>
            <color indexed="81"/>
            <rFont val="Tahoma"/>
            <family val="2"/>
          </rPr>
          <t xml:space="preserve">
4043 bear</t>
        </r>
      </text>
    </comment>
    <comment ref="AK67" authorId="2" shapeId="0" xr:uid="{00000000-0006-0000-0700-0000AD010000}">
      <text>
        <r>
          <rPr>
            <b/>
            <sz val="8"/>
            <color indexed="81"/>
            <rFont val="Tahoma"/>
            <family val="2"/>
          </rPr>
          <t>Martin Shkreli:</t>
        </r>
        <r>
          <rPr>
            <sz val="8"/>
            <color indexed="81"/>
            <rFont val="Tahoma"/>
            <family val="2"/>
          </rPr>
          <t xml:space="preserve">
4078 bear</t>
        </r>
      </text>
    </comment>
    <comment ref="AL67" authorId="2" shapeId="0" xr:uid="{00000000-0006-0000-0700-0000AE010000}">
      <text>
        <r>
          <rPr>
            <b/>
            <sz val="8"/>
            <color indexed="81"/>
            <rFont val="Tahoma"/>
            <family val="2"/>
          </rPr>
          <t>Martin Shkreli:</t>
        </r>
        <r>
          <rPr>
            <sz val="8"/>
            <color indexed="81"/>
            <rFont val="Tahoma"/>
            <family val="2"/>
          </rPr>
          <t xml:space="preserve">
4562 bear</t>
        </r>
      </text>
    </comment>
    <comment ref="BB67" authorId="0" shapeId="0" xr:uid="{00000000-0006-0000-0700-0000AF010000}">
      <text>
        <r>
          <rPr>
            <sz val="9"/>
            <color indexed="81"/>
            <rFont val="Tahoma"/>
            <family val="2"/>
          </rPr>
          <t>recall costs impacted 6c</t>
        </r>
      </text>
    </comment>
    <comment ref="DC67" authorId="36" shapeId="0" xr:uid="{A6B1AE65-7C0C-4941-91EE-ACEB2687BFB0}">
      <text>
        <t>[Threaded comment]
Your version of Excel allows you to read this threaded comment; however, any edits to it will get removed if the file is opened in a newer version of Excel. Learn more: https://go.microsoft.com/fwlink/?linkid=870924
Comment:
    6,138 with consumer</t>
      </text>
    </comment>
    <comment ref="DQ67" authorId="2" shapeId="0" xr:uid="{00000000-0006-0000-0700-0000B0010000}">
      <text>
        <r>
          <rPr>
            <b/>
            <sz val="8"/>
            <color indexed="81"/>
            <rFont val="Tahoma"/>
            <family val="2"/>
          </rPr>
          <t>Martin Shkreli:</t>
        </r>
        <r>
          <rPr>
            <sz val="8"/>
            <color indexed="81"/>
            <rFont val="Tahoma"/>
            <family val="2"/>
          </rPr>
          <t xml:space="preserve">
4481 bear</t>
        </r>
      </text>
    </comment>
    <comment ref="DR67" authorId="2" shapeId="0" xr:uid="{00000000-0006-0000-0700-0000B1010000}">
      <text>
        <r>
          <rPr>
            <b/>
            <sz val="8"/>
            <color indexed="81"/>
            <rFont val="Tahoma"/>
            <family val="2"/>
          </rPr>
          <t>Martin Shkreli:</t>
        </r>
        <r>
          <rPr>
            <sz val="8"/>
            <color indexed="81"/>
            <rFont val="Tahoma"/>
            <family val="2"/>
          </rPr>
          <t xml:space="preserve">
5202 bear</t>
        </r>
      </text>
    </comment>
    <comment ref="DS67" authorId="2" shapeId="0" xr:uid="{00000000-0006-0000-0700-0000B2010000}">
      <text>
        <r>
          <rPr>
            <b/>
            <sz val="8"/>
            <color indexed="81"/>
            <rFont val="Tahoma"/>
            <family val="2"/>
          </rPr>
          <t>Martin Shkreli:</t>
        </r>
        <r>
          <rPr>
            <sz val="8"/>
            <color indexed="81"/>
            <rFont val="Tahoma"/>
            <family val="2"/>
          </rPr>
          <t xml:space="preserve">
5776 bear</t>
        </r>
      </text>
    </comment>
    <comment ref="DT67" authorId="2" shapeId="0" xr:uid="{00000000-0006-0000-0700-0000B3010000}">
      <text>
        <r>
          <rPr>
            <b/>
            <sz val="8"/>
            <color indexed="81"/>
            <rFont val="Tahoma"/>
            <family val="2"/>
          </rPr>
          <t>Martin Shkreli:</t>
        </r>
        <r>
          <rPr>
            <sz val="8"/>
            <color indexed="81"/>
            <rFont val="Tahoma"/>
            <family val="2"/>
          </rPr>
          <t xml:space="preserve">
5828 bear</t>
        </r>
      </text>
    </comment>
    <comment ref="DU67" authorId="2" shapeId="0" xr:uid="{00000000-0006-0000-0700-0000B4010000}">
      <text>
        <r>
          <rPr>
            <b/>
            <sz val="8"/>
            <color indexed="81"/>
            <rFont val="Tahoma"/>
            <family val="2"/>
          </rPr>
          <t>Martin Shkreli:</t>
        </r>
        <r>
          <rPr>
            <sz val="8"/>
            <color indexed="81"/>
            <rFont val="Tahoma"/>
            <family val="2"/>
          </rPr>
          <t xml:space="preserve">
6406 bear</t>
        </r>
      </text>
    </comment>
    <comment ref="DV67" authorId="2" shapeId="0" xr:uid="{00000000-0006-0000-0700-0000B5010000}">
      <text>
        <r>
          <rPr>
            <b/>
            <sz val="8"/>
            <color indexed="81"/>
            <rFont val="Tahoma"/>
            <family val="2"/>
          </rPr>
          <t>Martin Shkreli:</t>
        </r>
        <r>
          <rPr>
            <sz val="8"/>
            <color indexed="81"/>
            <rFont val="Tahoma"/>
            <family val="2"/>
          </rPr>
          <t xml:space="preserve">
7530 bear</t>
        </r>
      </text>
    </comment>
    <comment ref="DW67" authorId="2" shapeId="0" xr:uid="{00000000-0006-0000-0700-0000B6010000}">
      <text>
        <r>
          <rPr>
            <b/>
            <sz val="8"/>
            <color indexed="81"/>
            <rFont val="Tahoma"/>
            <family val="2"/>
          </rPr>
          <t>Martin Shkreli:</t>
        </r>
        <r>
          <rPr>
            <sz val="8"/>
            <color indexed="81"/>
            <rFont val="Tahoma"/>
            <family val="2"/>
          </rPr>
          <t xml:space="preserve">
8500 bear</t>
        </r>
      </text>
    </comment>
    <comment ref="DX67" authorId="2" shapeId="0" xr:uid="{00000000-0006-0000-0700-0000B7010000}">
      <text>
        <r>
          <rPr>
            <b/>
            <sz val="8"/>
            <color indexed="81"/>
            <rFont val="Tahoma"/>
            <family val="2"/>
          </rPr>
          <t>Martin Shkreli:</t>
        </r>
        <r>
          <rPr>
            <sz val="8"/>
            <color indexed="81"/>
            <rFont val="Tahoma"/>
            <family val="2"/>
          </rPr>
          <t xml:space="preserve">
8840 bear</t>
        </r>
      </text>
    </comment>
    <comment ref="DY67" authorId="2" shapeId="0" xr:uid="{00000000-0006-0000-0700-0000B8010000}">
      <text>
        <r>
          <rPr>
            <b/>
            <sz val="8"/>
            <color indexed="81"/>
            <rFont val="Tahoma"/>
            <family val="2"/>
          </rPr>
          <t>Martin Shkreli:</t>
        </r>
        <r>
          <rPr>
            <sz val="8"/>
            <color indexed="81"/>
            <rFont val="Tahoma"/>
            <family val="2"/>
          </rPr>
          <t xml:space="preserve">
9166 bear</t>
        </r>
      </text>
    </comment>
    <comment ref="DZ67" authorId="2" shapeId="0" xr:uid="{00000000-0006-0000-0700-0000B9010000}">
      <text>
        <r>
          <rPr>
            <b/>
            <sz val="8"/>
            <color indexed="81"/>
            <rFont val="Tahoma"/>
            <family val="2"/>
          </rPr>
          <t>Martin Shkreli:</t>
        </r>
        <r>
          <rPr>
            <sz val="8"/>
            <color indexed="81"/>
            <rFont val="Tahoma"/>
            <family val="2"/>
          </rPr>
          <t xml:space="preserve">
10756 jpm
10756 bear</t>
        </r>
      </text>
    </comment>
    <comment ref="EA67" authorId="2" shapeId="0" xr:uid="{00000000-0006-0000-0700-0000BA010000}">
      <text>
        <r>
          <rPr>
            <b/>
            <sz val="8"/>
            <color indexed="81"/>
            <rFont val="Tahoma"/>
            <family val="2"/>
          </rPr>
          <t>Martin Shkreli:</t>
        </r>
        <r>
          <rPr>
            <sz val="8"/>
            <color indexed="81"/>
            <rFont val="Tahoma"/>
            <family val="2"/>
          </rPr>
          <t xml:space="preserve">
11218 jpm
11218 bear</t>
        </r>
      </text>
    </comment>
    <comment ref="EB67" authorId="2" shapeId="0" xr:uid="{00000000-0006-0000-0700-0000BB010000}">
      <text>
        <r>
          <rPr>
            <b/>
            <sz val="8"/>
            <color indexed="81"/>
            <rFont val="Tahoma"/>
            <family val="2"/>
          </rPr>
          <t>Martin Shkreli:</t>
        </r>
        <r>
          <rPr>
            <sz val="8"/>
            <color indexed="81"/>
            <rFont val="Tahoma"/>
            <family val="2"/>
          </rPr>
          <t xml:space="preserve">
11260 bear</t>
        </r>
      </text>
    </comment>
    <comment ref="K68" authorId="2" shapeId="0" xr:uid="{00000000-0006-0000-0700-0000BC010000}">
      <text>
        <r>
          <rPr>
            <b/>
            <sz val="8"/>
            <color indexed="81"/>
            <rFont val="Tahoma"/>
            <family val="2"/>
          </rPr>
          <t>Martin Shkreli:</t>
        </r>
        <r>
          <rPr>
            <sz val="8"/>
            <color indexed="81"/>
            <rFont val="Tahoma"/>
            <family val="2"/>
          </rPr>
          <t xml:space="preserve">
597 jpm</t>
        </r>
      </text>
    </comment>
    <comment ref="L68" authorId="2" shapeId="0" xr:uid="{00000000-0006-0000-0700-0000BD010000}">
      <text>
        <r>
          <rPr>
            <b/>
            <sz val="8"/>
            <color indexed="81"/>
            <rFont val="Tahoma"/>
            <family val="2"/>
          </rPr>
          <t>Martin Shkreli:</t>
        </r>
        <r>
          <rPr>
            <sz val="8"/>
            <color indexed="81"/>
            <rFont val="Tahoma"/>
            <family val="2"/>
          </rPr>
          <t xml:space="preserve">
640 jpm</t>
        </r>
      </text>
    </comment>
    <comment ref="M68" authorId="2" shapeId="0" xr:uid="{00000000-0006-0000-0700-0000BE010000}">
      <text>
        <r>
          <rPr>
            <b/>
            <sz val="8"/>
            <color indexed="81"/>
            <rFont val="Tahoma"/>
            <family val="2"/>
          </rPr>
          <t>Martin Shkreli:</t>
        </r>
        <r>
          <rPr>
            <sz val="8"/>
            <color indexed="81"/>
            <rFont val="Tahoma"/>
            <family val="2"/>
          </rPr>
          <t xml:space="preserve">
672 jpm</t>
        </r>
      </text>
    </comment>
    <comment ref="N68" authorId="2" shapeId="0" xr:uid="{00000000-0006-0000-0700-0000BF010000}">
      <text>
        <r>
          <rPr>
            <b/>
            <sz val="8"/>
            <color indexed="81"/>
            <rFont val="Tahoma"/>
            <family val="2"/>
          </rPr>
          <t>Martin Shkreli:</t>
        </r>
        <r>
          <rPr>
            <sz val="8"/>
            <color indexed="81"/>
            <rFont val="Tahoma"/>
            <family val="2"/>
          </rPr>
          <t xml:space="preserve">
858 jpm</t>
        </r>
      </text>
    </comment>
    <comment ref="O68" authorId="2" shapeId="0" xr:uid="{00000000-0006-0000-0700-0000C0010000}">
      <text>
        <r>
          <rPr>
            <b/>
            <sz val="8"/>
            <color indexed="81"/>
            <rFont val="Tahoma"/>
            <family val="2"/>
          </rPr>
          <t>Martin Shkreli:</t>
        </r>
        <r>
          <rPr>
            <sz val="8"/>
            <color indexed="81"/>
            <rFont val="Tahoma"/>
            <family val="2"/>
          </rPr>
          <t xml:space="preserve">
677 jpm
677 bear</t>
        </r>
      </text>
    </comment>
    <comment ref="P68" authorId="2" shapeId="0" xr:uid="{00000000-0006-0000-0700-0000C1010000}">
      <text>
        <r>
          <rPr>
            <b/>
            <sz val="8"/>
            <color indexed="81"/>
            <rFont val="Tahoma"/>
            <family val="2"/>
          </rPr>
          <t>Martin Shkreli:</t>
        </r>
        <r>
          <rPr>
            <sz val="8"/>
            <color indexed="81"/>
            <rFont val="Tahoma"/>
            <family val="2"/>
          </rPr>
          <t xml:space="preserve">
713 jpm
713 bear</t>
        </r>
      </text>
    </comment>
    <comment ref="Q68" authorId="2" shapeId="0" xr:uid="{00000000-0006-0000-0700-0000C2010000}">
      <text>
        <r>
          <rPr>
            <b/>
            <sz val="8"/>
            <color indexed="81"/>
            <rFont val="Tahoma"/>
            <family val="2"/>
          </rPr>
          <t>Martin Shkreli:</t>
        </r>
        <r>
          <rPr>
            <sz val="8"/>
            <color indexed="81"/>
            <rFont val="Tahoma"/>
            <family val="2"/>
          </rPr>
          <t xml:space="preserve">
739 jpm
739 bear</t>
        </r>
      </text>
    </comment>
    <comment ref="R68" authorId="2" shapeId="0" xr:uid="{00000000-0006-0000-0700-0000C3010000}">
      <text>
        <r>
          <rPr>
            <b/>
            <sz val="8"/>
            <color indexed="81"/>
            <rFont val="Tahoma"/>
            <family val="2"/>
          </rPr>
          <t>Martin Shkreli:</t>
        </r>
        <r>
          <rPr>
            <sz val="8"/>
            <color indexed="81"/>
            <rFont val="Tahoma"/>
            <family val="2"/>
          </rPr>
          <t xml:space="preserve">
976 jpm
976 bear</t>
        </r>
      </text>
    </comment>
    <comment ref="S68" authorId="2" shapeId="0" xr:uid="{00000000-0006-0000-0700-0000C4010000}">
      <text>
        <r>
          <rPr>
            <b/>
            <sz val="8"/>
            <color indexed="81"/>
            <rFont val="Tahoma"/>
            <family val="2"/>
          </rPr>
          <t>Martin Shkreli:</t>
        </r>
        <r>
          <rPr>
            <sz val="8"/>
            <color indexed="81"/>
            <rFont val="Tahoma"/>
            <family val="2"/>
          </rPr>
          <t xml:space="preserve">
759 bear
759 jpm</t>
        </r>
      </text>
    </comment>
    <comment ref="AI68" authorId="2" shapeId="0" xr:uid="{00000000-0006-0000-0700-0000C5010000}">
      <text>
        <r>
          <rPr>
            <b/>
            <sz val="8"/>
            <color indexed="81"/>
            <rFont val="Tahoma"/>
            <family val="2"/>
          </rPr>
          <t>Martin Shkreli:</t>
        </r>
        <r>
          <rPr>
            <sz val="8"/>
            <color indexed="81"/>
            <rFont val="Tahoma"/>
            <family val="2"/>
          </rPr>
          <t xml:space="preserve">
1347 bear</t>
        </r>
      </text>
    </comment>
    <comment ref="AK68" authorId="2" shapeId="0" xr:uid="{00000000-0006-0000-0700-0000C6010000}">
      <text>
        <r>
          <rPr>
            <b/>
            <sz val="8"/>
            <color indexed="81"/>
            <rFont val="Tahoma"/>
            <family val="2"/>
          </rPr>
          <t>Martin Shkreli:</t>
        </r>
        <r>
          <rPr>
            <sz val="8"/>
            <color indexed="81"/>
            <rFont val="Tahoma"/>
            <family val="2"/>
          </rPr>
          <t xml:space="preserve">
1502 bear</t>
        </r>
      </text>
    </comment>
    <comment ref="AL68" authorId="2" shapeId="0" xr:uid="{00000000-0006-0000-0700-0000C7010000}">
      <text>
        <r>
          <rPr>
            <b/>
            <sz val="8"/>
            <color indexed="81"/>
            <rFont val="Tahoma"/>
            <family val="2"/>
          </rPr>
          <t>Martin Shkreli:</t>
        </r>
        <r>
          <rPr>
            <sz val="8"/>
            <color indexed="81"/>
            <rFont val="Tahoma"/>
            <family val="2"/>
          </rPr>
          <t xml:space="preserve">
1976 bear</t>
        </r>
      </text>
    </comment>
    <comment ref="AN68" authorId="3" shapeId="0" xr:uid="{00000000-0006-0000-0700-0000C8010000}">
      <text>
        <r>
          <rPr>
            <b/>
            <sz val="8"/>
            <color indexed="8"/>
            <rFont val="Times New Roman"/>
            <family val="1"/>
          </rPr>
          <t xml:space="preserve">Martin Shkreli:
</t>
        </r>
        <r>
          <rPr>
            <sz val="8"/>
            <color indexed="8"/>
            <rFont val="Times New Roman"/>
            <family val="1"/>
          </rPr>
          <t xml:space="preserve">165m to VRTX for HCV
</t>
        </r>
      </text>
    </comment>
    <comment ref="DC68" authorId="37" shapeId="0" xr:uid="{6D6FCDAD-D5A2-4FD0-B2FF-F3F42C14E7F2}">
      <text>
        <t>[Threaded comment]
Your version of Excel allows you to read this threaded comment; however, any edits to it will get removed if the file is opened in a newer version of Excel. Learn more: https://go.microsoft.com/fwlink/?linkid=870924
Comment:
    3,563 with consumer</t>
      </text>
    </comment>
    <comment ref="DQ68" authorId="2" shapeId="0" xr:uid="{00000000-0006-0000-0700-0000C9010000}">
      <text>
        <r>
          <rPr>
            <b/>
            <sz val="8"/>
            <color indexed="81"/>
            <rFont val="Tahoma"/>
            <family val="2"/>
          </rPr>
          <t>Martin Shkreli:</t>
        </r>
        <r>
          <rPr>
            <sz val="8"/>
            <color indexed="81"/>
            <rFont val="Tahoma"/>
            <family val="2"/>
          </rPr>
          <t xml:space="preserve">
869 bear</t>
        </r>
      </text>
    </comment>
    <comment ref="DR68" authorId="2" shapeId="0" xr:uid="{00000000-0006-0000-0700-0000CA010000}">
      <text>
        <r>
          <rPr>
            <b/>
            <sz val="8"/>
            <color indexed="81"/>
            <rFont val="Tahoma"/>
            <family val="2"/>
          </rPr>
          <t>Martin Shkreli:</t>
        </r>
        <r>
          <rPr>
            <sz val="8"/>
            <color indexed="81"/>
            <rFont val="Tahoma"/>
            <family val="2"/>
          </rPr>
          <t xml:space="preserve">
1092 bear</t>
        </r>
      </text>
    </comment>
    <comment ref="DS68" authorId="2" shapeId="0" xr:uid="{00000000-0006-0000-0700-0000CB010000}">
      <text>
        <r>
          <rPr>
            <b/>
            <sz val="8"/>
            <color indexed="81"/>
            <rFont val="Tahoma"/>
            <family val="2"/>
          </rPr>
          <t>Martin Shkreli:</t>
        </r>
        <r>
          <rPr>
            <sz val="8"/>
            <color indexed="81"/>
            <rFont val="Tahoma"/>
            <family val="2"/>
          </rPr>
          <t xml:space="preserve">
1282 bear</t>
        </r>
      </text>
    </comment>
    <comment ref="DT68" authorId="2" shapeId="0" xr:uid="{00000000-0006-0000-0700-0000CC010000}">
      <text>
        <r>
          <rPr>
            <b/>
            <sz val="8"/>
            <color indexed="81"/>
            <rFont val="Tahoma"/>
            <family val="2"/>
          </rPr>
          <t>Martin Shkreli:</t>
        </r>
        <r>
          <rPr>
            <sz val="8"/>
            <color indexed="81"/>
            <rFont val="Tahoma"/>
            <family val="2"/>
          </rPr>
          <t xml:space="preserve">
1296 bear</t>
        </r>
      </text>
    </comment>
    <comment ref="DU68" authorId="2" shapeId="0" xr:uid="{00000000-0006-0000-0700-0000CD010000}">
      <text>
        <r>
          <rPr>
            <b/>
            <sz val="8"/>
            <color indexed="81"/>
            <rFont val="Tahoma"/>
            <family val="2"/>
          </rPr>
          <t>Martin Shkreli:</t>
        </r>
        <r>
          <rPr>
            <sz val="8"/>
            <color indexed="81"/>
            <rFont val="Tahoma"/>
            <family val="2"/>
          </rPr>
          <t xml:space="preserve">
1416 bear</t>
        </r>
      </text>
    </comment>
    <comment ref="DV68" authorId="2" shapeId="0" xr:uid="{00000000-0006-0000-0700-0000CE010000}">
      <text>
        <r>
          <rPr>
            <b/>
            <sz val="8"/>
            <color indexed="81"/>
            <rFont val="Tahoma"/>
            <family val="2"/>
          </rPr>
          <t>Martin Shkreli:</t>
        </r>
        <r>
          <rPr>
            <sz val="8"/>
            <color indexed="81"/>
            <rFont val="Tahoma"/>
            <family val="2"/>
          </rPr>
          <t xml:space="preserve">
1788 bear</t>
        </r>
      </text>
    </comment>
    <comment ref="DW68" authorId="2" shapeId="0" xr:uid="{00000000-0006-0000-0700-0000CF010000}">
      <text>
        <r>
          <rPr>
            <b/>
            <sz val="8"/>
            <color indexed="81"/>
            <rFont val="Tahoma"/>
            <family val="2"/>
          </rPr>
          <t>Martin Shkreli:</t>
        </r>
        <r>
          <rPr>
            <sz val="8"/>
            <color indexed="81"/>
            <rFont val="Tahoma"/>
            <family val="2"/>
          </rPr>
          <t xml:space="preserve">
2109 bear</t>
        </r>
      </text>
    </comment>
    <comment ref="DX68" authorId="2" shapeId="0" xr:uid="{00000000-0006-0000-0700-0000D0010000}">
      <text>
        <r>
          <rPr>
            <b/>
            <sz val="8"/>
            <color indexed="81"/>
            <rFont val="Tahoma"/>
            <family val="2"/>
          </rPr>
          <t>Martin Shkreli:</t>
        </r>
        <r>
          <rPr>
            <sz val="8"/>
            <color indexed="81"/>
            <rFont val="Tahoma"/>
            <family val="2"/>
          </rPr>
          <t xml:space="preserve">
2373 bear</t>
        </r>
      </text>
    </comment>
    <comment ref="DY68" authorId="2" shapeId="0" xr:uid="{00000000-0006-0000-0700-0000D1010000}">
      <text>
        <r>
          <rPr>
            <b/>
            <sz val="8"/>
            <color indexed="81"/>
            <rFont val="Tahoma"/>
            <family val="2"/>
          </rPr>
          <t>Martin Shkreli:</t>
        </r>
        <r>
          <rPr>
            <sz val="8"/>
            <color indexed="81"/>
            <rFont val="Tahoma"/>
            <family val="2"/>
          </rPr>
          <t xml:space="preserve">
2506 bear</t>
        </r>
      </text>
    </comment>
    <comment ref="DZ68" authorId="2" shapeId="0" xr:uid="{00000000-0006-0000-0700-0000D2010000}">
      <text>
        <r>
          <rPr>
            <b/>
            <sz val="8"/>
            <color indexed="81"/>
            <rFont val="Tahoma"/>
            <family val="2"/>
          </rPr>
          <t>Martin Shkreli:</t>
        </r>
        <r>
          <rPr>
            <sz val="8"/>
            <color indexed="81"/>
            <rFont val="Tahoma"/>
            <family val="2"/>
          </rPr>
          <t xml:space="preserve">
2768 jpm
2768 bear</t>
        </r>
      </text>
    </comment>
    <comment ref="EA68" authorId="2" shapeId="0" xr:uid="{00000000-0006-0000-0700-0000D3010000}">
      <text>
        <r>
          <rPr>
            <b/>
            <sz val="8"/>
            <color indexed="81"/>
            <rFont val="Tahoma"/>
            <family val="2"/>
          </rPr>
          <t>Martin Shkreli:</t>
        </r>
        <r>
          <rPr>
            <sz val="8"/>
            <color indexed="81"/>
            <rFont val="Tahoma"/>
            <family val="2"/>
          </rPr>
          <t xml:space="preserve">
3105 jpm
3105 bear</t>
        </r>
      </text>
    </comment>
    <comment ref="K70" authorId="2" shapeId="0" xr:uid="{00000000-0006-0000-0700-0000D4010000}">
      <text>
        <r>
          <rPr>
            <b/>
            <sz val="8"/>
            <color indexed="81"/>
            <rFont val="Tahoma"/>
            <family val="2"/>
          </rPr>
          <t>Martin Shkreli:</t>
        </r>
        <r>
          <rPr>
            <sz val="8"/>
            <color indexed="81"/>
            <rFont val="Tahoma"/>
            <family val="2"/>
          </rPr>
          <t xml:space="preserve">
1691 jpm</t>
        </r>
      </text>
    </comment>
    <comment ref="L70" authorId="2" shapeId="0" xr:uid="{00000000-0006-0000-0700-0000D5010000}">
      <text>
        <r>
          <rPr>
            <b/>
            <sz val="8"/>
            <color indexed="81"/>
            <rFont val="Tahoma"/>
            <family val="2"/>
          </rPr>
          <t>Martin Shkreli:</t>
        </r>
        <r>
          <rPr>
            <sz val="8"/>
            <color indexed="81"/>
            <rFont val="Tahoma"/>
            <family val="2"/>
          </rPr>
          <t xml:space="preserve">
1678 jpm</t>
        </r>
      </text>
    </comment>
    <comment ref="M70" authorId="2" shapeId="0" xr:uid="{00000000-0006-0000-0700-0000D6010000}">
      <text>
        <r>
          <rPr>
            <b/>
            <sz val="8"/>
            <color indexed="81"/>
            <rFont val="Tahoma"/>
            <family val="2"/>
          </rPr>
          <t>Martin Shkreli:</t>
        </r>
        <r>
          <rPr>
            <sz val="8"/>
            <color indexed="81"/>
            <rFont val="Tahoma"/>
            <family val="2"/>
          </rPr>
          <t xml:space="preserve">
1644 jpm</t>
        </r>
      </text>
    </comment>
    <comment ref="N70" authorId="2" shapeId="0" xr:uid="{00000000-0006-0000-0700-0000D7010000}">
      <text>
        <r>
          <rPr>
            <b/>
            <sz val="8"/>
            <color indexed="81"/>
            <rFont val="Tahoma"/>
            <family val="2"/>
          </rPr>
          <t>Martin Shkreli:</t>
        </r>
        <r>
          <rPr>
            <sz val="8"/>
            <color indexed="81"/>
            <rFont val="Tahoma"/>
            <family val="2"/>
          </rPr>
          <t xml:space="preserve">
974 jpm</t>
        </r>
      </text>
    </comment>
    <comment ref="O70" authorId="2" shapeId="0" xr:uid="{00000000-0006-0000-0700-0000D8010000}">
      <text>
        <r>
          <rPr>
            <b/>
            <sz val="8"/>
            <color indexed="81"/>
            <rFont val="Tahoma"/>
            <family val="2"/>
          </rPr>
          <t>Martin Shkreli:</t>
        </r>
        <r>
          <rPr>
            <sz val="8"/>
            <color indexed="81"/>
            <rFont val="Tahoma"/>
            <family val="2"/>
          </rPr>
          <t xml:space="preserve">
1842 jpm
1842 bear</t>
        </r>
      </text>
    </comment>
    <comment ref="P70" authorId="2" shapeId="0" xr:uid="{00000000-0006-0000-0700-0000D9010000}">
      <text>
        <r>
          <rPr>
            <b/>
            <sz val="8"/>
            <color indexed="81"/>
            <rFont val="Tahoma"/>
            <family val="2"/>
          </rPr>
          <t>Martin Shkreli:</t>
        </r>
        <r>
          <rPr>
            <sz val="8"/>
            <color indexed="81"/>
            <rFont val="Tahoma"/>
            <family val="2"/>
          </rPr>
          <t xml:space="preserve">
1867 jpm
1867 bear</t>
        </r>
      </text>
    </comment>
    <comment ref="Q70" authorId="2" shapeId="0" xr:uid="{00000000-0006-0000-0700-0000DA010000}">
      <text>
        <r>
          <rPr>
            <b/>
            <sz val="8"/>
            <color indexed="81"/>
            <rFont val="Tahoma"/>
            <family val="2"/>
          </rPr>
          <t>Martin Shkreli:</t>
        </r>
        <r>
          <rPr>
            <sz val="8"/>
            <color indexed="81"/>
            <rFont val="Tahoma"/>
            <family val="2"/>
          </rPr>
          <t xml:space="preserve">
1741 jpm
1741 bear</t>
        </r>
      </text>
    </comment>
    <comment ref="R70" authorId="2" shapeId="0" xr:uid="{00000000-0006-0000-0700-0000DB010000}">
      <text>
        <r>
          <rPr>
            <b/>
            <sz val="8"/>
            <color indexed="81"/>
            <rFont val="Tahoma"/>
            <family val="2"/>
          </rPr>
          <t>Martin Shkreli:</t>
        </r>
        <r>
          <rPr>
            <sz val="8"/>
            <color indexed="81"/>
            <rFont val="Tahoma"/>
            <family val="2"/>
          </rPr>
          <t xml:space="preserve">
1165 jpm
1165 bear</t>
        </r>
      </text>
    </comment>
    <comment ref="S70" authorId="2" shapeId="0" xr:uid="{00000000-0006-0000-0700-0000DC010000}">
      <text>
        <r>
          <rPr>
            <b/>
            <sz val="8"/>
            <color indexed="81"/>
            <rFont val="Tahoma"/>
            <family val="2"/>
          </rPr>
          <t>Martin Shkreli:</t>
        </r>
        <r>
          <rPr>
            <sz val="8"/>
            <color indexed="81"/>
            <rFont val="Tahoma"/>
            <family val="2"/>
          </rPr>
          <t xml:space="preserve">
2120 bear</t>
        </r>
      </text>
    </comment>
    <comment ref="AI70" authorId="2" shapeId="0" xr:uid="{00000000-0006-0000-0700-0000DD010000}">
      <text>
        <r>
          <rPr>
            <b/>
            <sz val="8"/>
            <color indexed="81"/>
            <rFont val="Tahoma"/>
            <family val="2"/>
          </rPr>
          <t>Martin Shkreli:</t>
        </r>
        <r>
          <rPr>
            <sz val="8"/>
            <color indexed="81"/>
            <rFont val="Tahoma"/>
            <family val="2"/>
          </rPr>
          <t xml:space="preserve">
3960 bear</t>
        </r>
      </text>
    </comment>
    <comment ref="AJ70" authorId="2" shapeId="0" xr:uid="{00000000-0006-0000-0700-0000DE010000}">
      <text>
        <r>
          <rPr>
            <b/>
            <sz val="8"/>
            <color indexed="81"/>
            <rFont val="Tahoma"/>
            <family val="2"/>
          </rPr>
          <t>Martin Shkreli:</t>
        </r>
        <r>
          <rPr>
            <sz val="8"/>
            <color indexed="81"/>
            <rFont val="Tahoma"/>
            <family val="2"/>
          </rPr>
          <t xml:space="preserve">
3573 bear</t>
        </r>
      </text>
    </comment>
    <comment ref="AK70" authorId="2" shapeId="0" xr:uid="{00000000-0006-0000-0700-0000DF010000}">
      <text>
        <r>
          <rPr>
            <b/>
            <sz val="8"/>
            <color indexed="81"/>
            <rFont val="Tahoma"/>
            <family val="2"/>
          </rPr>
          <t>Martin Shkreli:</t>
        </r>
        <r>
          <rPr>
            <sz val="8"/>
            <color indexed="81"/>
            <rFont val="Tahoma"/>
            <family val="2"/>
          </rPr>
          <t xml:space="preserve">
3390 bear</t>
        </r>
      </text>
    </comment>
    <comment ref="AL70" authorId="2" shapeId="0" xr:uid="{00000000-0006-0000-0700-0000E0010000}">
      <text>
        <r>
          <rPr>
            <b/>
            <sz val="8"/>
            <color indexed="81"/>
            <rFont val="Tahoma"/>
            <family val="2"/>
          </rPr>
          <t>Martin Shkreli:</t>
        </r>
        <r>
          <rPr>
            <sz val="8"/>
            <color indexed="81"/>
            <rFont val="Tahoma"/>
            <family val="2"/>
          </rPr>
          <t xml:space="preserve">
2448 bear</t>
        </r>
      </text>
    </comment>
    <comment ref="AN70" authorId="2" shapeId="0" xr:uid="{00000000-0006-0000-0700-0000E1010000}">
      <text>
        <r>
          <rPr>
            <b/>
            <sz val="8"/>
            <color indexed="81"/>
            <rFont val="Tahoma"/>
            <family val="2"/>
          </rPr>
          <t>Martin Shkreli:</t>
        </r>
        <r>
          <rPr>
            <sz val="8"/>
            <color indexed="81"/>
            <rFont val="Tahoma"/>
            <family val="2"/>
          </rPr>
          <t xml:space="preserve">
3396 bear</t>
        </r>
      </text>
    </comment>
    <comment ref="DQ70" authorId="2" shapeId="0" xr:uid="{00000000-0006-0000-0700-0000E2010000}">
      <text>
        <r>
          <rPr>
            <b/>
            <sz val="8"/>
            <color indexed="81"/>
            <rFont val="Tahoma"/>
            <family val="2"/>
          </rPr>
          <t>Martin Shkreli:</t>
        </r>
        <r>
          <rPr>
            <sz val="8"/>
            <color indexed="81"/>
            <rFont val="Tahoma"/>
            <family val="2"/>
          </rPr>
          <t xml:space="preserve">
2024 bear</t>
        </r>
      </text>
    </comment>
    <comment ref="DR70" authorId="2" shapeId="0" xr:uid="{00000000-0006-0000-0700-0000E3010000}">
      <text>
        <r>
          <rPr>
            <b/>
            <sz val="8"/>
            <color indexed="81"/>
            <rFont val="Tahoma"/>
            <family val="2"/>
          </rPr>
          <t>Martin Shkreli:</t>
        </r>
        <r>
          <rPr>
            <sz val="8"/>
            <color indexed="81"/>
            <rFont val="Tahoma"/>
            <family val="2"/>
          </rPr>
          <t xml:space="preserve">
2029 bear</t>
        </r>
      </text>
    </comment>
    <comment ref="DS70" authorId="2" shapeId="0" xr:uid="{00000000-0006-0000-0700-0000E4010000}">
      <text>
        <r>
          <rPr>
            <b/>
            <sz val="8"/>
            <color indexed="81"/>
            <rFont val="Tahoma"/>
            <family val="2"/>
          </rPr>
          <t>Martin Shkreli:</t>
        </r>
        <r>
          <rPr>
            <sz val="8"/>
            <color indexed="81"/>
            <rFont val="Tahoma"/>
            <family val="2"/>
          </rPr>
          <t xml:space="preserve">
2179 bear</t>
        </r>
      </text>
    </comment>
    <comment ref="DT70" authorId="2" shapeId="0" xr:uid="{00000000-0006-0000-0700-0000E5010000}">
      <text>
        <r>
          <rPr>
            <b/>
            <sz val="8"/>
            <color indexed="81"/>
            <rFont val="Tahoma"/>
            <family val="2"/>
          </rPr>
          <t>Martin Shkreli:</t>
        </r>
        <r>
          <rPr>
            <sz val="8"/>
            <color indexed="81"/>
            <rFont val="Tahoma"/>
            <family val="2"/>
          </rPr>
          <t xml:space="preserve">
2309 bear</t>
        </r>
      </text>
    </comment>
    <comment ref="DU70" authorId="2" shapeId="0" xr:uid="{00000000-0006-0000-0700-0000E6010000}">
      <text>
        <r>
          <rPr>
            <b/>
            <sz val="8"/>
            <color indexed="81"/>
            <rFont val="Tahoma"/>
            <family val="2"/>
          </rPr>
          <t>Martin Shkreli:</t>
        </r>
        <r>
          <rPr>
            <sz val="8"/>
            <color indexed="81"/>
            <rFont val="Tahoma"/>
            <family val="2"/>
          </rPr>
          <t xml:space="preserve">
2744 bear</t>
        </r>
      </text>
    </comment>
    <comment ref="DV70" authorId="2" shapeId="0" xr:uid="{00000000-0006-0000-0700-0000E7010000}">
      <text>
        <r>
          <rPr>
            <b/>
            <sz val="8"/>
            <color indexed="81"/>
            <rFont val="Tahoma"/>
            <family val="2"/>
          </rPr>
          <t>Martin Shkreli:</t>
        </r>
        <r>
          <rPr>
            <sz val="8"/>
            <color indexed="81"/>
            <rFont val="Tahoma"/>
            <family val="2"/>
          </rPr>
          <t xml:space="preserve">
3447 bear</t>
        </r>
      </text>
    </comment>
    <comment ref="DW70" authorId="2" shapeId="0" xr:uid="{00000000-0006-0000-0700-0000E8010000}">
      <text>
        <r>
          <rPr>
            <b/>
            <sz val="8"/>
            <color indexed="81"/>
            <rFont val="Tahoma"/>
            <family val="2"/>
          </rPr>
          <t>Martin Shkreli:</t>
        </r>
        <r>
          <rPr>
            <sz val="8"/>
            <color indexed="81"/>
            <rFont val="Tahoma"/>
            <family val="2"/>
          </rPr>
          <t xml:space="preserve">
4245 bear</t>
        </r>
      </text>
    </comment>
    <comment ref="DX70" authorId="2" shapeId="0" xr:uid="{00000000-0006-0000-0700-0000E9010000}">
      <text>
        <r>
          <rPr>
            <b/>
            <sz val="8"/>
            <color indexed="81"/>
            <rFont val="Tahoma"/>
            <family val="2"/>
          </rPr>
          <t>Martin Shkreli:</t>
        </r>
        <r>
          <rPr>
            <sz val="8"/>
            <color indexed="81"/>
            <rFont val="Tahoma"/>
            <family val="2"/>
          </rPr>
          <t xml:space="preserve">
4614 bear</t>
        </r>
      </text>
    </comment>
    <comment ref="DY70" authorId="2" shapeId="0" xr:uid="{00000000-0006-0000-0700-0000EA010000}">
      <text>
        <r>
          <rPr>
            <b/>
            <sz val="8"/>
            <color indexed="81"/>
            <rFont val="Tahoma"/>
            <family val="2"/>
          </rPr>
          <t>Martin Shkreli:</t>
        </r>
        <r>
          <rPr>
            <sz val="8"/>
            <color indexed="81"/>
            <rFont val="Tahoma"/>
            <family val="2"/>
          </rPr>
          <t xml:space="preserve">
5080 bear</t>
        </r>
      </text>
    </comment>
    <comment ref="DZ70" authorId="2" shapeId="0" xr:uid="{00000000-0006-0000-0700-0000EB010000}">
      <text>
        <r>
          <rPr>
            <b/>
            <sz val="8"/>
            <color indexed="81"/>
            <rFont val="Tahoma"/>
            <family val="2"/>
          </rPr>
          <t>Martin Shkreli:</t>
        </r>
        <r>
          <rPr>
            <sz val="8"/>
            <color indexed="81"/>
            <rFont val="Tahoma"/>
            <family val="2"/>
          </rPr>
          <t xml:space="preserve">
5986 jpm
5985 bear</t>
        </r>
      </text>
    </comment>
    <comment ref="EA70" authorId="2" shapeId="0" xr:uid="{00000000-0006-0000-0700-0000EC010000}">
      <text>
        <r>
          <rPr>
            <b/>
            <sz val="8"/>
            <color indexed="81"/>
            <rFont val="Tahoma"/>
            <family val="2"/>
          </rPr>
          <t>Martin Shkreli:</t>
        </r>
        <r>
          <rPr>
            <sz val="8"/>
            <color indexed="81"/>
            <rFont val="Tahoma"/>
            <family val="2"/>
          </rPr>
          <t xml:space="preserve">
6615 jpm
6615 bear</t>
        </r>
      </text>
    </comment>
    <comment ref="EJ70" authorId="2" shapeId="0" xr:uid="{00000000-0006-0000-0700-0000ED010000}">
      <text>
        <r>
          <rPr>
            <b/>
            <sz val="8"/>
            <color indexed="81"/>
            <rFont val="Tahoma"/>
            <family val="2"/>
          </rPr>
          <t>Martin Shkreli:</t>
        </r>
        <r>
          <rPr>
            <sz val="8"/>
            <color indexed="81"/>
            <rFont val="Tahoma"/>
            <family val="2"/>
          </rPr>
          <t xml:space="preserve">
was 17.4 many years ago</t>
        </r>
      </text>
    </comment>
    <comment ref="EK70" authorId="2" shapeId="0" xr:uid="{00000000-0006-0000-0700-0000EE010000}">
      <text>
        <r>
          <rPr>
            <b/>
            <sz val="8"/>
            <color indexed="81"/>
            <rFont val="Tahoma"/>
            <family val="2"/>
          </rPr>
          <t>Martin Shkreli:</t>
        </r>
        <r>
          <rPr>
            <sz val="8"/>
            <color indexed="81"/>
            <rFont val="Tahoma"/>
            <family val="2"/>
          </rPr>
          <t xml:space="preserve">
was 17.9 many years ago</t>
        </r>
      </text>
    </comment>
    <comment ref="T71" authorId="2" shapeId="0" xr:uid="{00000000-0006-0000-0700-0000EF010000}">
      <text>
        <r>
          <rPr>
            <b/>
            <sz val="8"/>
            <color indexed="81"/>
            <rFont val="Tahoma"/>
            <family val="2"/>
          </rPr>
          <t>Martin Shkreli:</t>
        </r>
        <r>
          <rPr>
            <sz val="8"/>
            <color indexed="81"/>
            <rFont val="Tahoma"/>
            <family val="2"/>
          </rPr>
          <t xml:space="preserve">
78m Bear</t>
        </r>
      </text>
    </comment>
    <comment ref="AV71" authorId="16" shapeId="0" xr:uid="{00000000-0006-0000-0700-0000F0010000}">
      <text>
        <r>
          <rPr>
            <b/>
            <sz val="8"/>
            <color indexed="81"/>
            <rFont val="Tahoma"/>
            <family val="2"/>
          </rPr>
          <t>RBC:</t>
        </r>
        <r>
          <rPr>
            <sz val="8"/>
            <color indexed="81"/>
            <rFont val="Tahoma"/>
            <family val="2"/>
          </rPr>
          <t xml:space="preserve">
200m from Amgen?</t>
        </r>
      </text>
    </comment>
    <comment ref="DQ71" authorId="2" shapeId="0" xr:uid="{00000000-0006-0000-0700-0000F1010000}">
      <text>
        <r>
          <rPr>
            <b/>
            <sz val="8"/>
            <color indexed="81"/>
            <rFont val="Tahoma"/>
            <family val="2"/>
          </rPr>
          <t>Martin Shkreli:</t>
        </r>
        <r>
          <rPr>
            <sz val="8"/>
            <color indexed="81"/>
            <rFont val="Tahoma"/>
            <family val="2"/>
          </rPr>
          <t xml:space="preserve">
-362 bear</t>
        </r>
      </text>
    </comment>
    <comment ref="DR71" authorId="2" shapeId="0" xr:uid="{00000000-0006-0000-0700-0000F2010000}">
      <text>
        <r>
          <rPr>
            <b/>
            <sz val="8"/>
            <color indexed="81"/>
            <rFont val="Tahoma"/>
            <family val="2"/>
          </rPr>
          <t>Martin Shkreli:</t>
        </r>
        <r>
          <rPr>
            <sz val="8"/>
            <color indexed="81"/>
            <rFont val="Tahoma"/>
            <family val="2"/>
          </rPr>
          <t xml:space="preserve">
-57 bear</t>
        </r>
      </text>
    </comment>
    <comment ref="DS71" authorId="2" shapeId="0" xr:uid="{00000000-0006-0000-0700-0000F3010000}">
      <text>
        <r>
          <rPr>
            <b/>
            <sz val="8"/>
            <color indexed="81"/>
            <rFont val="Tahoma"/>
            <family val="2"/>
          </rPr>
          <t>Martin Shkreli:</t>
        </r>
        <r>
          <rPr>
            <sz val="8"/>
            <color indexed="81"/>
            <rFont val="Tahoma"/>
            <family val="2"/>
          </rPr>
          <t xml:space="preserve">
-60 bear</t>
        </r>
      </text>
    </comment>
    <comment ref="DT71" authorId="2" shapeId="0" xr:uid="{00000000-0006-0000-0700-0000F4010000}">
      <text>
        <r>
          <rPr>
            <b/>
            <sz val="8"/>
            <color indexed="81"/>
            <rFont val="Tahoma"/>
            <family val="2"/>
          </rPr>
          <t>Martin Shkreli:</t>
        </r>
        <r>
          <rPr>
            <sz val="8"/>
            <color indexed="81"/>
            <rFont val="Tahoma"/>
            <family val="2"/>
          </rPr>
          <t xml:space="preserve">
10 bear</t>
        </r>
      </text>
    </comment>
    <comment ref="DU71" authorId="2" shapeId="0" xr:uid="{00000000-0006-0000-0700-0000F5010000}">
      <text>
        <r>
          <rPr>
            <b/>
            <sz val="8"/>
            <color indexed="81"/>
            <rFont val="Tahoma"/>
            <family val="2"/>
          </rPr>
          <t>Martin Shkreli:</t>
        </r>
        <r>
          <rPr>
            <sz val="8"/>
            <color indexed="81"/>
            <rFont val="Tahoma"/>
            <family val="2"/>
          </rPr>
          <t xml:space="preserve">
-92 bear</t>
        </r>
      </text>
    </comment>
    <comment ref="DV71" authorId="2" shapeId="0" xr:uid="{00000000-0006-0000-0700-0000F6010000}">
      <text>
        <r>
          <rPr>
            <b/>
            <sz val="8"/>
            <color indexed="81"/>
            <rFont val="Tahoma"/>
            <family val="2"/>
          </rPr>
          <t>Martin Shkreli:</t>
        </r>
        <r>
          <rPr>
            <sz val="8"/>
            <color indexed="81"/>
            <rFont val="Tahoma"/>
            <family val="2"/>
          </rPr>
          <t xml:space="preserve">
-103 bear</t>
        </r>
      </text>
    </comment>
    <comment ref="DW71" authorId="2" shapeId="0" xr:uid="{00000000-0006-0000-0700-0000F7010000}">
      <text>
        <r>
          <rPr>
            <b/>
            <sz val="8"/>
            <color indexed="81"/>
            <rFont val="Tahoma"/>
            <family val="2"/>
          </rPr>
          <t>Martin Shkreli:</t>
        </r>
        <r>
          <rPr>
            <sz val="8"/>
            <color indexed="81"/>
            <rFont val="Tahoma"/>
            <family val="2"/>
          </rPr>
          <t xml:space="preserve">
-102 bear</t>
        </r>
      </text>
    </comment>
    <comment ref="DX71" authorId="2" shapeId="0" xr:uid="{00000000-0006-0000-0700-0000F8010000}">
      <text>
        <r>
          <rPr>
            <b/>
            <sz val="8"/>
            <color indexed="81"/>
            <rFont val="Tahoma"/>
            <family val="2"/>
          </rPr>
          <t>Martin Shkreli:</t>
        </r>
        <r>
          <rPr>
            <sz val="8"/>
            <color indexed="81"/>
            <rFont val="Tahoma"/>
            <family val="2"/>
          </rPr>
          <t xml:space="preserve">
94 bear</t>
        </r>
      </text>
    </comment>
    <comment ref="DY71" authorId="2" shapeId="0" xr:uid="{00000000-0006-0000-0700-0000F9010000}">
      <text>
        <r>
          <rPr>
            <b/>
            <sz val="8"/>
            <color indexed="81"/>
            <rFont val="Tahoma"/>
            <family val="2"/>
          </rPr>
          <t>Martin Shkreli:</t>
        </r>
        <r>
          <rPr>
            <sz val="8"/>
            <color indexed="81"/>
            <rFont val="Tahoma"/>
            <family val="2"/>
          </rPr>
          <t xml:space="preserve">
104 bear</t>
        </r>
      </text>
    </comment>
    <comment ref="DZ71" authorId="2" shapeId="0" xr:uid="{00000000-0006-0000-0700-0000FA010000}">
      <text>
        <r>
          <rPr>
            <b/>
            <sz val="8"/>
            <color indexed="81"/>
            <rFont val="Tahoma"/>
            <family val="2"/>
          </rPr>
          <t>Martin Shkreli:</t>
        </r>
        <r>
          <rPr>
            <sz val="8"/>
            <color indexed="81"/>
            <rFont val="Tahoma"/>
            <family val="2"/>
          </rPr>
          <t xml:space="preserve">
-108 bear</t>
        </r>
      </text>
    </comment>
    <comment ref="EA71" authorId="2" shapeId="0" xr:uid="{00000000-0006-0000-0700-0000FB010000}">
      <text>
        <r>
          <rPr>
            <b/>
            <sz val="8"/>
            <color indexed="81"/>
            <rFont val="Tahoma"/>
            <family val="2"/>
          </rPr>
          <t>Martin Shkreli:</t>
        </r>
        <r>
          <rPr>
            <sz val="8"/>
            <color indexed="81"/>
            <rFont val="Tahoma"/>
            <family val="2"/>
          </rPr>
          <t xml:space="preserve">
350 bear</t>
        </r>
      </text>
    </comment>
    <comment ref="EB71" authorId="2" shapeId="0" xr:uid="{00000000-0006-0000-0700-0000FC010000}">
      <text>
        <r>
          <rPr>
            <b/>
            <sz val="8"/>
            <color indexed="81"/>
            <rFont val="Tahoma"/>
            <family val="2"/>
          </rPr>
          <t>Martin Shkreli:</t>
        </r>
        <r>
          <rPr>
            <sz val="8"/>
            <color indexed="81"/>
            <rFont val="Tahoma"/>
            <family val="2"/>
          </rPr>
          <t xml:space="preserve">
265 bear</t>
        </r>
      </text>
    </comment>
    <comment ref="EH71" authorId="3" shapeId="0" xr:uid="{00000000-0006-0000-0700-0000FD010000}">
      <text>
        <r>
          <rPr>
            <b/>
            <sz val="8"/>
            <color indexed="8"/>
            <rFont val="Times New Roman"/>
            <family val="1"/>
          </rPr>
          <t xml:space="preserve">Bloomberg:
</t>
        </r>
        <r>
          <rPr>
            <sz val="8"/>
            <color indexed="8"/>
            <rFont val="Times New Roman"/>
            <family val="1"/>
          </rPr>
          <t>guidance was -50 to -100</t>
        </r>
      </text>
    </comment>
    <comment ref="EI71" authorId="3" shapeId="0" xr:uid="{00000000-0006-0000-0700-0000FE010000}">
      <text>
        <r>
          <rPr>
            <b/>
            <sz val="8"/>
            <color indexed="8"/>
            <rFont val="Times New Roman"/>
            <family val="1"/>
          </rPr>
          <t xml:space="preserve">Bloomberg:
</t>
        </r>
        <r>
          <rPr>
            <sz val="8"/>
            <color indexed="8"/>
            <rFont val="Times New Roman"/>
            <family val="1"/>
          </rPr>
          <t>Breakeven guidance</t>
        </r>
      </text>
    </comment>
    <comment ref="S72" authorId="2" shapeId="0" xr:uid="{00000000-0006-0000-0700-0000FF010000}">
      <text>
        <r>
          <rPr>
            <b/>
            <sz val="8"/>
            <color indexed="81"/>
            <rFont val="Tahoma"/>
            <family val="2"/>
          </rPr>
          <t>Martin Shkreli:</t>
        </r>
        <r>
          <rPr>
            <sz val="8"/>
            <color indexed="81"/>
            <rFont val="Tahoma"/>
            <family val="2"/>
          </rPr>
          <t xml:space="preserve">
-6 jpm actual</t>
        </r>
      </text>
    </comment>
    <comment ref="T72" authorId="2" shapeId="0" xr:uid="{00000000-0006-0000-0700-000000020000}">
      <text>
        <r>
          <rPr>
            <b/>
            <sz val="8"/>
            <color indexed="81"/>
            <rFont val="Tahoma"/>
            <family val="2"/>
          </rPr>
          <t>Martin Shkreli:</t>
        </r>
        <r>
          <rPr>
            <sz val="8"/>
            <color indexed="81"/>
            <rFont val="Tahoma"/>
            <family val="2"/>
          </rPr>
          <t xml:space="preserve">
8m Bear</t>
        </r>
      </text>
    </comment>
    <comment ref="AE72" authorId="3" shapeId="0" xr:uid="{00000000-0006-0000-0700-000001020000}">
      <text>
        <r>
          <rPr>
            <sz val="8"/>
            <color indexed="8"/>
            <rFont val="Times New Roman"/>
            <family val="1"/>
          </rPr>
          <t>Includes gain on sale from orthopedics casting business</t>
        </r>
      </text>
    </comment>
    <comment ref="AM72" authorId="3" shapeId="0" xr:uid="{00000000-0006-0000-0700-000002020000}">
      <text>
        <r>
          <rPr>
            <b/>
            <sz val="8"/>
            <color indexed="8"/>
            <rFont val="Times New Roman"/>
            <family val="1"/>
          </rPr>
          <t xml:space="preserve">Martin Shkreli:
</t>
        </r>
        <r>
          <rPr>
            <sz val="8"/>
            <color indexed="8"/>
            <rFont val="Times New Roman"/>
            <family val="1"/>
          </rPr>
          <t>GDT fee</t>
        </r>
      </text>
    </comment>
    <comment ref="K73" authorId="2" shapeId="0" xr:uid="{00000000-0006-0000-0700-000003020000}">
      <text>
        <r>
          <rPr>
            <b/>
            <sz val="8"/>
            <color indexed="81"/>
            <rFont val="Tahoma"/>
            <family val="2"/>
          </rPr>
          <t>Martin Shkreli:</t>
        </r>
        <r>
          <rPr>
            <sz val="8"/>
            <color indexed="81"/>
            <rFont val="Tahoma"/>
            <family val="2"/>
          </rPr>
          <t xml:space="preserve">
1650 jpm</t>
        </r>
      </text>
    </comment>
    <comment ref="L73" authorId="2" shapeId="0" xr:uid="{00000000-0006-0000-0700-000004020000}">
      <text>
        <r>
          <rPr>
            <b/>
            <sz val="8"/>
            <color indexed="81"/>
            <rFont val="Tahoma"/>
            <family val="2"/>
          </rPr>
          <t>Martin Shkreli:</t>
        </r>
        <r>
          <rPr>
            <sz val="8"/>
            <color indexed="81"/>
            <rFont val="Tahoma"/>
            <family val="2"/>
          </rPr>
          <t xml:space="preserve">
1676 jpm</t>
        </r>
      </text>
    </comment>
    <comment ref="M73" authorId="2" shapeId="0" xr:uid="{00000000-0006-0000-0700-000005020000}">
      <text>
        <r>
          <rPr>
            <b/>
            <sz val="8"/>
            <color indexed="81"/>
            <rFont val="Tahoma"/>
            <family val="2"/>
          </rPr>
          <t>Martin Shkreli:</t>
        </r>
        <r>
          <rPr>
            <sz val="8"/>
            <color indexed="81"/>
            <rFont val="Tahoma"/>
            <family val="2"/>
          </rPr>
          <t xml:space="preserve">
1593 jpm</t>
        </r>
      </text>
    </comment>
    <comment ref="N73" authorId="2" shapeId="0" xr:uid="{00000000-0006-0000-0700-000006020000}">
      <text>
        <r>
          <rPr>
            <b/>
            <sz val="8"/>
            <color indexed="81"/>
            <rFont val="Tahoma"/>
            <family val="2"/>
          </rPr>
          <t>Martin Shkreli:</t>
        </r>
        <r>
          <rPr>
            <sz val="8"/>
            <color indexed="81"/>
            <rFont val="Tahoma"/>
            <family val="2"/>
          </rPr>
          <t xml:space="preserve">
978 jpm</t>
        </r>
      </text>
    </comment>
    <comment ref="O73" authorId="2" shapeId="0" xr:uid="{00000000-0006-0000-0700-000007020000}">
      <text>
        <r>
          <rPr>
            <b/>
            <sz val="8"/>
            <color indexed="81"/>
            <rFont val="Tahoma"/>
            <family val="2"/>
          </rPr>
          <t>Martin Shkreli:</t>
        </r>
        <r>
          <rPr>
            <sz val="8"/>
            <color indexed="81"/>
            <rFont val="Tahoma"/>
            <family val="2"/>
          </rPr>
          <t xml:space="preserve">
1936 jpm
1936 bear</t>
        </r>
      </text>
    </comment>
    <comment ref="P73" authorId="2" shapeId="0" xr:uid="{00000000-0006-0000-0700-000008020000}">
      <text>
        <r>
          <rPr>
            <b/>
            <sz val="8"/>
            <color indexed="81"/>
            <rFont val="Tahoma"/>
            <family val="2"/>
          </rPr>
          <t>Martin Shkreli:</t>
        </r>
        <r>
          <rPr>
            <sz val="8"/>
            <color indexed="81"/>
            <rFont val="Tahoma"/>
            <family val="2"/>
          </rPr>
          <t xml:space="preserve">
1927 jpm
1927 bear</t>
        </r>
      </text>
    </comment>
    <comment ref="Q73" authorId="2" shapeId="0" xr:uid="{00000000-0006-0000-0700-000009020000}">
      <text>
        <r>
          <rPr>
            <b/>
            <sz val="8"/>
            <color indexed="81"/>
            <rFont val="Tahoma"/>
            <family val="2"/>
          </rPr>
          <t>Martin Shkreli:</t>
        </r>
        <r>
          <rPr>
            <sz val="8"/>
            <color indexed="81"/>
            <rFont val="Tahoma"/>
            <family val="2"/>
          </rPr>
          <t xml:space="preserve">
1848 jpm
1848 bear</t>
        </r>
      </text>
    </comment>
    <comment ref="R73" authorId="2" shapeId="0" xr:uid="{00000000-0006-0000-0700-00000A020000}">
      <text>
        <r>
          <rPr>
            <b/>
            <sz val="8"/>
            <color indexed="81"/>
            <rFont val="Tahoma"/>
            <family val="2"/>
          </rPr>
          <t>Martin Shkreli:</t>
        </r>
        <r>
          <rPr>
            <sz val="8"/>
            <color indexed="81"/>
            <rFont val="Tahoma"/>
            <family val="2"/>
          </rPr>
          <t xml:space="preserve">
1220 jpm
1254 bear</t>
        </r>
      </text>
    </comment>
    <comment ref="S73" authorId="2" shapeId="0" xr:uid="{00000000-0006-0000-0700-00000B020000}">
      <text>
        <r>
          <rPr>
            <b/>
            <sz val="8"/>
            <color indexed="81"/>
            <rFont val="Tahoma"/>
            <family val="2"/>
          </rPr>
          <t>Martin Shkreli:</t>
        </r>
        <r>
          <rPr>
            <sz val="8"/>
            <color indexed="81"/>
            <rFont val="Tahoma"/>
            <family val="2"/>
          </rPr>
          <t xml:space="preserve">
2218 bear</t>
        </r>
      </text>
    </comment>
    <comment ref="T73" authorId="2" shapeId="0" xr:uid="{00000000-0006-0000-0700-00000C020000}">
      <text>
        <r>
          <rPr>
            <b/>
            <sz val="8"/>
            <color indexed="81"/>
            <rFont val="Tahoma"/>
            <family val="2"/>
          </rPr>
          <t>Martin Shkreli:</t>
        </r>
        <r>
          <rPr>
            <sz val="8"/>
            <color indexed="81"/>
            <rFont val="Tahoma"/>
            <family val="2"/>
          </rPr>
          <t xml:space="preserve">
2238 bear</t>
        </r>
      </text>
    </comment>
    <comment ref="U73" authorId="2" shapeId="0" xr:uid="{00000000-0006-0000-0700-00000D020000}">
      <text>
        <r>
          <rPr>
            <b/>
            <sz val="8"/>
            <color indexed="81"/>
            <rFont val="Tahoma"/>
            <family val="2"/>
          </rPr>
          <t>Martin Shkreli:</t>
        </r>
        <r>
          <rPr>
            <sz val="8"/>
            <color indexed="81"/>
            <rFont val="Tahoma"/>
            <family val="2"/>
          </rPr>
          <t xml:space="preserve">
2146 bear</t>
        </r>
      </text>
    </comment>
    <comment ref="X73" authorId="2" shapeId="0" xr:uid="{00000000-0006-0000-0700-00000E020000}">
      <text>
        <r>
          <rPr>
            <b/>
            <sz val="8"/>
            <color indexed="81"/>
            <rFont val="Tahoma"/>
            <family val="2"/>
          </rPr>
          <t>Martin Shkreli:</t>
        </r>
        <r>
          <rPr>
            <sz val="8"/>
            <color indexed="81"/>
            <rFont val="Tahoma"/>
            <family val="2"/>
          </rPr>
          <t xml:space="preserve">
2617 bear</t>
        </r>
      </text>
    </comment>
    <comment ref="AD73" authorId="2" shapeId="0" xr:uid="{00000000-0006-0000-0700-00000F020000}">
      <text>
        <r>
          <rPr>
            <b/>
            <sz val="8"/>
            <color indexed="81"/>
            <rFont val="Tahoma"/>
            <family val="2"/>
          </rPr>
          <t>Martin Shkreli:</t>
        </r>
        <r>
          <rPr>
            <sz val="8"/>
            <color indexed="81"/>
            <rFont val="Tahoma"/>
            <family val="2"/>
          </rPr>
          <t xml:space="preserve">
2232 bear</t>
        </r>
      </text>
    </comment>
    <comment ref="AE73" authorId="2" shapeId="0" xr:uid="{00000000-0006-0000-0700-000010020000}">
      <text>
        <r>
          <rPr>
            <b/>
            <sz val="8"/>
            <color indexed="81"/>
            <rFont val="Tahoma"/>
            <family val="2"/>
          </rPr>
          <t>Martin Shkreli:</t>
        </r>
        <r>
          <rPr>
            <sz val="8"/>
            <color indexed="81"/>
            <rFont val="Tahoma"/>
            <family val="2"/>
          </rPr>
          <t xml:space="preserve">
3516 bear</t>
        </r>
      </text>
    </comment>
    <comment ref="AI73" authorId="2" shapeId="0" xr:uid="{00000000-0006-0000-0700-000011020000}">
      <text>
        <r>
          <rPr>
            <b/>
            <sz val="8"/>
            <color indexed="81"/>
            <rFont val="Tahoma"/>
            <family val="2"/>
          </rPr>
          <t>Martin Shkreli:</t>
        </r>
        <r>
          <rPr>
            <sz val="8"/>
            <color indexed="81"/>
            <rFont val="Tahoma"/>
            <family val="2"/>
          </rPr>
          <t xml:space="preserve">
4062 bear</t>
        </r>
      </text>
    </comment>
    <comment ref="AJ73" authorId="2" shapeId="0" xr:uid="{00000000-0006-0000-0700-000012020000}">
      <text>
        <r>
          <rPr>
            <b/>
            <sz val="8"/>
            <color indexed="81"/>
            <rFont val="Tahoma"/>
            <family val="2"/>
          </rPr>
          <t>Martin Shkreli:</t>
        </r>
        <r>
          <rPr>
            <sz val="8"/>
            <color indexed="81"/>
            <rFont val="Tahoma"/>
            <family val="2"/>
          </rPr>
          <t xml:space="preserve">
3755 bear</t>
        </r>
      </text>
    </comment>
    <comment ref="AK73" authorId="2" shapeId="0" xr:uid="{00000000-0006-0000-0700-000013020000}">
      <text>
        <r>
          <rPr>
            <b/>
            <sz val="8"/>
            <color indexed="81"/>
            <rFont val="Tahoma"/>
            <family val="2"/>
          </rPr>
          <t>Martin Shkreli:</t>
        </r>
        <r>
          <rPr>
            <sz val="8"/>
            <color indexed="81"/>
            <rFont val="Tahoma"/>
            <family val="2"/>
          </rPr>
          <t xml:space="preserve">
3554 bear</t>
        </r>
      </text>
    </comment>
    <comment ref="AL73" authorId="2" shapeId="0" xr:uid="{00000000-0006-0000-0700-000014020000}">
      <text>
        <r>
          <rPr>
            <b/>
            <sz val="8"/>
            <color indexed="81"/>
            <rFont val="Tahoma"/>
            <family val="2"/>
          </rPr>
          <t>Martin Shkreli:</t>
        </r>
        <r>
          <rPr>
            <sz val="8"/>
            <color indexed="81"/>
            <rFont val="Tahoma"/>
            <family val="2"/>
          </rPr>
          <t xml:space="preserve">
2647 bear</t>
        </r>
      </text>
    </comment>
    <comment ref="AM73" authorId="2" shapeId="0" xr:uid="{00000000-0006-0000-0700-000015020000}">
      <text>
        <r>
          <rPr>
            <b/>
            <sz val="8"/>
            <color indexed="81"/>
            <rFont val="Tahoma"/>
            <family val="2"/>
          </rPr>
          <t>Martin Shkreli:</t>
        </r>
        <r>
          <rPr>
            <sz val="8"/>
            <color indexed="81"/>
            <rFont val="Tahoma"/>
            <family val="2"/>
          </rPr>
          <t xml:space="preserve">
4030 bear</t>
        </r>
      </text>
    </comment>
    <comment ref="CI73" authorId="38" shapeId="0" xr:uid="{F70AD04F-B9D4-4CB9-B097-57425D52099B}">
      <text>
        <t>[Threaded comment]
Your version of Excel allows you to read this threaded comment; however, any edits to it will get removed if the file is opened in a newer version of Excel. Learn more: https://go.microsoft.com/fwlink/?linkid=870924
Comment:
    6858 actual adjusted</t>
      </text>
    </comment>
    <comment ref="CJ73" authorId="39" shapeId="0" xr:uid="{20726B22-689A-4361-A90E-379BEBA561A2}">
      <text>
        <t>[Threaded comment]
Your version of Excel allows you to read this threaded comment; however, any edits to it will get removed if the file is opened in a newer version of Excel. Learn more: https://go.microsoft.com/fwlink/?linkid=870924
Comment:
    7014 actual adjusted</t>
      </text>
    </comment>
    <comment ref="CL73" authorId="40" shapeId="0" xr:uid="{BC3D4B04-C7B0-4F80-80CD-57FBE3F8501B}">
      <text>
        <t>[Threaded comment]
Your version of Excel allows you to read this threaded comment; however, any edits to it will get removed if the file is opened in a newer version of Excel. Learn more: https://go.microsoft.com/fwlink/?linkid=870924
Comment:
    6046 actual adj</t>
      </text>
    </comment>
    <comment ref="CM73" authorId="41" shapeId="0" xr:uid="{E6348EFC-440C-4293-AB93-3C9CF0C1D22D}">
      <text>
        <t>[Threaded comment]
Your version of Excel allows you to read this threaded comment; however, any edits to it will get removed if the file is opened in a newer version of Excel. Learn more: https://go.microsoft.com/fwlink/?linkid=870924
Comment:
    actual adjusted 6867</t>
      </text>
    </comment>
    <comment ref="CN73" authorId="42" shapeId="0" xr:uid="{E2E41AA0-40DB-4996-B9AC-68C5F5B416A4}">
      <text>
        <t>[Threaded comment]
Your version of Excel allows you to read this threaded comment; however, any edits to it will get removed if the file is opened in a newer version of Excel. Learn more: https://go.microsoft.com/fwlink/?linkid=870924
Comment:
    8614 actual adjusted</t>
      </text>
    </comment>
    <comment ref="CP73" authorId="43" shapeId="0" xr:uid="{3914D8D0-C1CC-4713-8C4B-D6B4902A1DB5}">
      <text>
        <t>[Threaded comment]
Your version of Excel allows you to read this threaded comment; however, any edits to it will get removed if the file is opened in a newer version of Excel. Learn more: https://go.microsoft.com/fwlink/?linkid=870924
Comment:
    5628 actual adj</t>
      </text>
    </comment>
    <comment ref="DB73" authorId="44" shapeId="0" xr:uid="{57A98D57-1151-4549-BB71-45A70090615A}">
      <text>
        <t>[Threaded comment]
Your version of Excel allows you to read this threaded comment; however, any edits to it will get removed if the file is opened in a newer version of Excel. Learn more: https://go.microsoft.com/fwlink/?linkid=870924
Comment:
    7418 nongaap</t>
      </text>
    </comment>
    <comment ref="DQ73" authorId="2" shapeId="0" xr:uid="{00000000-0006-0000-0700-000016020000}">
      <text>
        <r>
          <rPr>
            <b/>
            <sz val="8"/>
            <color indexed="81"/>
            <rFont val="Tahoma"/>
            <family val="2"/>
          </rPr>
          <t>Martin Shkreli:</t>
        </r>
        <r>
          <rPr>
            <sz val="8"/>
            <color indexed="81"/>
            <rFont val="Tahoma"/>
            <family val="2"/>
          </rPr>
          <t xml:space="preserve">
1662 bear</t>
        </r>
      </text>
    </comment>
    <comment ref="DR73" authorId="2" shapeId="0" xr:uid="{00000000-0006-0000-0700-000017020000}">
      <text>
        <r>
          <rPr>
            <b/>
            <sz val="8"/>
            <color indexed="81"/>
            <rFont val="Tahoma"/>
            <family val="2"/>
          </rPr>
          <t>Martin Shkreli:</t>
        </r>
        <r>
          <rPr>
            <sz val="8"/>
            <color indexed="81"/>
            <rFont val="Tahoma"/>
            <family val="2"/>
          </rPr>
          <t xml:space="preserve">
1972 bear</t>
        </r>
      </text>
    </comment>
    <comment ref="DS73" authorId="2" shapeId="0" xr:uid="{00000000-0006-0000-0700-000018020000}">
      <text>
        <r>
          <rPr>
            <b/>
            <sz val="8"/>
            <color indexed="81"/>
            <rFont val="Tahoma"/>
            <family val="2"/>
          </rPr>
          <t>Martin Shkreli:</t>
        </r>
        <r>
          <rPr>
            <sz val="8"/>
            <color indexed="81"/>
            <rFont val="Tahoma"/>
            <family val="2"/>
          </rPr>
          <t xml:space="preserve">
2119 bear</t>
        </r>
      </text>
    </comment>
    <comment ref="DT73" authorId="2" shapeId="0" xr:uid="{00000000-0006-0000-0700-000019020000}">
      <text>
        <r>
          <rPr>
            <b/>
            <sz val="8"/>
            <color indexed="81"/>
            <rFont val="Tahoma"/>
            <family val="2"/>
          </rPr>
          <t>Martin Shkreli:</t>
        </r>
        <r>
          <rPr>
            <sz val="8"/>
            <color indexed="81"/>
            <rFont val="Tahoma"/>
            <family val="2"/>
          </rPr>
          <t xml:space="preserve">
2319 bear</t>
        </r>
      </text>
    </comment>
    <comment ref="DU73" authorId="2" shapeId="0" xr:uid="{00000000-0006-0000-0700-00001A020000}">
      <text>
        <r>
          <rPr>
            <b/>
            <sz val="8"/>
            <color indexed="81"/>
            <rFont val="Tahoma"/>
            <family val="2"/>
          </rPr>
          <t>Martin Shkreli:</t>
        </r>
        <r>
          <rPr>
            <sz val="8"/>
            <color indexed="81"/>
            <rFont val="Tahoma"/>
            <family val="2"/>
          </rPr>
          <t xml:space="preserve">
2652 bear</t>
        </r>
      </text>
    </comment>
    <comment ref="DV73" authorId="2" shapeId="0" xr:uid="{00000000-0006-0000-0700-00001B020000}">
      <text>
        <r>
          <rPr>
            <b/>
            <sz val="8"/>
            <color indexed="81"/>
            <rFont val="Tahoma"/>
            <family val="2"/>
          </rPr>
          <t>Martin Shkreli:</t>
        </r>
        <r>
          <rPr>
            <sz val="8"/>
            <color indexed="81"/>
            <rFont val="Tahoma"/>
            <family val="2"/>
          </rPr>
          <t xml:space="preserve">
3344 bear</t>
        </r>
      </text>
    </comment>
    <comment ref="DW73" authorId="2" shapeId="0" xr:uid="{00000000-0006-0000-0700-00001C020000}">
      <text>
        <r>
          <rPr>
            <b/>
            <sz val="8"/>
            <color indexed="81"/>
            <rFont val="Tahoma"/>
            <family val="2"/>
          </rPr>
          <t>Martin Shkreli:</t>
        </r>
        <r>
          <rPr>
            <sz val="8"/>
            <color indexed="81"/>
            <rFont val="Tahoma"/>
            <family val="2"/>
          </rPr>
          <t xml:space="preserve">
4143 bear</t>
        </r>
      </text>
    </comment>
    <comment ref="DX73" authorId="2" shapeId="0" xr:uid="{00000000-0006-0000-0700-00001D020000}">
      <text>
        <r>
          <rPr>
            <b/>
            <sz val="8"/>
            <color indexed="81"/>
            <rFont val="Tahoma"/>
            <family val="2"/>
          </rPr>
          <t>Martin Shkreli:</t>
        </r>
        <r>
          <rPr>
            <sz val="8"/>
            <color indexed="81"/>
            <rFont val="Tahoma"/>
            <family val="2"/>
          </rPr>
          <t xml:space="preserve">
4708 bear</t>
        </r>
      </text>
    </comment>
    <comment ref="DY73" authorId="2" shapeId="0" xr:uid="{00000000-0006-0000-0700-00001E020000}">
      <text>
        <r>
          <rPr>
            <b/>
            <sz val="8"/>
            <color indexed="81"/>
            <rFont val="Tahoma"/>
            <family val="2"/>
          </rPr>
          <t>Martin Shkreli:</t>
        </r>
        <r>
          <rPr>
            <sz val="8"/>
            <color indexed="81"/>
            <rFont val="Tahoma"/>
            <family val="2"/>
          </rPr>
          <t xml:space="preserve">
5184 bear</t>
        </r>
      </text>
    </comment>
    <comment ref="DZ73" authorId="2" shapeId="0" xr:uid="{00000000-0006-0000-0700-00001F020000}">
      <text>
        <r>
          <rPr>
            <b/>
            <sz val="8"/>
            <color indexed="81"/>
            <rFont val="Tahoma"/>
            <family val="2"/>
          </rPr>
          <t>Martin Shkreli:</t>
        </r>
        <r>
          <rPr>
            <sz val="8"/>
            <color indexed="81"/>
            <rFont val="Tahoma"/>
            <family val="2"/>
          </rPr>
          <t xml:space="preserve">
5896 jpm
5877 bear</t>
        </r>
      </text>
    </comment>
    <comment ref="EA73" authorId="2" shapeId="0" xr:uid="{00000000-0006-0000-0700-000020020000}">
      <text>
        <r>
          <rPr>
            <b/>
            <sz val="8"/>
            <color indexed="81"/>
            <rFont val="Tahoma"/>
            <family val="2"/>
          </rPr>
          <t>Martin Shkreli:</t>
        </r>
        <r>
          <rPr>
            <sz val="8"/>
            <color indexed="81"/>
            <rFont val="Tahoma"/>
            <family val="2"/>
          </rPr>
          <t xml:space="preserve">
6930 jpm
6964 bear</t>
        </r>
      </text>
    </comment>
    <comment ref="EB73" authorId="2" shapeId="0" xr:uid="{00000000-0006-0000-0700-000021020000}">
      <text>
        <r>
          <rPr>
            <b/>
            <sz val="8"/>
            <color indexed="81"/>
            <rFont val="Tahoma"/>
            <family val="2"/>
          </rPr>
          <t>Martin Shkreli:</t>
        </r>
        <r>
          <rPr>
            <sz val="8"/>
            <color indexed="81"/>
            <rFont val="Tahoma"/>
            <family val="2"/>
          </rPr>
          <t xml:space="preserve">
8151 bear</t>
        </r>
      </text>
    </comment>
    <comment ref="ED73" authorId="2" shapeId="0" xr:uid="{00000000-0006-0000-0700-000022020000}">
      <text>
        <r>
          <rPr>
            <b/>
            <sz val="8"/>
            <color indexed="81"/>
            <rFont val="Tahoma"/>
            <family val="2"/>
          </rPr>
          <t>Martin Shkreli:</t>
        </r>
        <r>
          <rPr>
            <sz val="8"/>
            <color indexed="81"/>
            <rFont val="Tahoma"/>
            <family val="2"/>
          </rPr>
          <t xml:space="preserve">
11084 bear</t>
        </r>
      </text>
    </comment>
    <comment ref="K74" authorId="2" shapeId="0" xr:uid="{00000000-0006-0000-0700-000023020000}">
      <text>
        <r>
          <rPr>
            <b/>
            <sz val="8"/>
            <color indexed="81"/>
            <rFont val="Tahoma"/>
            <family val="2"/>
          </rPr>
          <t>Martin Shkreli:</t>
        </r>
        <r>
          <rPr>
            <sz val="8"/>
            <color indexed="81"/>
            <rFont val="Tahoma"/>
            <family val="2"/>
          </rPr>
          <t xml:space="preserve">
493 jpm</t>
        </r>
      </text>
    </comment>
    <comment ref="L74" authorId="2" shapeId="0" xr:uid="{00000000-0006-0000-0700-000024020000}">
      <text>
        <r>
          <rPr>
            <b/>
            <sz val="8"/>
            <color indexed="81"/>
            <rFont val="Tahoma"/>
            <family val="2"/>
          </rPr>
          <t>Martin Shkreli:</t>
        </r>
        <r>
          <rPr>
            <sz val="8"/>
            <color indexed="81"/>
            <rFont val="Tahoma"/>
            <family val="2"/>
          </rPr>
          <t xml:space="preserve">
472 jpm</t>
        </r>
      </text>
    </comment>
    <comment ref="M74" authorId="2" shapeId="0" xr:uid="{00000000-0006-0000-0700-000025020000}">
      <text>
        <r>
          <rPr>
            <b/>
            <sz val="8"/>
            <color indexed="81"/>
            <rFont val="Tahoma"/>
            <family val="2"/>
          </rPr>
          <t>Martin Shkreli:</t>
        </r>
        <r>
          <rPr>
            <sz val="8"/>
            <color indexed="81"/>
            <rFont val="Tahoma"/>
            <family val="2"/>
          </rPr>
          <t xml:space="preserve">
428 jpm</t>
        </r>
      </text>
    </comment>
    <comment ref="N74" authorId="2" shapeId="0" xr:uid="{00000000-0006-0000-0700-000026020000}">
      <text>
        <r>
          <rPr>
            <b/>
            <sz val="8"/>
            <color indexed="81"/>
            <rFont val="Tahoma"/>
            <family val="2"/>
          </rPr>
          <t>Martin Shkreli:</t>
        </r>
        <r>
          <rPr>
            <sz val="8"/>
            <color indexed="81"/>
            <rFont val="Tahoma"/>
            <family val="2"/>
          </rPr>
          <t xml:space="preserve">
215 jpm</t>
        </r>
      </text>
    </comment>
    <comment ref="O74" authorId="2" shapeId="0" xr:uid="{00000000-0006-0000-0700-000027020000}">
      <text>
        <r>
          <rPr>
            <b/>
            <sz val="8"/>
            <color indexed="81"/>
            <rFont val="Tahoma"/>
            <family val="2"/>
          </rPr>
          <t>Martin Shkreli:</t>
        </r>
        <r>
          <rPr>
            <sz val="8"/>
            <color indexed="81"/>
            <rFont val="Tahoma"/>
            <family val="2"/>
          </rPr>
          <t xml:space="preserve">
590 jpm
590 bear</t>
        </r>
      </text>
    </comment>
    <comment ref="P74" authorId="2" shapeId="0" xr:uid="{00000000-0006-0000-0700-000028020000}">
      <text>
        <r>
          <rPr>
            <b/>
            <sz val="8"/>
            <color indexed="81"/>
            <rFont val="Tahoma"/>
            <family val="2"/>
          </rPr>
          <t>Martin Shkreli:</t>
        </r>
        <r>
          <rPr>
            <sz val="8"/>
            <color indexed="81"/>
            <rFont val="Tahoma"/>
            <family val="2"/>
          </rPr>
          <t xml:space="preserve">
554 jpm
555 bear</t>
        </r>
      </text>
    </comment>
    <comment ref="Q74" authorId="2" shapeId="0" xr:uid="{00000000-0006-0000-0700-000029020000}">
      <text>
        <r>
          <rPr>
            <b/>
            <sz val="8"/>
            <color indexed="81"/>
            <rFont val="Tahoma"/>
            <family val="2"/>
          </rPr>
          <t>Martin Shkreli:</t>
        </r>
        <r>
          <rPr>
            <sz val="8"/>
            <color indexed="81"/>
            <rFont val="Tahoma"/>
            <family val="2"/>
          </rPr>
          <t xml:space="preserve">
514 jpm
515 bear</t>
        </r>
      </text>
    </comment>
    <comment ref="R74" authorId="2" shapeId="0" xr:uid="{00000000-0006-0000-0700-00002A020000}">
      <text>
        <r>
          <rPr>
            <b/>
            <sz val="8"/>
            <color indexed="81"/>
            <rFont val="Tahoma"/>
            <family val="2"/>
          </rPr>
          <t>Martin Shkreli:</t>
        </r>
        <r>
          <rPr>
            <sz val="8"/>
            <color indexed="81"/>
            <rFont val="Tahoma"/>
            <family val="2"/>
          </rPr>
          <t xml:space="preserve">
274 jpm
261 bear</t>
        </r>
      </text>
    </comment>
    <comment ref="S74" authorId="2" shapeId="0" xr:uid="{00000000-0006-0000-0700-00002B020000}">
      <text>
        <r>
          <rPr>
            <b/>
            <sz val="8"/>
            <color indexed="81"/>
            <rFont val="Tahoma"/>
            <family val="2"/>
          </rPr>
          <t>Martin Shkreli:</t>
        </r>
        <r>
          <rPr>
            <sz val="8"/>
            <color indexed="81"/>
            <rFont val="Tahoma"/>
            <family val="2"/>
          </rPr>
          <t xml:space="preserve">
665 bear
669 jpm</t>
        </r>
      </text>
    </comment>
    <comment ref="T74" authorId="2" shapeId="0" xr:uid="{00000000-0006-0000-0700-00002C020000}">
      <text>
        <r>
          <rPr>
            <b/>
            <sz val="8"/>
            <color indexed="81"/>
            <rFont val="Tahoma"/>
            <family val="2"/>
          </rPr>
          <t>Martin Shkreli:</t>
        </r>
        <r>
          <rPr>
            <sz val="8"/>
            <color indexed="81"/>
            <rFont val="Tahoma"/>
            <family val="2"/>
          </rPr>
          <t xml:space="preserve">
654 bear</t>
        </r>
      </text>
    </comment>
    <comment ref="U74" authorId="2" shapeId="0" xr:uid="{00000000-0006-0000-0700-00002D020000}">
      <text>
        <r>
          <rPr>
            <b/>
            <sz val="8"/>
            <color indexed="81"/>
            <rFont val="Tahoma"/>
            <family val="2"/>
          </rPr>
          <t>Martin Shkreli:</t>
        </r>
        <r>
          <rPr>
            <sz val="8"/>
            <color indexed="81"/>
            <rFont val="Tahoma"/>
            <family val="2"/>
          </rPr>
          <t xml:space="preserve">
593 bear</t>
        </r>
      </text>
    </comment>
    <comment ref="AA74" authorId="2" shapeId="0" xr:uid="{00000000-0006-0000-0700-00002E020000}">
      <text>
        <r>
          <rPr>
            <b/>
            <sz val="8"/>
            <color indexed="81"/>
            <rFont val="Tahoma"/>
            <family val="2"/>
          </rPr>
          <t>Martin Shkreli:</t>
        </r>
        <r>
          <rPr>
            <sz val="8"/>
            <color indexed="81"/>
            <rFont val="Tahoma"/>
            <family val="2"/>
          </rPr>
          <t xml:space="preserve">
862 bear</t>
        </r>
      </text>
    </comment>
    <comment ref="AI74" authorId="2" shapeId="0" xr:uid="{00000000-0006-0000-0700-00002F020000}">
      <text>
        <r>
          <rPr>
            <b/>
            <sz val="8"/>
            <color indexed="81"/>
            <rFont val="Tahoma"/>
            <family val="2"/>
          </rPr>
          <t>Martin Shkreli:</t>
        </r>
        <r>
          <rPr>
            <sz val="8"/>
            <color indexed="81"/>
            <rFont val="Tahoma"/>
            <family val="2"/>
          </rPr>
          <t xml:space="preserve">
1135 bear</t>
        </r>
      </text>
    </comment>
    <comment ref="AJ74" authorId="2" shapeId="0" xr:uid="{00000000-0006-0000-0700-000030020000}">
      <text>
        <r>
          <rPr>
            <b/>
            <sz val="8"/>
            <color indexed="81"/>
            <rFont val="Tahoma"/>
            <family val="2"/>
          </rPr>
          <t>Martin Shkreli:</t>
        </r>
        <r>
          <rPr>
            <sz val="8"/>
            <color indexed="81"/>
            <rFont val="Tahoma"/>
            <family val="2"/>
          </rPr>
          <t xml:space="preserve">
951 bear</t>
        </r>
      </text>
    </comment>
    <comment ref="AK74" authorId="2" shapeId="0" xr:uid="{00000000-0006-0000-0700-000031020000}">
      <text>
        <r>
          <rPr>
            <b/>
            <sz val="8"/>
            <color indexed="81"/>
            <rFont val="Tahoma"/>
            <family val="2"/>
          </rPr>
          <t>Martin Shkreli:</t>
        </r>
        <r>
          <rPr>
            <sz val="8"/>
            <color indexed="81"/>
            <rFont val="Tahoma"/>
            <family val="2"/>
          </rPr>
          <t xml:space="preserve">
929 bear</t>
        </r>
      </text>
    </comment>
    <comment ref="AL74" authorId="2" shapeId="0" xr:uid="{00000000-0006-0000-0700-000032020000}">
      <text>
        <r>
          <rPr>
            <b/>
            <sz val="8"/>
            <color indexed="81"/>
            <rFont val="Tahoma"/>
            <family val="2"/>
          </rPr>
          <t>Martin Shkreli:</t>
        </r>
        <r>
          <rPr>
            <sz val="8"/>
            <color indexed="81"/>
            <rFont val="Tahoma"/>
            <family val="2"/>
          </rPr>
          <t xml:space="preserve">
455 bear</t>
        </r>
      </text>
    </comment>
    <comment ref="AM74" authorId="2" shapeId="0" xr:uid="{00000000-0006-0000-0700-000033020000}">
      <text>
        <r>
          <rPr>
            <b/>
            <sz val="8"/>
            <color indexed="81"/>
            <rFont val="Tahoma"/>
            <family val="2"/>
          </rPr>
          <t>Martin Shkreli:</t>
        </r>
        <r>
          <rPr>
            <sz val="8"/>
            <color indexed="81"/>
            <rFont val="Tahoma"/>
            <family val="2"/>
          </rPr>
          <t xml:space="preserve">
1064 bear</t>
        </r>
      </text>
    </comment>
    <comment ref="BB74" authorId="0" shapeId="0" xr:uid="{00000000-0006-0000-0700-000034020000}">
      <text>
        <r>
          <rPr>
            <sz val="9"/>
            <color indexed="81"/>
            <rFont val="Tahoma"/>
            <family val="2"/>
          </rPr>
          <t>7c positive impact</t>
        </r>
      </text>
    </comment>
    <comment ref="BD74" authorId="4" shapeId="0" xr:uid="{00000000-0006-0000-0700-000035020000}">
      <text>
        <r>
          <rPr>
            <b/>
            <sz val="9"/>
            <color indexed="81"/>
            <rFont val="Tahoma"/>
            <family val="2"/>
          </rPr>
          <t>MSMB:</t>
        </r>
        <r>
          <rPr>
            <sz val="9"/>
            <color indexed="81"/>
            <rFont val="Tahoma"/>
            <family val="2"/>
          </rPr>
          <t xml:space="preserve">
After-tax litigation benefit of $75m.</t>
        </r>
      </text>
    </comment>
    <comment ref="DQ74" authorId="2" shapeId="0" xr:uid="{00000000-0006-0000-0700-000036020000}">
      <text>
        <r>
          <rPr>
            <b/>
            <sz val="8"/>
            <color indexed="81"/>
            <rFont val="Tahoma"/>
            <family val="2"/>
          </rPr>
          <t>Martin Shkreli:</t>
        </r>
        <r>
          <rPr>
            <sz val="8"/>
            <color indexed="81"/>
            <rFont val="Tahoma"/>
            <family val="2"/>
          </rPr>
          <t xml:space="preserve">
494 bear</t>
        </r>
      </text>
    </comment>
    <comment ref="DR74" authorId="2" shapeId="0" xr:uid="{00000000-0006-0000-0700-000037020000}">
      <text>
        <r>
          <rPr>
            <b/>
            <sz val="8"/>
            <color indexed="81"/>
            <rFont val="Tahoma"/>
            <family val="2"/>
          </rPr>
          <t>Martin Shkreli:</t>
        </r>
        <r>
          <rPr>
            <sz val="8"/>
            <color indexed="81"/>
            <rFont val="Tahoma"/>
            <family val="2"/>
          </rPr>
          <t xml:space="preserve">
531 bear</t>
        </r>
      </text>
    </comment>
    <comment ref="DS74" authorId="2" shapeId="0" xr:uid="{00000000-0006-0000-0700-000038020000}">
      <text>
        <r>
          <rPr>
            <b/>
            <sz val="8"/>
            <color indexed="81"/>
            <rFont val="Tahoma"/>
            <family val="2"/>
          </rPr>
          <t>Martin Shkreli:</t>
        </r>
        <r>
          <rPr>
            <sz val="8"/>
            <color indexed="81"/>
            <rFont val="Tahoma"/>
            <family val="2"/>
          </rPr>
          <t xml:space="preserve">
547 bear</t>
        </r>
      </text>
    </comment>
    <comment ref="DT74" authorId="2" shapeId="0" xr:uid="{00000000-0006-0000-0700-000039020000}">
      <text>
        <r>
          <rPr>
            <b/>
            <sz val="8"/>
            <color indexed="81"/>
            <rFont val="Tahoma"/>
            <family val="2"/>
          </rPr>
          <t>Martin Shkreli:</t>
        </r>
        <r>
          <rPr>
            <sz val="8"/>
            <color indexed="81"/>
            <rFont val="Tahoma"/>
            <family val="2"/>
          </rPr>
          <t xml:space="preserve">
533 bear</t>
        </r>
      </text>
    </comment>
    <comment ref="DU74" authorId="2" shapeId="0" xr:uid="{00000000-0006-0000-0700-00003A020000}">
      <text>
        <r>
          <rPr>
            <b/>
            <sz val="8"/>
            <color indexed="81"/>
            <rFont val="Tahoma"/>
            <family val="2"/>
          </rPr>
          <t>Martin Shkreli:</t>
        </r>
        <r>
          <rPr>
            <sz val="8"/>
            <color indexed="81"/>
            <rFont val="Tahoma"/>
            <family val="2"/>
          </rPr>
          <t xml:space="preserve">
654 bear</t>
        </r>
      </text>
    </comment>
    <comment ref="DV74" authorId="2" shapeId="0" xr:uid="{00000000-0006-0000-0700-00003B020000}">
      <text>
        <r>
          <rPr>
            <b/>
            <sz val="8"/>
            <color indexed="81"/>
            <rFont val="Tahoma"/>
            <family val="2"/>
          </rPr>
          <t>Martin Shkreli:</t>
        </r>
        <r>
          <rPr>
            <sz val="8"/>
            <color indexed="81"/>
            <rFont val="Tahoma"/>
            <family val="2"/>
          </rPr>
          <t xml:space="preserve">
926 bear</t>
        </r>
      </text>
    </comment>
    <comment ref="DW74" authorId="2" shapeId="0" xr:uid="{00000000-0006-0000-0700-00003C020000}">
      <text>
        <r>
          <rPr>
            <b/>
            <sz val="8"/>
            <color indexed="81"/>
            <rFont val="Tahoma"/>
            <family val="2"/>
          </rPr>
          <t>Martin Shkreli:</t>
        </r>
        <r>
          <rPr>
            <sz val="8"/>
            <color indexed="81"/>
            <rFont val="Tahoma"/>
            <family val="2"/>
          </rPr>
          <t xml:space="preserve">
1185 bear</t>
        </r>
      </text>
    </comment>
    <comment ref="DX74" authorId="2" shapeId="0" xr:uid="{00000000-0006-0000-0700-00003D020000}">
      <text>
        <r>
          <rPr>
            <b/>
            <sz val="8"/>
            <color indexed="81"/>
            <rFont val="Tahoma"/>
            <family val="2"/>
          </rPr>
          <t>Martin Shkreli:</t>
        </r>
        <r>
          <rPr>
            <sz val="8"/>
            <color indexed="81"/>
            <rFont val="Tahoma"/>
            <family val="2"/>
          </rPr>
          <t xml:space="preserve">
1237 bear</t>
        </r>
      </text>
    </comment>
    <comment ref="DY74" authorId="2" shapeId="0" xr:uid="{00000000-0006-0000-0700-00003E020000}">
      <text>
        <r>
          <rPr>
            <b/>
            <sz val="8"/>
            <color indexed="81"/>
            <rFont val="Tahoma"/>
            <family val="2"/>
          </rPr>
          <t>Martin Shkreli:</t>
        </r>
        <r>
          <rPr>
            <sz val="8"/>
            <color indexed="81"/>
            <rFont val="Tahoma"/>
            <family val="2"/>
          </rPr>
          <t xml:space="preserve">
1232 bear</t>
        </r>
      </text>
    </comment>
    <comment ref="DZ74" authorId="2" shapeId="0" xr:uid="{00000000-0006-0000-0700-00003F020000}">
      <text>
        <r>
          <rPr>
            <b/>
            <sz val="8"/>
            <color indexed="81"/>
            <rFont val="Tahoma"/>
            <family val="2"/>
          </rPr>
          <t>Martin Shkreli:</t>
        </r>
        <r>
          <rPr>
            <sz val="8"/>
            <color indexed="81"/>
            <rFont val="Tahoma"/>
            <family val="2"/>
          </rPr>
          <t xml:space="preserve">
1609 jpm
1604 bear</t>
        </r>
      </text>
    </comment>
    <comment ref="EA74" authorId="2" shapeId="0" xr:uid="{00000000-0006-0000-0700-000040020000}">
      <text>
        <r>
          <rPr>
            <b/>
            <sz val="8"/>
            <color indexed="81"/>
            <rFont val="Tahoma"/>
            <family val="2"/>
          </rPr>
          <t>Martin Shkreli:</t>
        </r>
        <r>
          <rPr>
            <sz val="8"/>
            <color indexed="81"/>
            <rFont val="Tahoma"/>
            <family val="2"/>
          </rPr>
          <t xml:space="preserve">
1932 jpm
1921 bear</t>
        </r>
      </text>
    </comment>
    <comment ref="EB74" authorId="2" shapeId="0" xr:uid="{00000000-0006-0000-0700-000041020000}">
      <text>
        <r>
          <rPr>
            <b/>
            <sz val="8"/>
            <color indexed="81"/>
            <rFont val="Tahoma"/>
            <family val="2"/>
          </rPr>
          <t>Martin Shkreli:</t>
        </r>
        <r>
          <rPr>
            <sz val="8"/>
            <color indexed="81"/>
            <rFont val="Tahoma"/>
            <family val="2"/>
          </rPr>
          <t xml:space="preserve">
2251 bear</t>
        </r>
      </text>
    </comment>
    <comment ref="EC74" authorId="2" shapeId="0" xr:uid="{00000000-0006-0000-0700-000042020000}">
      <text>
        <r>
          <rPr>
            <b/>
            <sz val="8"/>
            <color indexed="81"/>
            <rFont val="Tahoma"/>
            <family val="2"/>
          </rPr>
          <t>Martin Shkreli:</t>
        </r>
        <r>
          <rPr>
            <sz val="8"/>
            <color indexed="81"/>
            <rFont val="Tahoma"/>
            <family val="2"/>
          </rPr>
          <t xml:space="preserve">
2694 bear</t>
        </r>
      </text>
    </comment>
    <comment ref="ED74" authorId="2" shapeId="0" xr:uid="{00000000-0006-0000-0700-000043020000}">
      <text>
        <r>
          <rPr>
            <b/>
            <sz val="8"/>
            <color indexed="81"/>
            <rFont val="Tahoma"/>
            <family val="2"/>
          </rPr>
          <t>Martin Shkreli:</t>
        </r>
        <r>
          <rPr>
            <sz val="8"/>
            <color indexed="81"/>
            <rFont val="Tahoma"/>
            <family val="2"/>
          </rPr>
          <t xml:space="preserve">
3114 bear</t>
        </r>
      </text>
    </comment>
    <comment ref="EE74" authorId="2" shapeId="0" xr:uid="{00000000-0006-0000-0700-000044020000}">
      <text>
        <r>
          <rPr>
            <b/>
            <sz val="8"/>
            <color indexed="81"/>
            <rFont val="Tahoma"/>
            <family val="2"/>
          </rPr>
          <t>Martin Shkreli:</t>
        </r>
        <r>
          <rPr>
            <sz val="8"/>
            <color indexed="81"/>
            <rFont val="Tahoma"/>
            <family val="2"/>
          </rPr>
          <t xml:space="preserve">
3540 bear</t>
        </r>
      </text>
    </comment>
    <comment ref="EF74" authorId="2" shapeId="0" xr:uid="{00000000-0006-0000-0700-000045020000}">
      <text>
        <r>
          <rPr>
            <b/>
            <sz val="8"/>
            <color indexed="81"/>
            <rFont val="Tahoma"/>
            <family val="2"/>
          </rPr>
          <t>Martin Shkreli:</t>
        </r>
        <r>
          <rPr>
            <sz val="8"/>
            <color indexed="81"/>
            <rFont val="Tahoma"/>
            <family val="2"/>
          </rPr>
          <t xml:space="preserve">
3470 bear</t>
        </r>
      </text>
    </comment>
    <comment ref="K75" authorId="2" shapeId="0" xr:uid="{00000000-0006-0000-0700-000046020000}">
      <text>
        <r>
          <rPr>
            <b/>
            <sz val="8"/>
            <color indexed="81"/>
            <rFont val="Tahoma"/>
            <family val="2"/>
          </rPr>
          <t>Martin Shkreli:</t>
        </r>
        <r>
          <rPr>
            <sz val="8"/>
            <color indexed="81"/>
            <rFont val="Tahoma"/>
            <family val="2"/>
          </rPr>
          <t xml:space="preserve">
1156 jpm</t>
        </r>
      </text>
    </comment>
    <comment ref="L75" authorId="2" shapeId="0" xr:uid="{00000000-0006-0000-0700-000047020000}">
      <text>
        <r>
          <rPr>
            <b/>
            <sz val="8"/>
            <color indexed="81"/>
            <rFont val="Tahoma"/>
            <family val="2"/>
          </rPr>
          <t>Martin Shkreli:</t>
        </r>
        <r>
          <rPr>
            <sz val="8"/>
            <color indexed="81"/>
            <rFont val="Tahoma"/>
            <family val="2"/>
          </rPr>
          <t xml:space="preserve">
1204 jpm</t>
        </r>
      </text>
    </comment>
    <comment ref="M75" authorId="2" shapeId="0" xr:uid="{00000000-0006-0000-0700-000048020000}">
      <text>
        <r>
          <rPr>
            <b/>
            <sz val="8"/>
            <color indexed="81"/>
            <rFont val="Tahoma"/>
            <family val="2"/>
          </rPr>
          <t>Martin Shkreli:</t>
        </r>
        <r>
          <rPr>
            <sz val="8"/>
            <color indexed="81"/>
            <rFont val="Tahoma"/>
            <family val="2"/>
          </rPr>
          <t xml:space="preserve">
1165 jpm</t>
        </r>
      </text>
    </comment>
    <comment ref="N75" authorId="2" shapeId="0" xr:uid="{00000000-0006-0000-0700-000049020000}">
      <text>
        <r>
          <rPr>
            <b/>
            <sz val="8"/>
            <color indexed="81"/>
            <rFont val="Tahoma"/>
            <family val="2"/>
          </rPr>
          <t>Martin Shkreli:</t>
        </r>
        <r>
          <rPr>
            <sz val="8"/>
            <color indexed="81"/>
            <rFont val="Tahoma"/>
            <family val="2"/>
          </rPr>
          <t xml:space="preserve">
763 jpm</t>
        </r>
      </text>
    </comment>
    <comment ref="O75" authorId="2" shapeId="0" xr:uid="{00000000-0006-0000-0700-00004A020000}">
      <text>
        <r>
          <rPr>
            <b/>
            <sz val="8"/>
            <color indexed="81"/>
            <rFont val="Tahoma"/>
            <family val="2"/>
          </rPr>
          <t>Martin Shkreli:</t>
        </r>
        <r>
          <rPr>
            <sz val="8"/>
            <color indexed="81"/>
            <rFont val="Tahoma"/>
            <family val="2"/>
          </rPr>
          <t xml:space="preserve">
1346 jpm
1346 bear</t>
        </r>
      </text>
    </comment>
    <comment ref="P75" authorId="2" shapeId="0" xr:uid="{00000000-0006-0000-0700-00004B020000}">
      <text>
        <r>
          <rPr>
            <b/>
            <sz val="8"/>
            <color indexed="81"/>
            <rFont val="Tahoma"/>
            <family val="2"/>
          </rPr>
          <t>Martin Shkreli:</t>
        </r>
        <r>
          <rPr>
            <sz val="8"/>
            <color indexed="81"/>
            <rFont val="Tahoma"/>
            <family val="2"/>
          </rPr>
          <t xml:space="preserve">
1373 jpm
1372 bear</t>
        </r>
      </text>
    </comment>
    <comment ref="Q75" authorId="2" shapeId="0" xr:uid="{00000000-0006-0000-0700-00004C020000}">
      <text>
        <r>
          <rPr>
            <b/>
            <sz val="8"/>
            <color indexed="81"/>
            <rFont val="Tahoma"/>
            <family val="2"/>
          </rPr>
          <t>Martin Shkreli:</t>
        </r>
        <r>
          <rPr>
            <sz val="8"/>
            <color indexed="81"/>
            <rFont val="Tahoma"/>
            <family val="2"/>
          </rPr>
          <t xml:space="preserve">
1334 jpm
1333 bear</t>
        </r>
      </text>
    </comment>
    <comment ref="R75" authorId="2" shapeId="0" xr:uid="{00000000-0006-0000-0700-00004D020000}">
      <text>
        <r>
          <rPr>
            <b/>
            <sz val="8"/>
            <color indexed="81"/>
            <rFont val="Tahoma"/>
            <family val="2"/>
          </rPr>
          <t>Martin Shkreli:</t>
        </r>
        <r>
          <rPr>
            <sz val="8"/>
            <color indexed="81"/>
            <rFont val="Tahoma"/>
            <family val="2"/>
          </rPr>
          <t xml:space="preserve">
946 jpm
993 bear</t>
        </r>
      </text>
    </comment>
    <comment ref="S75" authorId="2" shapeId="0" xr:uid="{00000000-0006-0000-0700-00004E020000}">
      <text>
        <r>
          <rPr>
            <b/>
            <sz val="8"/>
            <color indexed="81"/>
            <rFont val="Tahoma"/>
            <family val="2"/>
          </rPr>
          <t>Martin Shkreli:</t>
        </r>
        <r>
          <rPr>
            <sz val="8"/>
            <color indexed="81"/>
            <rFont val="Tahoma"/>
            <family val="2"/>
          </rPr>
          <t xml:space="preserve">
1553 bear</t>
        </r>
      </text>
    </comment>
    <comment ref="T75" authorId="2" shapeId="0" xr:uid="{00000000-0006-0000-0700-00004F020000}">
      <text>
        <r>
          <rPr>
            <b/>
            <sz val="8"/>
            <color indexed="81"/>
            <rFont val="Tahoma"/>
            <family val="2"/>
          </rPr>
          <t>Martin Shkreli:</t>
        </r>
        <r>
          <rPr>
            <sz val="8"/>
            <color indexed="81"/>
            <rFont val="Tahoma"/>
            <family val="2"/>
          </rPr>
          <t xml:space="preserve">
1584 bear</t>
        </r>
      </text>
    </comment>
    <comment ref="U75" authorId="2" shapeId="0" xr:uid="{00000000-0006-0000-0700-000050020000}">
      <text>
        <r>
          <rPr>
            <b/>
            <sz val="8"/>
            <color indexed="81"/>
            <rFont val="Tahoma"/>
            <family val="2"/>
          </rPr>
          <t>Martin Shkreli:</t>
        </r>
        <r>
          <rPr>
            <sz val="8"/>
            <color indexed="81"/>
            <rFont val="Tahoma"/>
            <family val="2"/>
          </rPr>
          <t xml:space="preserve">
1553 bear</t>
        </r>
      </text>
    </comment>
    <comment ref="AA75" authorId="2" shapeId="0" xr:uid="{00000000-0006-0000-0700-000051020000}">
      <text>
        <r>
          <rPr>
            <b/>
            <sz val="8"/>
            <color indexed="81"/>
            <rFont val="Tahoma"/>
            <family val="2"/>
          </rPr>
          <t>Martin Shkreli:</t>
        </r>
        <r>
          <rPr>
            <sz val="8"/>
            <color indexed="81"/>
            <rFont val="Tahoma"/>
            <family val="2"/>
          </rPr>
          <t xml:space="preserve">
2084 bear</t>
        </r>
      </text>
    </comment>
    <comment ref="AD75" authorId="2" shapeId="0" xr:uid="{00000000-0006-0000-0700-000052020000}">
      <text>
        <r>
          <rPr>
            <b/>
            <sz val="8"/>
            <color indexed="81"/>
            <rFont val="Tahoma"/>
            <family val="2"/>
          </rPr>
          <t>Martin Shkreli:</t>
        </r>
        <r>
          <rPr>
            <sz val="8"/>
            <color indexed="81"/>
            <rFont val="Tahoma"/>
            <family val="2"/>
          </rPr>
          <t xml:space="preserve">
1703 bear</t>
        </r>
      </text>
    </comment>
    <comment ref="AI75" authorId="2" shapeId="0" xr:uid="{00000000-0006-0000-0700-000053020000}">
      <text>
        <r>
          <rPr>
            <b/>
            <sz val="8"/>
            <color indexed="81"/>
            <rFont val="Tahoma"/>
            <family val="2"/>
          </rPr>
          <t>Martin Shkreli:</t>
        </r>
        <r>
          <rPr>
            <sz val="8"/>
            <color indexed="81"/>
            <rFont val="Tahoma"/>
            <family val="2"/>
          </rPr>
          <t xml:space="preserve">
2927 bear</t>
        </r>
      </text>
    </comment>
    <comment ref="AJ75" authorId="2" shapeId="0" xr:uid="{00000000-0006-0000-0700-000054020000}">
      <text>
        <r>
          <rPr>
            <b/>
            <sz val="8"/>
            <color indexed="81"/>
            <rFont val="Tahoma"/>
            <family val="2"/>
          </rPr>
          <t>Martin Shkreli:</t>
        </r>
        <r>
          <rPr>
            <sz val="8"/>
            <color indexed="81"/>
            <rFont val="Tahoma"/>
            <family val="2"/>
          </rPr>
          <t xml:space="preserve">
2804 bear</t>
        </r>
      </text>
    </comment>
    <comment ref="AK75" authorId="2" shapeId="0" xr:uid="{00000000-0006-0000-0700-000055020000}">
      <text>
        <r>
          <rPr>
            <b/>
            <sz val="8"/>
            <color indexed="81"/>
            <rFont val="Tahoma"/>
            <family val="2"/>
          </rPr>
          <t>Martin Shkreli:</t>
        </r>
        <r>
          <rPr>
            <sz val="8"/>
            <color indexed="81"/>
            <rFont val="Tahoma"/>
            <family val="2"/>
          </rPr>
          <t xml:space="preserve">
2625 bear</t>
        </r>
      </text>
    </comment>
    <comment ref="AL75" authorId="2" shapeId="0" xr:uid="{00000000-0006-0000-0700-000056020000}">
      <text>
        <r>
          <rPr>
            <b/>
            <sz val="8"/>
            <color indexed="81"/>
            <rFont val="Tahoma"/>
            <family val="2"/>
          </rPr>
          <t>Martin Shkreli:</t>
        </r>
        <r>
          <rPr>
            <sz val="8"/>
            <color indexed="81"/>
            <rFont val="Tahoma"/>
            <family val="2"/>
          </rPr>
          <t xml:space="preserve">
2192 bear</t>
        </r>
      </text>
    </comment>
    <comment ref="AM75" authorId="2" shapeId="0" xr:uid="{00000000-0006-0000-0700-000057020000}">
      <text>
        <r>
          <rPr>
            <b/>
            <sz val="8"/>
            <color indexed="81"/>
            <rFont val="Tahoma"/>
            <family val="2"/>
          </rPr>
          <t>Martin Shkreli:</t>
        </r>
        <r>
          <rPr>
            <sz val="8"/>
            <color indexed="81"/>
            <rFont val="Tahoma"/>
            <family val="2"/>
          </rPr>
          <t xml:space="preserve">
2966 bear</t>
        </r>
      </text>
    </comment>
    <comment ref="BI75" authorId="5" shapeId="0" xr:uid="{00000000-0006-0000-0700-000058020000}">
      <text>
        <r>
          <rPr>
            <b/>
            <sz val="9"/>
            <color indexed="81"/>
            <rFont val="Tahoma"/>
            <family val="2"/>
          </rPr>
          <t>Martin:</t>
        </r>
        <r>
          <rPr>
            <sz val="9"/>
            <color indexed="81"/>
            <rFont val="Tahoma"/>
            <family val="2"/>
          </rPr>
          <t xml:space="preserve">
Special charges of $200m related to Synthes currency</t>
        </r>
      </text>
    </comment>
    <comment ref="CI75" authorId="45" shapeId="0" xr:uid="{D7D0FEAC-BD98-4AF1-AF71-FD17A1AD0FC2}">
      <text>
        <t>[Threaded comment]
Your version of Excel allows you to read this threaded comment; however, any edits to it will get removed if the file is opened in a newer version of Excel. Learn more: https://go.microsoft.com/fwlink/?linkid=870924
Comment:
    5635 actual adjusted</t>
      </text>
    </comment>
    <comment ref="CJ75" authorId="46" shapeId="0" xr:uid="{1EB83523-8F14-4259-A556-7AEDAE7F7981}">
      <text>
        <t>[Threaded comment]
Your version of Excel allows you to read this threaded comment; however, any edits to it will get removed if the file is opened in a newer version of Excel. Learn more: https://go.microsoft.com/fwlink/?linkid=870924
Comment:
    5718 actual adjusted</t>
      </text>
    </comment>
    <comment ref="CK75" authorId="47" shapeId="0" xr:uid="{D6788F96-B571-4606-A723-15B6B28134D7}">
      <text>
        <t>[Threaded comment]
Your version of Excel allows you to read this threaded comment; however, any edits to it will get removed if the file is opened in a newer version of Excel. Learn more: https://go.microsoft.com/fwlink/?linkid=870924
Comment:
    5590 actual</t>
      </text>
    </comment>
    <comment ref="CL75" authorId="48" shapeId="0" xr:uid="{D831ACBC-24BA-48CB-B852-D2FD856C1AA9}">
      <text>
        <t>[Threaded comment]
Your version of Excel allows you to read this threaded comment; however, any edits to it will get removed if the file is opened in a newer version of Excel. Learn more: https://go.microsoft.com/fwlink/?linkid=870924
Comment:
    5372 actual adj</t>
      </text>
    </comment>
    <comment ref="CM75" authorId="49" shapeId="0" xr:uid="{FB29B332-ABE4-40F3-9424-4509BB9707B1}">
      <text>
        <t>[Threaded comment]
Your version of Excel allows you to read this threaded comment; however, any edits to it will get removed if the file is opened in a newer version of Excel. Learn more: https://go.microsoft.com/fwlink/?linkid=870924
Comment:
    5661 actual adjusted</t>
      </text>
    </comment>
    <comment ref="CN75" authorId="50" shapeId="0" xr:uid="{AB2FD171-4878-4785-9CC6-E5E6981B40E8}">
      <text>
        <t>[Threaded comment]
Your version of Excel allows you to read this threaded comment; however, any edits to it will get removed if the file is opened in a newer version of Excel. Learn more: https://go.microsoft.com/fwlink/?linkid=870924
Comment:
    6950 actual adjusted</t>
      </text>
    </comment>
    <comment ref="CO75" authorId="51" shapeId="0" xr:uid="{DF9141A9-C917-4FCC-ACAB-81BC3B8FBDC3}">
      <text>
        <t>[Threaded comment]
Your version of Excel allows you to read this threaded comment; however, any edits to it will get removed if the file is opened in a newer version of Excel. Learn more: https://go.microsoft.com/fwlink/?linkid=870924
Comment:
    5672 actual adjusted</t>
      </text>
    </comment>
    <comment ref="CP75" authorId="52" shapeId="0" xr:uid="{38B02D27-96B4-4C61-A1A4-2D8D3DA05C55}">
      <text>
        <t>[Threaded comment]
Your version of Excel allows you to read this threaded comment; however, any edits to it will get removed if the file is opened in a newer version of Excel. Learn more: https://go.microsoft.com/fwlink/?linkid=870924
Comment:
    5027 actual adj</t>
      </text>
    </comment>
    <comment ref="DB75" authorId="53" shapeId="0" xr:uid="{14B8FD79-CE1E-46F9-9F8A-B2BFC85FF655}">
      <text>
        <t>[Threaded comment]
Your version of Excel allows you to read this threaded comment; however, any edits to it will get removed if the file is opened in a newer version of Excel. Learn more: https://go.microsoft.com/fwlink/?linkid=870924
Comment:
    6218 nongaap</t>
      </text>
    </comment>
    <comment ref="DQ75" authorId="2" shapeId="0" xr:uid="{00000000-0006-0000-0700-000059020000}">
      <text>
        <r>
          <rPr>
            <b/>
            <sz val="8"/>
            <color indexed="81"/>
            <rFont val="Tahoma"/>
            <family val="2"/>
          </rPr>
          <t>Martin Shkreli:</t>
        </r>
        <r>
          <rPr>
            <sz val="8"/>
            <color indexed="81"/>
            <rFont val="Tahoma"/>
            <family val="2"/>
          </rPr>
          <t xml:space="preserve">
1168 bear</t>
        </r>
      </text>
    </comment>
    <comment ref="DR75" authorId="2" shapeId="0" xr:uid="{00000000-0006-0000-0700-00005A020000}">
      <text>
        <r>
          <rPr>
            <b/>
            <sz val="8"/>
            <color indexed="81"/>
            <rFont val="Tahoma"/>
            <family val="2"/>
          </rPr>
          <t>Martin Shkreli:</t>
        </r>
        <r>
          <rPr>
            <sz val="8"/>
            <color indexed="81"/>
            <rFont val="Tahoma"/>
            <family val="2"/>
          </rPr>
          <t xml:space="preserve">
1441 bear</t>
        </r>
      </text>
    </comment>
    <comment ref="DS75" authorId="2" shapeId="0" xr:uid="{00000000-0006-0000-0700-00005B020000}">
      <text>
        <r>
          <rPr>
            <b/>
            <sz val="8"/>
            <color indexed="81"/>
            <rFont val="Tahoma"/>
            <family val="2"/>
          </rPr>
          <t>Martin Shkreli:</t>
        </r>
        <r>
          <rPr>
            <sz val="8"/>
            <color indexed="81"/>
            <rFont val="Tahoma"/>
            <family val="2"/>
          </rPr>
          <t xml:space="preserve">
1572 bear</t>
        </r>
      </text>
    </comment>
    <comment ref="DT75" authorId="2" shapeId="0" xr:uid="{00000000-0006-0000-0700-00005C020000}">
      <text>
        <r>
          <rPr>
            <b/>
            <sz val="8"/>
            <color indexed="81"/>
            <rFont val="Tahoma"/>
            <family val="2"/>
          </rPr>
          <t>Martin Shkreli:</t>
        </r>
        <r>
          <rPr>
            <sz val="8"/>
            <color indexed="81"/>
            <rFont val="Tahoma"/>
            <family val="2"/>
          </rPr>
          <t xml:space="preserve">
1786 bear</t>
        </r>
      </text>
    </comment>
    <comment ref="DU75" authorId="2" shapeId="0" xr:uid="{00000000-0006-0000-0700-00005D020000}">
      <text>
        <r>
          <rPr>
            <b/>
            <sz val="8"/>
            <color indexed="81"/>
            <rFont val="Tahoma"/>
            <family val="2"/>
          </rPr>
          <t>Martin Shkreli:</t>
        </r>
        <r>
          <rPr>
            <sz val="8"/>
            <color indexed="81"/>
            <rFont val="Tahoma"/>
            <family val="2"/>
          </rPr>
          <t xml:space="preserve">
1998 bear</t>
        </r>
      </text>
    </comment>
    <comment ref="DV75" authorId="2" shapeId="0" xr:uid="{00000000-0006-0000-0700-00005E020000}">
      <text>
        <r>
          <rPr>
            <b/>
            <sz val="8"/>
            <color indexed="81"/>
            <rFont val="Tahoma"/>
            <family val="2"/>
          </rPr>
          <t>Martin Shkreli:</t>
        </r>
        <r>
          <rPr>
            <sz val="8"/>
            <color indexed="81"/>
            <rFont val="Tahoma"/>
            <family val="2"/>
          </rPr>
          <t xml:space="preserve">
2418 bear</t>
        </r>
      </text>
    </comment>
    <comment ref="DW75" authorId="2" shapeId="0" xr:uid="{00000000-0006-0000-0700-00005F020000}">
      <text>
        <r>
          <rPr>
            <b/>
            <sz val="8"/>
            <color indexed="81"/>
            <rFont val="Tahoma"/>
            <family val="2"/>
          </rPr>
          <t>Martin Shkreli:</t>
        </r>
        <r>
          <rPr>
            <sz val="8"/>
            <color indexed="81"/>
            <rFont val="Tahoma"/>
            <family val="2"/>
          </rPr>
          <t xml:space="preserve">
2958 bear</t>
        </r>
      </text>
    </comment>
    <comment ref="DX75" authorId="2" shapeId="0" xr:uid="{00000000-0006-0000-0700-000060020000}">
      <text>
        <r>
          <rPr>
            <b/>
            <sz val="8"/>
            <color indexed="81"/>
            <rFont val="Tahoma"/>
            <family val="2"/>
          </rPr>
          <t>Martin Shkreli:</t>
        </r>
        <r>
          <rPr>
            <sz val="8"/>
            <color indexed="81"/>
            <rFont val="Tahoma"/>
            <family val="2"/>
          </rPr>
          <t xml:space="preserve">
3471 bear</t>
        </r>
      </text>
    </comment>
    <comment ref="DY75" authorId="2" shapeId="0" xr:uid="{00000000-0006-0000-0700-000061020000}">
      <text>
        <r>
          <rPr>
            <b/>
            <sz val="8"/>
            <color indexed="81"/>
            <rFont val="Tahoma"/>
            <family val="2"/>
          </rPr>
          <t>Martin Shkreli:</t>
        </r>
        <r>
          <rPr>
            <sz val="8"/>
            <color indexed="81"/>
            <rFont val="Tahoma"/>
            <family val="2"/>
          </rPr>
          <t xml:space="preserve">
3952 bear</t>
        </r>
      </text>
    </comment>
    <comment ref="DZ75" authorId="2" shapeId="0" xr:uid="{00000000-0006-0000-0700-000062020000}">
      <text>
        <r>
          <rPr>
            <b/>
            <sz val="8"/>
            <color indexed="81"/>
            <rFont val="Tahoma"/>
            <family val="2"/>
          </rPr>
          <t>Martin Shkreli:</t>
        </r>
        <r>
          <rPr>
            <sz val="8"/>
            <color indexed="81"/>
            <rFont val="Tahoma"/>
            <family val="2"/>
          </rPr>
          <t xml:space="preserve">
4287 jpm
4273 bear</t>
        </r>
      </text>
    </comment>
    <comment ref="EA75" authorId="2" shapeId="0" xr:uid="{00000000-0006-0000-0700-000063020000}">
      <text>
        <r>
          <rPr>
            <b/>
            <sz val="8"/>
            <color indexed="81"/>
            <rFont val="Tahoma"/>
            <family val="2"/>
          </rPr>
          <t>Martin Shkreli:</t>
        </r>
        <r>
          <rPr>
            <sz val="8"/>
            <color indexed="81"/>
            <rFont val="Tahoma"/>
            <family val="2"/>
          </rPr>
          <t xml:space="preserve">
4998 jpm
5043 bear</t>
        </r>
      </text>
    </comment>
    <comment ref="EB75" authorId="2" shapeId="0" xr:uid="{00000000-0006-0000-0700-000064020000}">
      <text>
        <r>
          <rPr>
            <b/>
            <sz val="8"/>
            <color indexed="81"/>
            <rFont val="Tahoma"/>
            <family val="2"/>
          </rPr>
          <t>Martin Shkreli:</t>
        </r>
        <r>
          <rPr>
            <sz val="8"/>
            <color indexed="81"/>
            <rFont val="Tahoma"/>
            <family val="2"/>
          </rPr>
          <t xml:space="preserve">
5900 bear</t>
        </r>
      </text>
    </comment>
    <comment ref="EC75" authorId="2" shapeId="0" xr:uid="{00000000-0006-0000-0700-000065020000}">
      <text>
        <r>
          <rPr>
            <b/>
            <sz val="8"/>
            <color indexed="81"/>
            <rFont val="Tahoma"/>
            <family val="2"/>
          </rPr>
          <t>Martin Shkreli:</t>
        </r>
        <r>
          <rPr>
            <sz val="8"/>
            <color indexed="81"/>
            <rFont val="Tahoma"/>
            <family val="2"/>
          </rPr>
          <t xml:space="preserve">
6786 bear</t>
        </r>
      </text>
    </comment>
    <comment ref="ED75" authorId="2" shapeId="0" xr:uid="{00000000-0006-0000-0700-000066020000}">
      <text>
        <r>
          <rPr>
            <b/>
            <sz val="8"/>
            <color indexed="81"/>
            <rFont val="Tahoma"/>
            <family val="2"/>
          </rPr>
          <t>Martin Shkreli:</t>
        </r>
        <r>
          <rPr>
            <sz val="8"/>
            <color indexed="81"/>
            <rFont val="Tahoma"/>
            <family val="2"/>
          </rPr>
          <t xml:space="preserve">
7970 bear</t>
        </r>
      </text>
    </comment>
    <comment ref="EE75" authorId="2" shapeId="0" xr:uid="{00000000-0006-0000-0700-000067020000}">
      <text>
        <r>
          <rPr>
            <b/>
            <sz val="8"/>
            <color indexed="81"/>
            <rFont val="Tahoma"/>
            <family val="2"/>
          </rPr>
          <t>Martin Shkreli:</t>
        </r>
        <r>
          <rPr>
            <sz val="8"/>
            <color indexed="81"/>
            <rFont val="Tahoma"/>
            <family val="2"/>
          </rPr>
          <t xml:space="preserve">
9315 bear</t>
        </r>
      </text>
    </comment>
    <comment ref="EF75" authorId="2" shapeId="0" xr:uid="{00000000-0006-0000-0700-000068020000}">
      <text>
        <r>
          <rPr>
            <b/>
            <sz val="8"/>
            <color indexed="81"/>
            <rFont val="Tahoma"/>
            <family val="2"/>
          </rPr>
          <t>Martin Shkreli:</t>
        </r>
        <r>
          <rPr>
            <sz val="8"/>
            <color indexed="81"/>
            <rFont val="Tahoma"/>
            <family val="2"/>
          </rPr>
          <t xml:space="preserve">
10547 bear</t>
        </r>
      </text>
    </comment>
    <comment ref="EI75" authorId="2" shapeId="0" xr:uid="{00000000-0006-0000-0700-000069020000}">
      <text>
        <r>
          <rPr>
            <b/>
            <sz val="8"/>
            <color indexed="81"/>
            <rFont val="Tahoma"/>
            <family val="2"/>
          </rPr>
          <t>Martin Shkreli:</t>
        </r>
        <r>
          <rPr>
            <sz val="8"/>
            <color indexed="81"/>
            <rFont val="Tahoma"/>
            <family val="2"/>
          </rPr>
          <t xml:space="preserve">
12.949bn official #</t>
        </r>
      </text>
    </comment>
    <comment ref="K76" authorId="2" shapeId="0" xr:uid="{00000000-0006-0000-0700-00006A020000}">
      <text>
        <r>
          <rPr>
            <b/>
            <sz val="8"/>
            <color indexed="81"/>
            <rFont val="Tahoma"/>
            <family val="2"/>
          </rPr>
          <t>Martin Shkreli:</t>
        </r>
        <r>
          <rPr>
            <sz val="8"/>
            <color indexed="81"/>
            <rFont val="Tahoma"/>
            <family val="2"/>
          </rPr>
          <t xml:space="preserve">
0.37 jpm</t>
        </r>
      </text>
    </comment>
    <comment ref="L76" authorId="2" shapeId="0" xr:uid="{00000000-0006-0000-0700-00006B020000}">
      <text>
        <r>
          <rPr>
            <b/>
            <sz val="8"/>
            <color indexed="81"/>
            <rFont val="Tahoma"/>
            <family val="2"/>
          </rPr>
          <t>Martin Shkreli:</t>
        </r>
        <r>
          <rPr>
            <sz val="8"/>
            <color indexed="81"/>
            <rFont val="Tahoma"/>
            <family val="2"/>
          </rPr>
          <t xml:space="preserve">
0.39 jpm</t>
        </r>
      </text>
    </comment>
    <comment ref="M76" authorId="2" shapeId="0" xr:uid="{00000000-0006-0000-0700-00006C020000}">
      <text>
        <r>
          <rPr>
            <b/>
            <sz val="8"/>
            <color indexed="81"/>
            <rFont val="Tahoma"/>
            <family val="2"/>
          </rPr>
          <t>Martin Shkreli:</t>
        </r>
        <r>
          <rPr>
            <sz val="8"/>
            <color indexed="81"/>
            <rFont val="Tahoma"/>
            <family val="2"/>
          </rPr>
          <t xml:space="preserve">
0.38 jpm</t>
        </r>
      </text>
    </comment>
    <comment ref="N76" authorId="2" shapeId="0" xr:uid="{00000000-0006-0000-0700-00006D020000}">
      <text>
        <r>
          <rPr>
            <b/>
            <sz val="8"/>
            <color indexed="81"/>
            <rFont val="Tahoma"/>
            <family val="2"/>
          </rPr>
          <t>Martin Shkreli:</t>
        </r>
        <r>
          <rPr>
            <sz val="8"/>
            <color indexed="81"/>
            <rFont val="Tahoma"/>
            <family val="2"/>
          </rPr>
          <t xml:space="preserve">
0.25 jpm</t>
        </r>
      </text>
    </comment>
    <comment ref="O76" authorId="2" shapeId="0" xr:uid="{00000000-0006-0000-0700-00006E020000}">
      <text>
        <r>
          <rPr>
            <b/>
            <sz val="8"/>
            <color indexed="81"/>
            <rFont val="Tahoma"/>
            <family val="2"/>
          </rPr>
          <t>Martin Shkreli:</t>
        </r>
        <r>
          <rPr>
            <sz val="8"/>
            <color indexed="81"/>
            <rFont val="Tahoma"/>
            <family val="2"/>
          </rPr>
          <t xml:space="preserve">
0.44 jpm
0.44 bear</t>
        </r>
      </text>
    </comment>
    <comment ref="P76" authorId="2" shapeId="0" xr:uid="{00000000-0006-0000-0700-00006F020000}">
      <text>
        <r>
          <rPr>
            <b/>
            <sz val="8"/>
            <color indexed="81"/>
            <rFont val="Tahoma"/>
            <family val="2"/>
          </rPr>
          <t>Martin Shkreli:</t>
        </r>
        <r>
          <rPr>
            <sz val="8"/>
            <color indexed="81"/>
            <rFont val="Tahoma"/>
            <family val="2"/>
          </rPr>
          <t xml:space="preserve">
0.44 jpm
0.44 bear</t>
        </r>
      </text>
    </comment>
    <comment ref="Q76" authorId="2" shapeId="0" xr:uid="{00000000-0006-0000-0700-000070020000}">
      <text>
        <r>
          <rPr>
            <b/>
            <sz val="8"/>
            <color indexed="81"/>
            <rFont val="Tahoma"/>
            <family val="2"/>
          </rPr>
          <t>Martin Shkreli:</t>
        </r>
        <r>
          <rPr>
            <sz val="8"/>
            <color indexed="81"/>
            <rFont val="Tahoma"/>
            <family val="2"/>
          </rPr>
          <t xml:space="preserve">
0.43 jpm
0.43 bear</t>
        </r>
      </text>
    </comment>
    <comment ref="R76" authorId="2" shapeId="0" xr:uid="{00000000-0006-0000-0700-000071020000}">
      <text>
        <r>
          <rPr>
            <b/>
            <sz val="8"/>
            <color indexed="81"/>
            <rFont val="Tahoma"/>
            <family val="2"/>
          </rPr>
          <t>Martin Shkreli:</t>
        </r>
        <r>
          <rPr>
            <sz val="8"/>
            <color indexed="81"/>
            <rFont val="Tahoma"/>
            <family val="2"/>
          </rPr>
          <t xml:space="preserve">
0.32 jpm
0.32 bear</t>
        </r>
      </text>
    </comment>
    <comment ref="S76" authorId="2" shapeId="0" xr:uid="{00000000-0006-0000-0700-000072020000}">
      <text>
        <r>
          <rPr>
            <b/>
            <sz val="8"/>
            <color indexed="81"/>
            <rFont val="Tahoma"/>
            <family val="2"/>
          </rPr>
          <t>Martin Shkreli:</t>
        </r>
        <r>
          <rPr>
            <sz val="8"/>
            <color indexed="81"/>
            <rFont val="Tahoma"/>
            <family val="2"/>
          </rPr>
          <t xml:space="preserve">
0.50 bear</t>
        </r>
      </text>
    </comment>
    <comment ref="T76" authorId="2" shapeId="0" xr:uid="{00000000-0006-0000-0700-000073020000}">
      <text>
        <r>
          <rPr>
            <b/>
            <sz val="8"/>
            <color indexed="81"/>
            <rFont val="Tahoma"/>
            <family val="2"/>
          </rPr>
          <t>Martin Shkreli:</t>
        </r>
        <r>
          <rPr>
            <sz val="8"/>
            <color indexed="81"/>
            <rFont val="Tahoma"/>
            <family val="2"/>
          </rPr>
          <t xml:space="preserve">
0.51 bear</t>
        </r>
      </text>
    </comment>
    <comment ref="U76" authorId="2" shapeId="0" xr:uid="{00000000-0006-0000-0700-000074020000}">
      <text>
        <r>
          <rPr>
            <b/>
            <sz val="8"/>
            <color indexed="81"/>
            <rFont val="Tahoma"/>
            <family val="2"/>
          </rPr>
          <t>Martin Shkreli:</t>
        </r>
        <r>
          <rPr>
            <sz val="8"/>
            <color indexed="81"/>
            <rFont val="Tahoma"/>
            <family val="2"/>
          </rPr>
          <t xml:space="preserve">
 0.50 bear</t>
        </r>
      </text>
    </comment>
    <comment ref="X76" authorId="2" shapeId="0" xr:uid="{00000000-0006-0000-0700-000075020000}">
      <text>
        <r>
          <rPr>
            <b/>
            <sz val="8"/>
            <color indexed="81"/>
            <rFont val="Tahoma"/>
            <family val="2"/>
          </rPr>
          <t>Martin Shkreli:</t>
        </r>
        <r>
          <rPr>
            <sz val="8"/>
            <color indexed="81"/>
            <rFont val="Tahoma"/>
            <family val="2"/>
          </rPr>
          <t xml:space="preserve">
0.60 bear</t>
        </r>
      </text>
    </comment>
    <comment ref="AD76" authorId="2" shapeId="0" xr:uid="{00000000-0006-0000-0700-000076020000}">
      <text>
        <r>
          <rPr>
            <b/>
            <sz val="8"/>
            <color indexed="81"/>
            <rFont val="Tahoma"/>
            <family val="2"/>
          </rPr>
          <t>Martin Shkreli:</t>
        </r>
        <r>
          <rPr>
            <sz val="8"/>
            <color indexed="81"/>
            <rFont val="Tahoma"/>
            <family val="2"/>
          </rPr>
          <t xml:space="preserve">
0.57 bear</t>
        </r>
      </text>
    </comment>
    <comment ref="AI76" authorId="2" shapeId="0" xr:uid="{00000000-0006-0000-0700-000077020000}">
      <text>
        <r>
          <rPr>
            <b/>
            <sz val="8"/>
            <color indexed="81"/>
            <rFont val="Tahoma"/>
            <family val="2"/>
          </rPr>
          <t>Martin Shkreli:</t>
        </r>
        <r>
          <rPr>
            <sz val="8"/>
            <color indexed="81"/>
            <rFont val="Tahoma"/>
            <family val="2"/>
          </rPr>
          <t xml:space="preserve">
0.97 bear</t>
        </r>
      </text>
    </comment>
    <comment ref="AJ76" authorId="2" shapeId="0" xr:uid="{00000000-0006-0000-0700-000078020000}">
      <text>
        <r>
          <rPr>
            <b/>
            <sz val="8"/>
            <color indexed="81"/>
            <rFont val="Tahoma"/>
            <family val="2"/>
          </rPr>
          <t>Martin Shkreli:</t>
        </r>
        <r>
          <rPr>
            <sz val="8"/>
            <color indexed="81"/>
            <rFont val="Tahoma"/>
            <family val="2"/>
          </rPr>
          <t xml:space="preserve">
0.93 bear</t>
        </r>
      </text>
    </comment>
    <comment ref="AK76" authorId="2" shapeId="0" xr:uid="{00000000-0006-0000-0700-000079020000}">
      <text>
        <r>
          <rPr>
            <b/>
            <sz val="8"/>
            <color indexed="81"/>
            <rFont val="Tahoma"/>
            <family val="2"/>
          </rPr>
          <t>Martin Shkreli:</t>
        </r>
        <r>
          <rPr>
            <sz val="8"/>
            <color indexed="81"/>
            <rFont val="Tahoma"/>
            <family val="2"/>
          </rPr>
          <t xml:space="preserve">
0.87 bear</t>
        </r>
      </text>
    </comment>
    <comment ref="AL76" authorId="2" shapeId="0" xr:uid="{00000000-0006-0000-0700-00007A020000}">
      <text>
        <r>
          <rPr>
            <b/>
            <sz val="8"/>
            <color indexed="81"/>
            <rFont val="Tahoma"/>
            <family val="2"/>
          </rPr>
          <t>Martin Shkreli:</t>
        </r>
        <r>
          <rPr>
            <sz val="8"/>
            <color indexed="81"/>
            <rFont val="Tahoma"/>
            <family val="2"/>
          </rPr>
          <t xml:space="preserve">
0.73 bear</t>
        </r>
      </text>
    </comment>
    <comment ref="AM76" authorId="2" shapeId="0" xr:uid="{00000000-0006-0000-0700-00007B020000}">
      <text>
        <r>
          <rPr>
            <b/>
            <sz val="8"/>
            <color indexed="81"/>
            <rFont val="Tahoma"/>
            <family val="2"/>
          </rPr>
          <t>Martin Shkreli:</t>
        </r>
        <r>
          <rPr>
            <sz val="8"/>
            <color indexed="81"/>
            <rFont val="Tahoma"/>
            <family val="2"/>
          </rPr>
          <t xml:space="preserve">
0.99 bear</t>
        </r>
      </text>
    </comment>
    <comment ref="AQ76" authorId="3" shapeId="0" xr:uid="{00000000-0006-0000-0700-00007C020000}">
      <text>
        <r>
          <rPr>
            <b/>
            <sz val="8"/>
            <color indexed="8"/>
            <rFont val="Times New Roman"/>
            <family val="1"/>
          </rPr>
          <t xml:space="preserve">Martin Shkreli:
</t>
        </r>
        <r>
          <rPr>
            <sz val="8"/>
            <color indexed="8"/>
            <rFont val="Times New Roman"/>
            <family val="1"/>
          </rPr>
          <t>1.04 - 1.06 guidance</t>
        </r>
      </text>
    </comment>
    <comment ref="AZ76" authorId="2" shapeId="0" xr:uid="{00000000-0006-0000-0700-00007D020000}">
      <text>
        <r>
          <rPr>
            <b/>
            <sz val="8"/>
            <color indexed="81"/>
            <rFont val="Tahoma"/>
            <family val="2"/>
          </rPr>
          <t>Martin Shkreli:</t>
        </r>
        <r>
          <rPr>
            <sz val="8"/>
            <color indexed="81"/>
            <rFont val="Tahoma"/>
            <family val="2"/>
          </rPr>
          <t xml:space="preserve">
0.06 negative currency impact</t>
        </r>
      </text>
    </comment>
    <comment ref="BB76" authorId="5" shapeId="0" xr:uid="{00000000-0006-0000-0700-00007E020000}">
      <text>
        <r>
          <rPr>
            <b/>
            <sz val="9"/>
            <color indexed="81"/>
            <rFont val="Tahoma"/>
            <family val="2"/>
          </rPr>
          <t>Martin:</t>
        </r>
        <r>
          <rPr>
            <sz val="9"/>
            <color indexed="81"/>
            <rFont val="Tahoma"/>
            <family val="2"/>
          </rPr>
          <t xml:space="preserve">
1.02 adjusted earnings</t>
        </r>
      </text>
    </comment>
    <comment ref="DQ76" authorId="2" shapeId="0" xr:uid="{00000000-0006-0000-0700-00007F020000}">
      <text>
        <r>
          <rPr>
            <b/>
            <sz val="8"/>
            <color indexed="81"/>
            <rFont val="Tahoma"/>
            <family val="2"/>
          </rPr>
          <t>Martin Shkreli:</t>
        </r>
        <r>
          <rPr>
            <sz val="8"/>
            <color indexed="81"/>
            <rFont val="Tahoma"/>
            <family val="2"/>
          </rPr>
          <t xml:space="preserve">
0.48 bear</t>
        </r>
      </text>
    </comment>
    <comment ref="DR76" authorId="2" shapeId="0" xr:uid="{00000000-0006-0000-0700-000080020000}">
      <text>
        <r>
          <rPr>
            <b/>
            <sz val="8"/>
            <color indexed="81"/>
            <rFont val="Tahoma"/>
            <family val="2"/>
          </rPr>
          <t>Martin Shkreli:</t>
        </r>
        <r>
          <rPr>
            <sz val="8"/>
            <color indexed="81"/>
            <rFont val="Tahoma"/>
            <family val="2"/>
          </rPr>
          <t xml:space="preserve">
0.55 bear</t>
        </r>
      </text>
    </comment>
    <comment ref="DS76" authorId="2" shapeId="0" xr:uid="{00000000-0006-0000-0700-000081020000}">
      <text>
        <r>
          <rPr>
            <b/>
            <sz val="8"/>
            <color indexed="81"/>
            <rFont val="Tahoma"/>
            <family val="2"/>
          </rPr>
          <t>Martin Shkreli:</t>
        </r>
        <r>
          <rPr>
            <sz val="8"/>
            <color indexed="81"/>
            <rFont val="Tahoma"/>
            <family val="2"/>
          </rPr>
          <t xml:space="preserve">
0.63 bear</t>
        </r>
      </text>
    </comment>
    <comment ref="DT76" authorId="2" shapeId="0" xr:uid="{00000000-0006-0000-0700-000082020000}">
      <text>
        <r>
          <rPr>
            <b/>
            <sz val="8"/>
            <color indexed="81"/>
            <rFont val="Tahoma"/>
            <family val="2"/>
          </rPr>
          <t>Martin Shkreli:</t>
        </r>
        <r>
          <rPr>
            <sz val="8"/>
            <color indexed="81"/>
            <rFont val="Tahoma"/>
            <family val="2"/>
          </rPr>
          <t xml:space="preserve">
0.69 bear</t>
        </r>
      </text>
    </comment>
    <comment ref="DU76" authorId="2" shapeId="0" xr:uid="{00000000-0006-0000-0700-000083020000}">
      <text>
        <r>
          <rPr>
            <b/>
            <sz val="8"/>
            <color indexed="81"/>
            <rFont val="Tahoma"/>
            <family val="2"/>
          </rPr>
          <t>Martin Shkreli:</t>
        </r>
        <r>
          <rPr>
            <sz val="8"/>
            <color indexed="81"/>
            <rFont val="Tahoma"/>
            <family val="2"/>
          </rPr>
          <t xml:space="preserve">
0.78 bear</t>
        </r>
      </text>
    </comment>
    <comment ref="DV76" authorId="2" shapeId="0" xr:uid="{00000000-0006-0000-0700-000084020000}">
      <text>
        <r>
          <rPr>
            <b/>
            <sz val="8"/>
            <color indexed="81"/>
            <rFont val="Tahoma"/>
            <family val="2"/>
          </rPr>
          <t>Martin Shkreli:</t>
        </r>
        <r>
          <rPr>
            <sz val="8"/>
            <color indexed="81"/>
            <rFont val="Tahoma"/>
            <family val="2"/>
          </rPr>
          <t xml:space="preserve">
0.93 bear</t>
        </r>
      </text>
    </comment>
    <comment ref="DW76" authorId="2" shapeId="0" xr:uid="{00000000-0006-0000-0700-000085020000}">
      <text>
        <r>
          <rPr>
            <b/>
            <sz val="8"/>
            <color indexed="81"/>
            <rFont val="Tahoma"/>
            <family val="2"/>
          </rPr>
          <t>Martin Shkreli:</t>
        </r>
        <r>
          <rPr>
            <sz val="8"/>
            <color indexed="81"/>
            <rFont val="Tahoma"/>
            <family val="2"/>
          </rPr>
          <t xml:space="preserve">
1.09 bear</t>
        </r>
      </text>
    </comment>
    <comment ref="DX76" authorId="2" shapeId="0" xr:uid="{00000000-0006-0000-0700-000086020000}">
      <text>
        <r>
          <rPr>
            <b/>
            <sz val="8"/>
            <color indexed="81"/>
            <rFont val="Tahoma"/>
            <family val="2"/>
          </rPr>
          <t>Martin Shkreli:</t>
        </r>
        <r>
          <rPr>
            <sz val="8"/>
            <color indexed="81"/>
            <rFont val="Tahoma"/>
            <family val="2"/>
          </rPr>
          <t xml:space="preserve">
1.17 bear</t>
        </r>
      </text>
    </comment>
    <comment ref="DY76" authorId="2" shapeId="0" xr:uid="{00000000-0006-0000-0700-000087020000}">
      <text>
        <r>
          <rPr>
            <b/>
            <sz val="8"/>
            <color indexed="81"/>
            <rFont val="Tahoma"/>
            <family val="2"/>
          </rPr>
          <t>Martin Shkreli:</t>
        </r>
        <r>
          <rPr>
            <sz val="8"/>
            <color indexed="81"/>
            <rFont val="Tahoma"/>
            <family val="2"/>
          </rPr>
          <t xml:space="preserve">
1.31 bear</t>
        </r>
      </text>
    </comment>
    <comment ref="DZ76" authorId="2" shapeId="0" xr:uid="{00000000-0006-0000-0700-000088020000}">
      <text>
        <r>
          <rPr>
            <b/>
            <sz val="8"/>
            <color indexed="81"/>
            <rFont val="Tahoma"/>
            <family val="2"/>
          </rPr>
          <t>Martin Shkreli:</t>
        </r>
        <r>
          <rPr>
            <sz val="8"/>
            <color indexed="81"/>
            <rFont val="Tahoma"/>
            <family val="2"/>
          </rPr>
          <t xml:space="preserve">
1.38 jpm
1.42 bear</t>
        </r>
      </text>
    </comment>
    <comment ref="EA76" authorId="2" shapeId="0" xr:uid="{00000000-0006-0000-0700-000089020000}">
      <text>
        <r>
          <rPr>
            <b/>
            <sz val="8"/>
            <color indexed="81"/>
            <rFont val="Tahoma"/>
            <family val="2"/>
          </rPr>
          <t>Martin Shkreli:</t>
        </r>
        <r>
          <rPr>
            <sz val="8"/>
            <color indexed="81"/>
            <rFont val="Tahoma"/>
            <family val="2"/>
          </rPr>
          <t xml:space="preserve">
1.63 jpm
1.63 bear</t>
        </r>
      </text>
    </comment>
    <comment ref="EB76" authorId="2" shapeId="0" xr:uid="{00000000-0006-0000-0700-00008A020000}">
      <text>
        <r>
          <rPr>
            <b/>
            <sz val="8"/>
            <color indexed="81"/>
            <rFont val="Tahoma"/>
            <family val="2"/>
          </rPr>
          <t>Martin Shkreli:</t>
        </r>
        <r>
          <rPr>
            <sz val="8"/>
            <color indexed="81"/>
            <rFont val="Tahoma"/>
            <family val="2"/>
          </rPr>
          <t xml:space="preserve">
1.91 bear</t>
        </r>
      </text>
    </comment>
    <comment ref="EC76" authorId="2" shapeId="0" xr:uid="{00000000-0006-0000-0700-00008B020000}">
      <text>
        <r>
          <rPr>
            <b/>
            <sz val="8"/>
            <color indexed="81"/>
            <rFont val="Tahoma"/>
            <family val="2"/>
          </rPr>
          <t>Martin Shkreli:</t>
        </r>
        <r>
          <rPr>
            <sz val="8"/>
            <color indexed="81"/>
            <rFont val="Tahoma"/>
            <family val="2"/>
          </rPr>
          <t xml:space="preserve">
2.23 bear</t>
        </r>
      </text>
    </comment>
    <comment ref="ED76" authorId="2" shapeId="0" xr:uid="{00000000-0006-0000-0700-00008C020000}">
      <text>
        <r>
          <rPr>
            <b/>
            <sz val="8"/>
            <color indexed="81"/>
            <rFont val="Tahoma"/>
            <family val="2"/>
          </rPr>
          <t>Martin Shkreli:</t>
        </r>
        <r>
          <rPr>
            <sz val="8"/>
            <color indexed="81"/>
            <rFont val="Tahoma"/>
            <family val="2"/>
          </rPr>
          <t xml:space="preserve">
2.65 bear</t>
        </r>
      </text>
    </comment>
    <comment ref="EE76" authorId="2" shapeId="0" xr:uid="{00000000-0006-0000-0700-00008D020000}">
      <text>
        <r>
          <rPr>
            <b/>
            <sz val="8"/>
            <color indexed="81"/>
            <rFont val="Tahoma"/>
            <family val="2"/>
          </rPr>
          <t>Martin Shkreli:</t>
        </r>
        <r>
          <rPr>
            <sz val="8"/>
            <color indexed="81"/>
            <rFont val="Tahoma"/>
            <family val="2"/>
          </rPr>
          <t xml:space="preserve">
3.10 bear</t>
        </r>
      </text>
    </comment>
    <comment ref="EF76" authorId="2" shapeId="0" xr:uid="{00000000-0006-0000-0700-00008E020000}">
      <text>
        <r>
          <rPr>
            <b/>
            <sz val="8"/>
            <color indexed="81"/>
            <rFont val="Tahoma"/>
            <family val="2"/>
          </rPr>
          <t>Martin Shkreli:</t>
        </r>
        <r>
          <rPr>
            <sz val="8"/>
            <color indexed="81"/>
            <rFont val="Tahoma"/>
            <family val="2"/>
          </rPr>
          <t xml:space="preserve">
3.49 bear</t>
        </r>
      </text>
    </comment>
    <comment ref="EH76" authorId="3" shapeId="0" xr:uid="{00000000-0006-0000-0700-00008F020000}">
      <text>
        <r>
          <rPr>
            <sz val="8"/>
            <color indexed="8"/>
            <rFont val="Times New Roman"/>
            <family val="1"/>
          </rPr>
          <t>Q207: reit 4.02-4.07
CONR deal modestly dilutive (0.02)
4.05-4.10 excl PCH
3.93-3.98 incl PCH
Offical # is 3.63. Official adjusted # is 4.15</t>
        </r>
      </text>
    </comment>
    <comment ref="EI76" authorId="3" shapeId="0" xr:uid="{00000000-0006-0000-0700-000090020000}">
      <text>
        <r>
          <rPr>
            <sz val="10"/>
            <color indexed="8"/>
            <rFont val="Arial"/>
            <family val="2"/>
          </rPr>
          <t>Q3: guidance raised to 4.50-4.53.
Q2: guidance raised to 4.45-4.50.</t>
        </r>
        <r>
          <rPr>
            <b/>
            <sz val="10"/>
            <color indexed="8"/>
            <rFont val="Arial"/>
            <family val="2"/>
          </rPr>
          <t xml:space="preserve">
</t>
        </r>
        <r>
          <rPr>
            <sz val="10"/>
            <color indexed="8"/>
            <rFont val="Arial"/>
            <family val="2"/>
          </rPr>
          <t>Q1: guidance raised to 4.40-4.45
excl special items 4.39-4.44.
Official # is 4.57. Official adjusted # is 4.55</t>
        </r>
      </text>
    </comment>
    <comment ref="EJ76" authorId="2" shapeId="0" xr:uid="{00000000-0006-0000-0700-000091020000}">
      <text>
        <r>
          <rPr>
            <b/>
            <sz val="8"/>
            <color indexed="81"/>
            <rFont val="Tahoma"/>
            <family val="2"/>
          </rPr>
          <t>Martin Shkreli:</t>
        </r>
        <r>
          <rPr>
            <sz val="8"/>
            <color indexed="81"/>
            <rFont val="Tahoma"/>
            <family val="2"/>
          </rPr>
          <t xml:space="preserve">
Q408: 4.45-4.55 incl 4-6c for CGRB, ELN
Q109: 4.45-4.55
Q209: 4.45-4.55
company ended with 4.63 as per their calc
started with 4.60-4.70 reported and ended 4.79 as per their calc</t>
        </r>
      </text>
    </comment>
    <comment ref="EK76" authorId="5" shapeId="0" xr:uid="{00000000-0006-0000-0700-000092020000}">
      <text>
        <r>
          <rPr>
            <b/>
            <sz val="9"/>
            <color indexed="81"/>
            <rFont val="Tahoma"/>
            <family val="2"/>
          </rPr>
          <t>Martin:</t>
        </r>
        <r>
          <rPr>
            <sz val="9"/>
            <color indexed="81"/>
            <rFont val="Tahoma"/>
            <family val="2"/>
          </rPr>
          <t xml:space="preserve">
Q310: 4.70-4.80, reflect currency
Q210: 4.65-4.75, consensus 4.71 as of 7/25/10
Q110: low end of 4.80-4.90 CC, consensus 4.84
Q409: 4.85-4.95, 4.80-4.90 CC</t>
        </r>
      </text>
    </comment>
    <comment ref="EL76" authorId="5" shapeId="0" xr:uid="{00000000-0006-0000-0700-000093020000}">
      <text>
        <r>
          <rPr>
            <b/>
            <sz val="9"/>
            <color indexed="81"/>
            <rFont val="Tahoma"/>
            <family val="2"/>
          </rPr>
          <t>Martin:</t>
        </r>
        <r>
          <rPr>
            <sz val="9"/>
            <color indexed="81"/>
            <rFont val="Tahoma"/>
            <family val="2"/>
          </rPr>
          <t xml:space="preserve">
Q311: 4.95-5.00</t>
        </r>
      </text>
    </comment>
    <comment ref="EM76" authorId="5" shapeId="0" xr:uid="{00000000-0006-0000-0700-000094020000}">
      <text>
        <r>
          <rPr>
            <b/>
            <sz val="9"/>
            <color indexed="81"/>
            <rFont val="Tahoma"/>
            <family val="2"/>
          </rPr>
          <t>Martin:</t>
        </r>
        <r>
          <rPr>
            <sz val="9"/>
            <color indexed="81"/>
            <rFont val="Tahoma"/>
            <family val="2"/>
          </rPr>
          <t xml:space="preserve">
5.05-5.15 set in Q411</t>
        </r>
      </text>
    </comment>
    <comment ref="EO76" authorId="5" shapeId="0" xr:uid="{00000000-0006-0000-0700-000095020000}">
      <text>
        <r>
          <rPr>
            <b/>
            <sz val="9"/>
            <color indexed="81"/>
            <rFont val="Tahoma"/>
            <family val="2"/>
          </rPr>
          <t>Martin:</t>
        </r>
        <r>
          <rPr>
            <sz val="9"/>
            <color indexed="81"/>
            <rFont val="Tahoma"/>
            <family val="2"/>
          </rPr>
          <t xml:space="preserve">
Q214: 5.85-5.92</t>
        </r>
      </text>
    </comment>
    <comment ref="K77" authorId="2" shapeId="0" xr:uid="{00000000-0006-0000-0700-000096020000}">
      <text>
        <r>
          <rPr>
            <b/>
            <sz val="8"/>
            <color indexed="81"/>
            <rFont val="Tahoma"/>
            <family val="2"/>
          </rPr>
          <t>Martin Shkreli:</t>
        </r>
        <r>
          <rPr>
            <sz val="8"/>
            <color indexed="81"/>
            <rFont val="Tahoma"/>
            <family val="2"/>
          </rPr>
          <t xml:space="preserve">
3106 jpm</t>
        </r>
      </text>
    </comment>
    <comment ref="L77" authorId="2" shapeId="0" xr:uid="{00000000-0006-0000-0700-000097020000}">
      <text>
        <r>
          <rPr>
            <b/>
            <sz val="8"/>
            <color indexed="81"/>
            <rFont val="Tahoma"/>
            <family val="2"/>
          </rPr>
          <t>Martin Shkreli:</t>
        </r>
        <r>
          <rPr>
            <sz val="8"/>
            <color indexed="81"/>
            <rFont val="Tahoma"/>
            <family val="2"/>
          </rPr>
          <t xml:space="preserve">
3109 jpm</t>
        </r>
      </text>
    </comment>
    <comment ref="M77" authorId="2" shapeId="0" xr:uid="{00000000-0006-0000-0700-000098020000}">
      <text>
        <r>
          <rPr>
            <b/>
            <sz val="8"/>
            <color indexed="81"/>
            <rFont val="Tahoma"/>
            <family val="2"/>
          </rPr>
          <t>Martin Shkreli:</t>
        </r>
        <r>
          <rPr>
            <sz val="8"/>
            <color indexed="81"/>
            <rFont val="Tahoma"/>
            <family val="2"/>
          </rPr>
          <t xml:space="preserve">
3105 jpm</t>
        </r>
      </text>
    </comment>
    <comment ref="N77" authorId="2" shapeId="0" xr:uid="{00000000-0006-0000-0700-000099020000}">
      <text>
        <r>
          <rPr>
            <b/>
            <sz val="8"/>
            <color indexed="81"/>
            <rFont val="Tahoma"/>
            <family val="2"/>
          </rPr>
          <t>Martin Shkreli:</t>
        </r>
        <r>
          <rPr>
            <sz val="8"/>
            <color indexed="81"/>
            <rFont val="Tahoma"/>
            <family val="2"/>
          </rPr>
          <t xml:space="preserve">
3106 jpm</t>
        </r>
      </text>
    </comment>
    <comment ref="O77" authorId="2" shapeId="0" xr:uid="{00000000-0006-0000-0700-00009A020000}">
      <text>
        <r>
          <rPr>
            <b/>
            <sz val="8"/>
            <color indexed="81"/>
            <rFont val="Tahoma"/>
            <family val="2"/>
          </rPr>
          <t>Martin Shkreli:</t>
        </r>
        <r>
          <rPr>
            <sz val="8"/>
            <color indexed="81"/>
            <rFont val="Tahoma"/>
            <family val="2"/>
          </rPr>
          <t xml:space="preserve">
3087 jpm
3087 bear</t>
        </r>
      </text>
    </comment>
    <comment ref="P77" authorId="2" shapeId="0" xr:uid="{00000000-0006-0000-0700-00009B020000}">
      <text>
        <r>
          <rPr>
            <b/>
            <sz val="8"/>
            <color indexed="81"/>
            <rFont val="Tahoma"/>
            <family val="2"/>
          </rPr>
          <t>Martin Shkreli:</t>
        </r>
        <r>
          <rPr>
            <sz val="8"/>
            <color indexed="81"/>
            <rFont val="Tahoma"/>
            <family val="2"/>
          </rPr>
          <t xml:space="preserve">
3095 jpm
3095 bear</t>
        </r>
      </text>
    </comment>
    <comment ref="Q77" authorId="2" shapeId="0" xr:uid="{00000000-0006-0000-0700-00009C020000}">
      <text>
        <r>
          <rPr>
            <b/>
            <sz val="8"/>
            <color indexed="81"/>
            <rFont val="Tahoma"/>
            <family val="2"/>
          </rPr>
          <t>Martin Shkreli:</t>
        </r>
        <r>
          <rPr>
            <sz val="8"/>
            <color indexed="81"/>
            <rFont val="Tahoma"/>
            <family val="2"/>
          </rPr>
          <t xml:space="preserve">
3113 jpm
3113 bear</t>
        </r>
      </text>
    </comment>
    <comment ref="R77" authorId="2" shapeId="0" xr:uid="{00000000-0006-0000-0700-00009D020000}">
      <text>
        <r>
          <rPr>
            <b/>
            <sz val="8"/>
            <color indexed="81"/>
            <rFont val="Tahoma"/>
            <family val="2"/>
          </rPr>
          <t>Martin Shkreli:</t>
        </r>
        <r>
          <rPr>
            <sz val="8"/>
            <color indexed="81"/>
            <rFont val="Tahoma"/>
            <family val="2"/>
          </rPr>
          <t xml:space="preserve">
3118 jpm
3118 bear</t>
        </r>
      </text>
    </comment>
    <comment ref="S77" authorId="2" shapeId="0" xr:uid="{00000000-0006-0000-0700-00009E020000}">
      <text>
        <r>
          <rPr>
            <b/>
            <sz val="8"/>
            <color indexed="81"/>
            <rFont val="Tahoma"/>
            <family val="2"/>
          </rPr>
          <t>Martin Shkreli:</t>
        </r>
        <r>
          <rPr>
            <sz val="8"/>
            <color indexed="81"/>
            <rFont val="Tahoma"/>
            <family val="2"/>
          </rPr>
          <t xml:space="preserve">
3106 bear</t>
        </r>
      </text>
    </comment>
    <comment ref="X77" authorId="2" shapeId="0" xr:uid="{00000000-0006-0000-0700-00009F020000}">
      <text>
        <r>
          <rPr>
            <b/>
            <sz val="8"/>
            <color indexed="81"/>
            <rFont val="Tahoma"/>
            <family val="2"/>
          </rPr>
          <t>Martin Shkreli:</t>
        </r>
        <r>
          <rPr>
            <sz val="8"/>
            <color indexed="81"/>
            <rFont val="Tahoma"/>
            <family val="2"/>
          </rPr>
          <t xml:space="preserve">
3087 bear</t>
        </r>
      </text>
    </comment>
    <comment ref="AB77" authorId="2" shapeId="0" xr:uid="{00000000-0006-0000-0700-0000A0020000}">
      <text>
        <r>
          <rPr>
            <b/>
            <sz val="8"/>
            <color indexed="81"/>
            <rFont val="Tahoma"/>
            <family val="2"/>
          </rPr>
          <t>Martin Shkreli:</t>
        </r>
        <r>
          <rPr>
            <sz val="8"/>
            <color indexed="81"/>
            <rFont val="Tahoma"/>
            <family val="2"/>
          </rPr>
          <t xml:space="preserve">
3016 bear
3028 JPM</t>
        </r>
      </text>
    </comment>
    <comment ref="AK77" authorId="2" shapeId="0" xr:uid="{00000000-0006-0000-0700-0000A1020000}">
      <text>
        <r>
          <rPr>
            <b/>
            <sz val="8"/>
            <color indexed="81"/>
            <rFont val="Tahoma"/>
            <family val="2"/>
          </rPr>
          <t>Martin Shkreli:</t>
        </r>
        <r>
          <rPr>
            <sz val="8"/>
            <color indexed="81"/>
            <rFont val="Tahoma"/>
            <family val="2"/>
          </rPr>
          <t xml:space="preserve">
3017 bear</t>
        </r>
      </text>
    </comment>
    <comment ref="AL77" authorId="2" shapeId="0" xr:uid="{00000000-0006-0000-0700-0000A2020000}">
      <text>
        <r>
          <rPr>
            <b/>
            <sz val="8"/>
            <color indexed="81"/>
            <rFont val="Tahoma"/>
            <family val="2"/>
          </rPr>
          <t>Martin Shkreli:</t>
        </r>
        <r>
          <rPr>
            <sz val="8"/>
            <color indexed="81"/>
            <rFont val="Tahoma"/>
            <family val="2"/>
          </rPr>
          <t xml:space="preserve">
3009 bear</t>
        </r>
      </text>
    </comment>
    <comment ref="AM77" authorId="3" shapeId="0" xr:uid="{00000000-0006-0000-0700-0000A3020000}">
      <text>
        <r>
          <rPr>
            <sz val="8"/>
            <color indexed="8"/>
            <rFont val="Times New Roman"/>
            <family val="1"/>
          </rPr>
          <t>5B repurchase program</t>
        </r>
      </text>
    </comment>
    <comment ref="DQ77" authorId="2" shapeId="0" xr:uid="{00000000-0006-0000-0700-0000A4020000}">
      <text>
        <r>
          <rPr>
            <b/>
            <sz val="8"/>
            <color indexed="81"/>
            <rFont val="Tahoma"/>
            <family val="2"/>
          </rPr>
          <t>Martin Shkreli:</t>
        </r>
        <r>
          <rPr>
            <sz val="8"/>
            <color indexed="81"/>
            <rFont val="Tahoma"/>
            <family val="2"/>
          </rPr>
          <t xml:space="preserve">
2433 bear</t>
        </r>
      </text>
    </comment>
    <comment ref="DR77" authorId="2" shapeId="0" xr:uid="{00000000-0006-0000-0700-0000A5020000}">
      <text>
        <r>
          <rPr>
            <b/>
            <sz val="8"/>
            <color indexed="81"/>
            <rFont val="Tahoma"/>
            <family val="2"/>
          </rPr>
          <t>Martin Shkreli:</t>
        </r>
        <r>
          <rPr>
            <sz val="8"/>
            <color indexed="81"/>
            <rFont val="Tahoma"/>
            <family val="2"/>
          </rPr>
          <t xml:space="preserve">
2620 bear</t>
        </r>
      </text>
    </comment>
    <comment ref="DS77" authorId="2" shapeId="0" xr:uid="{00000000-0006-0000-0700-0000A6020000}">
      <text>
        <r>
          <rPr>
            <b/>
            <sz val="8"/>
            <color indexed="81"/>
            <rFont val="Tahoma"/>
            <family val="2"/>
          </rPr>
          <t>Martin Shkreli:</t>
        </r>
        <r>
          <rPr>
            <sz val="8"/>
            <color indexed="81"/>
            <rFont val="Tahoma"/>
            <family val="2"/>
          </rPr>
          <t xml:space="preserve">
2495 bear</t>
        </r>
      </text>
    </comment>
    <comment ref="DT77" authorId="2" shapeId="0" xr:uid="{00000000-0006-0000-0700-0000A7020000}">
      <text>
        <r>
          <rPr>
            <b/>
            <sz val="8"/>
            <color indexed="81"/>
            <rFont val="Tahoma"/>
            <family val="2"/>
          </rPr>
          <t>Martin Shkreli:</t>
        </r>
        <r>
          <rPr>
            <sz val="8"/>
            <color indexed="81"/>
            <rFont val="Tahoma"/>
            <family val="2"/>
          </rPr>
          <t xml:space="preserve">
2588 bear</t>
        </r>
      </text>
    </comment>
    <comment ref="DU77" authorId="2" shapeId="0" xr:uid="{00000000-0006-0000-0700-0000A8020000}">
      <text>
        <r>
          <rPr>
            <b/>
            <sz val="8"/>
            <color indexed="81"/>
            <rFont val="Tahoma"/>
            <family val="2"/>
          </rPr>
          <t>Martin Shkreli:</t>
        </r>
        <r>
          <rPr>
            <sz val="8"/>
            <color indexed="81"/>
            <rFont val="Tahoma"/>
            <family val="2"/>
          </rPr>
          <t xml:space="preserve">
2562 bear</t>
        </r>
      </text>
    </comment>
    <comment ref="DV77" authorId="2" shapeId="0" xr:uid="{00000000-0006-0000-0700-0000A9020000}">
      <text>
        <r>
          <rPr>
            <b/>
            <sz val="8"/>
            <color indexed="81"/>
            <rFont val="Tahoma"/>
            <family val="2"/>
          </rPr>
          <t>Martin Shkreli:</t>
        </r>
        <r>
          <rPr>
            <sz val="8"/>
            <color indexed="81"/>
            <rFont val="Tahoma"/>
            <family val="2"/>
          </rPr>
          <t xml:space="preserve">
2600 bear</t>
        </r>
      </text>
    </comment>
    <comment ref="DW77" authorId="2" shapeId="0" xr:uid="{00000000-0006-0000-0700-0000AA020000}">
      <text>
        <r>
          <rPr>
            <b/>
            <sz val="8"/>
            <color indexed="81"/>
            <rFont val="Tahoma"/>
            <family val="2"/>
          </rPr>
          <t>Martin Shkreli:</t>
        </r>
        <r>
          <rPr>
            <sz val="8"/>
            <color indexed="81"/>
            <rFont val="Tahoma"/>
            <family val="2"/>
          </rPr>
          <t xml:space="preserve">
2714 bear</t>
        </r>
      </text>
    </comment>
    <comment ref="DX77" authorId="2" shapeId="0" xr:uid="{00000000-0006-0000-0700-0000AB020000}">
      <text>
        <r>
          <rPr>
            <b/>
            <sz val="8"/>
            <color indexed="81"/>
            <rFont val="Tahoma"/>
            <family val="2"/>
          </rPr>
          <t>Martin Shkreli:</t>
        </r>
        <r>
          <rPr>
            <sz val="8"/>
            <color indexed="81"/>
            <rFont val="Tahoma"/>
            <family val="2"/>
          </rPr>
          <t xml:space="preserve">
2967 bear</t>
        </r>
      </text>
    </comment>
    <comment ref="DY77" authorId="2" shapeId="0" xr:uid="{00000000-0006-0000-0700-0000AC020000}">
      <text>
        <r>
          <rPr>
            <b/>
            <sz val="8"/>
            <color indexed="81"/>
            <rFont val="Tahoma"/>
            <family val="2"/>
          </rPr>
          <t>Martin Shkreli:</t>
        </r>
        <r>
          <rPr>
            <sz val="8"/>
            <color indexed="81"/>
            <rFont val="Tahoma"/>
            <family val="2"/>
          </rPr>
          <t xml:space="preserve">
3017 bear</t>
        </r>
      </text>
    </comment>
    <comment ref="DZ77" authorId="2" shapeId="0" xr:uid="{00000000-0006-0000-0700-0000AD020000}">
      <text>
        <r>
          <rPr>
            <b/>
            <sz val="8"/>
            <color indexed="81"/>
            <rFont val="Tahoma"/>
            <family val="2"/>
          </rPr>
          <t>Martin Shkreli:</t>
        </r>
        <r>
          <rPr>
            <sz val="8"/>
            <color indexed="81"/>
            <rFont val="Tahoma"/>
            <family val="2"/>
          </rPr>
          <t xml:space="preserve">
3103 jpm
3009 bear</t>
        </r>
      </text>
    </comment>
    <comment ref="EA77" authorId="2" shapeId="0" xr:uid="{00000000-0006-0000-0700-0000AE020000}">
      <text>
        <r>
          <rPr>
            <b/>
            <sz val="8"/>
            <color indexed="81"/>
            <rFont val="Tahoma"/>
            <family val="2"/>
          </rPr>
          <t>Martin Shkreli:</t>
        </r>
        <r>
          <rPr>
            <sz val="8"/>
            <color indexed="81"/>
            <rFont val="Tahoma"/>
            <family val="2"/>
          </rPr>
          <t xml:space="preserve">
3099 jpm
3103 bear</t>
        </r>
      </text>
    </comment>
    <comment ref="EB77" authorId="2" shapeId="0" xr:uid="{00000000-0006-0000-0700-0000AF020000}">
      <text>
        <r>
          <rPr>
            <b/>
            <sz val="8"/>
            <color indexed="81"/>
            <rFont val="Tahoma"/>
            <family val="2"/>
          </rPr>
          <t>Martin Shkreli:</t>
        </r>
        <r>
          <rPr>
            <sz val="8"/>
            <color indexed="81"/>
            <rFont val="Tahoma"/>
            <family val="2"/>
          </rPr>
          <t xml:space="preserve">
3112 bear</t>
        </r>
      </text>
    </comment>
    <comment ref="EC77" authorId="2" shapeId="0" xr:uid="{00000000-0006-0000-0700-0000B0020000}">
      <text>
        <r>
          <rPr>
            <b/>
            <sz val="8"/>
            <color indexed="81"/>
            <rFont val="Tahoma"/>
            <family val="2"/>
          </rPr>
          <t>Martin Shkreli:</t>
        </r>
        <r>
          <rPr>
            <sz val="8"/>
            <color indexed="81"/>
            <rFont val="Tahoma"/>
            <family val="2"/>
          </rPr>
          <t xml:space="preserve">
3063 bear</t>
        </r>
      </text>
    </comment>
    <comment ref="ED77" authorId="2" shapeId="0" xr:uid="{00000000-0006-0000-0700-0000B1020000}">
      <text>
        <r>
          <rPr>
            <b/>
            <sz val="8"/>
            <color indexed="81"/>
            <rFont val="Tahoma"/>
            <family val="2"/>
          </rPr>
          <t>Martin Shkreli:</t>
        </r>
        <r>
          <rPr>
            <sz val="8"/>
            <color indexed="81"/>
            <rFont val="Tahoma"/>
            <family val="2"/>
          </rPr>
          <t xml:space="preserve">
3012 bear</t>
        </r>
      </text>
    </comment>
    <comment ref="EE77" authorId="2" shapeId="0" xr:uid="{00000000-0006-0000-0700-0000B2020000}">
      <text>
        <r>
          <rPr>
            <b/>
            <sz val="8"/>
            <color indexed="81"/>
            <rFont val="Tahoma"/>
            <family val="2"/>
          </rPr>
          <t>Martin Shkreli:</t>
        </r>
        <r>
          <rPr>
            <sz val="8"/>
            <color indexed="81"/>
            <rFont val="Tahoma"/>
            <family val="2"/>
          </rPr>
          <t xml:space="preserve">
3008 bear</t>
        </r>
      </text>
    </comment>
    <comment ref="EF77" authorId="2" shapeId="0" xr:uid="{00000000-0006-0000-0700-0000B3020000}">
      <text>
        <r>
          <rPr>
            <b/>
            <sz val="8"/>
            <color indexed="81"/>
            <rFont val="Tahoma"/>
            <family val="2"/>
          </rPr>
          <t>Martin Shkreli:</t>
        </r>
        <r>
          <rPr>
            <sz val="8"/>
            <color indexed="81"/>
            <rFont val="Tahoma"/>
            <family val="2"/>
          </rPr>
          <t xml:space="preserve">
3019 bear</t>
        </r>
      </text>
    </comment>
    <comment ref="BD78" authorId="4" shapeId="0" xr:uid="{00000000-0006-0000-0700-0000B4020000}">
      <text>
        <r>
          <rPr>
            <b/>
            <sz val="9"/>
            <color indexed="81"/>
            <rFont val="Tahoma"/>
            <family val="2"/>
          </rPr>
          <t>MSMB:</t>
        </r>
        <r>
          <rPr>
            <sz val="9"/>
            <color indexed="81"/>
            <rFont val="Tahoma"/>
            <family val="2"/>
          </rPr>
          <t xml:space="preserve">
was 1.24</t>
        </r>
      </text>
    </comment>
    <comment ref="EG78" authorId="3" shapeId="0" xr:uid="{00000000-0006-0000-0700-0000B5020000}">
      <text>
        <r>
          <rPr>
            <b/>
            <sz val="8"/>
            <color indexed="8"/>
            <rFont val="Times New Roman"/>
            <family val="1"/>
          </rPr>
          <t xml:space="preserve">Martin Shkreli:
</t>
        </r>
        <r>
          <rPr>
            <sz val="8"/>
            <color indexed="8"/>
            <rFont val="Times New Roman"/>
            <family val="1"/>
          </rPr>
          <t>Guidance 3.65-3.72 (but not comfortable &gt;3.70)</t>
        </r>
      </text>
    </comment>
    <comment ref="EH78" authorId="3" shapeId="0" xr:uid="{00000000-0006-0000-0700-0000B6020000}">
      <text>
        <r>
          <rPr>
            <b/>
            <sz val="8"/>
            <color indexed="8"/>
            <rFont val="Times New Roman"/>
            <family val="1"/>
          </rPr>
          <t xml:space="preserve">Martin Shkreli:
</t>
        </r>
        <r>
          <rPr>
            <sz val="8"/>
            <color indexed="8"/>
            <rFont val="Times New Roman"/>
            <family val="1"/>
          </rPr>
          <t>consensus of 4.05, company comortable with this. Was 3.92.</t>
        </r>
      </text>
    </comment>
    <comment ref="EI78" authorId="3" shapeId="0" xr:uid="{00000000-0006-0000-0700-0000B7020000}">
      <text>
        <r>
          <rPr>
            <sz val="8"/>
            <color indexed="8"/>
            <rFont val="Times New Roman"/>
            <family val="1"/>
          </rPr>
          <t>was 4.35
was 4.30
was 4.24
"CONR deal neutral"</t>
        </r>
      </text>
    </comment>
    <comment ref="EJ78" authorId="3" shapeId="0" xr:uid="{00000000-0006-0000-0700-0000B8020000}">
      <text>
        <r>
          <rPr>
            <sz val="8"/>
            <color indexed="8"/>
            <rFont val="Times New Roman"/>
            <family val="1"/>
          </rPr>
          <t>Q109: 4.49
was 4.71
was 4.70
was 4.64
was 4.47</t>
        </r>
      </text>
    </comment>
    <comment ref="EK78" authorId="3" shapeId="0" xr:uid="{00000000-0006-0000-0700-0000B9020000}">
      <text>
        <r>
          <rPr>
            <sz val="8"/>
            <color indexed="8"/>
            <rFont val="Times New Roman"/>
            <family val="1"/>
          </rPr>
          <t>was 5.20
was 5.10
was 4.96
was 4.90
was 4.87
was 4.92
was 4.71</t>
        </r>
      </text>
    </comment>
    <comment ref="EL78" authorId="3" shapeId="0" xr:uid="{00000000-0006-0000-0700-0000BA020000}">
      <text>
        <r>
          <rPr>
            <sz val="8"/>
            <color indexed="8"/>
            <rFont val="Times New Roman"/>
            <family val="1"/>
          </rPr>
          <t>was 5.80
was 5.57
was 5.26
was 5.21
was 5.10
was 5.37</t>
        </r>
      </text>
    </comment>
    <comment ref="EM78" authorId="2" shapeId="0" xr:uid="{00000000-0006-0000-0700-0000BB020000}">
      <text>
        <r>
          <rPr>
            <b/>
            <sz val="8"/>
            <color indexed="81"/>
            <rFont val="Tahoma"/>
            <family val="2"/>
          </rPr>
          <t>Martin Shkreli:</t>
        </r>
        <r>
          <rPr>
            <sz val="8"/>
            <color indexed="81"/>
            <rFont val="Tahoma"/>
            <family val="2"/>
          </rPr>
          <t xml:space="preserve">
was 6.39
was 6.22
was 5.83</t>
        </r>
      </text>
    </comment>
    <comment ref="EN78" authorId="0" shapeId="0" xr:uid="{00000000-0006-0000-0700-0000BC020000}">
      <text>
        <r>
          <rPr>
            <b/>
            <sz val="9"/>
            <color indexed="81"/>
            <rFont val="Tahoma"/>
            <family val="2"/>
          </rPr>
          <t>MSMB - Andre:</t>
        </r>
        <r>
          <rPr>
            <sz val="9"/>
            <color indexed="81"/>
            <rFont val="Tahoma"/>
            <family val="2"/>
          </rPr>
          <t xml:space="preserve">
was 6.28</t>
        </r>
      </text>
    </comment>
    <comment ref="EO78" authorId="0" shapeId="0" xr:uid="{00000000-0006-0000-0700-0000BD020000}">
      <text>
        <r>
          <rPr>
            <b/>
            <sz val="9"/>
            <color indexed="81"/>
            <rFont val="Tahoma"/>
            <family val="2"/>
          </rPr>
          <t>MSMB - Andre:</t>
        </r>
        <r>
          <rPr>
            <sz val="9"/>
            <color indexed="81"/>
            <rFont val="Tahoma"/>
            <family val="2"/>
          </rPr>
          <t xml:space="preserve">
was 6.59</t>
        </r>
      </text>
    </comment>
    <comment ref="BM80" authorId="5" shapeId="0" xr:uid="{00000000-0006-0000-0700-0000BE020000}">
      <text>
        <r>
          <rPr>
            <b/>
            <sz val="9"/>
            <color indexed="81"/>
            <rFont val="Tahoma"/>
            <family val="2"/>
          </rPr>
          <t>Martin:</t>
        </r>
        <r>
          <rPr>
            <sz val="9"/>
            <color indexed="81"/>
            <rFont val="Tahoma"/>
            <family val="2"/>
          </rPr>
          <t xml:space="preserve">
"operational" growth of 10.8% with (4.3%) currency, but net of Synthes 5.0% was the real organic growth</t>
        </r>
      </text>
    </comment>
    <comment ref="DB80" authorId="54" shapeId="0" xr:uid="{47E31BE2-838E-4EBA-9A38-C2759A423A09}">
      <text>
        <t>[Threaded comment]
Your version of Excel allows you to read this threaded comment; however, any edits to it will get removed if the file is opened in a newer version of Excel. Learn more: https://go.microsoft.com/fwlink/?linkid=870924
Comment:
    +4.6% excluding COVID</t>
      </text>
    </comment>
    <comment ref="EG80" authorId="3" shapeId="0" xr:uid="{00000000-0006-0000-0700-0000BF020000}">
      <text>
        <r>
          <rPr>
            <b/>
            <sz val="8"/>
            <color indexed="8"/>
            <rFont val="Times New Roman"/>
            <family val="1"/>
          </rPr>
          <t xml:space="preserve">Martin Shkreli:
</t>
        </r>
        <r>
          <rPr>
            <sz val="8"/>
            <color indexed="8"/>
            <rFont val="Times New Roman"/>
            <family val="1"/>
          </rPr>
          <t>expect 6% operational sales growth compared to 6-8% previously</t>
        </r>
      </text>
    </comment>
    <comment ref="EI80" authorId="3" shapeId="0" xr:uid="{00000000-0006-0000-0700-0000C0020000}">
      <text>
        <r>
          <rPr>
            <sz val="8"/>
            <color indexed="8"/>
            <rFont val="Times New Roman"/>
            <family val="1"/>
          </rPr>
          <t>Guidance on Q208 call: 
1-2% op growth. 4.5% favorable currency impact if exchange rates don't change. 4-5% growth</t>
        </r>
      </text>
    </comment>
    <comment ref="EZ80" authorId="55" shapeId="0" xr:uid="{F334ADFF-6994-46CA-BD6D-7E5F03FAEE05}">
      <text>
        <t>[Threaded comment]
Your version of Excel allows you to read this threaded comment; however, any edits to it will get removed if the file is opened in a newer version of Excel. Learn more: https://go.microsoft.com/fwlink/?linkid=870924
Comment:
    Excluding impact of consumer divestiture</t>
      </text>
    </comment>
    <comment ref="EJ84" authorId="0" shapeId="0" xr:uid="{00000000-0006-0000-0700-0000C1020000}">
      <text>
        <r>
          <rPr>
            <sz val="9"/>
            <color indexed="81"/>
            <rFont val="Tahoma"/>
            <family val="2"/>
          </rPr>
          <t>1.8% claimed by JNJ</t>
        </r>
      </text>
    </comment>
    <comment ref="BM93" authorId="5" shapeId="0" xr:uid="{00000000-0006-0000-0700-0000C2020000}">
      <text>
        <r>
          <rPr>
            <b/>
            <sz val="9"/>
            <color indexed="81"/>
            <rFont val="Tahoma"/>
            <family val="2"/>
          </rPr>
          <t>Martin:</t>
        </r>
        <r>
          <rPr>
            <sz val="9"/>
            <color indexed="81"/>
            <rFont val="Tahoma"/>
            <family val="2"/>
          </rPr>
          <t xml:space="preserve">
Synthes
</t>
        </r>
      </text>
    </comment>
    <comment ref="EJ93" authorId="0" shapeId="0" xr:uid="{00000000-0006-0000-0700-0000C3020000}">
      <text>
        <r>
          <rPr>
            <sz val="9"/>
            <color indexed="81"/>
            <rFont val="Tahoma"/>
            <family val="2"/>
          </rPr>
          <t>8% operational growth</t>
        </r>
      </text>
    </comment>
    <comment ref="EJ94" authorId="0" shapeId="0" xr:uid="{00000000-0006-0000-0700-0000C4020000}">
      <text>
        <r>
          <rPr>
            <sz val="9"/>
            <color indexed="81"/>
            <rFont val="Tahoma"/>
            <family val="2"/>
          </rPr>
          <t>11% operational</t>
        </r>
      </text>
    </comment>
    <comment ref="EJ95" authorId="0" shapeId="0" xr:uid="{00000000-0006-0000-0700-0000C5020000}">
      <text>
        <r>
          <rPr>
            <sz val="9"/>
            <color indexed="81"/>
            <rFont val="Tahoma"/>
            <family val="2"/>
          </rPr>
          <t>8% operational</t>
        </r>
      </text>
    </comment>
    <comment ref="AM98" authorId="3" shapeId="0" xr:uid="{00000000-0006-0000-0700-0000C6020000}">
      <text>
        <r>
          <rPr>
            <b/>
            <sz val="8"/>
            <color indexed="8"/>
            <rFont val="Times New Roman"/>
            <family val="1"/>
          </rPr>
          <t xml:space="preserve">Martin Shkreli:
</t>
        </r>
        <r>
          <rPr>
            <sz val="8"/>
            <color indexed="8"/>
            <rFont val="Times New Roman"/>
            <family val="1"/>
          </rPr>
          <t>unfavorable product mix offset by cost improvement initatives</t>
        </r>
      </text>
    </comment>
    <comment ref="BB98" authorId="0" shapeId="0" xr:uid="{00000000-0006-0000-0700-0000C7020000}">
      <text>
        <r>
          <rPr>
            <b/>
            <sz val="9"/>
            <color indexed="81"/>
            <rFont val="Tahoma"/>
            <family val="2"/>
          </rPr>
          <t>MSMB - Andre:</t>
        </r>
        <r>
          <rPr>
            <sz val="9"/>
            <color indexed="81"/>
            <rFont val="Tahoma"/>
            <family val="2"/>
          </rPr>
          <t xml:space="preserve">
Some part of COGS decline is restructuring, some part is mix.</t>
        </r>
      </text>
    </comment>
    <comment ref="EC98" authorId="3" shapeId="0" xr:uid="{00000000-0006-0000-0700-0000C8020000}">
      <text>
        <r>
          <rPr>
            <b/>
            <sz val="8"/>
            <color indexed="8"/>
            <rFont val="Times New Roman"/>
            <family val="1"/>
          </rPr>
          <t xml:space="preserve">Bloomberg:
</t>
        </r>
        <r>
          <rPr>
            <sz val="8"/>
            <color indexed="8"/>
            <rFont val="Times New Roman"/>
            <family val="1"/>
          </rPr>
          <t>GMs peak with Procrit</t>
        </r>
      </text>
    </comment>
    <comment ref="EH103" authorId="3" shapeId="0" xr:uid="{00000000-0006-0000-0700-0000C9020000}">
      <text>
        <r>
          <rPr>
            <b/>
            <sz val="8"/>
            <color indexed="8"/>
            <rFont val="Times New Roman"/>
            <family val="1"/>
          </rPr>
          <t xml:space="preserve">Martin Shkreli:
</t>
        </r>
        <r>
          <rPr>
            <sz val="8"/>
            <color indexed="8"/>
            <rFont val="Times New Roman"/>
            <family val="1"/>
          </rPr>
          <t>24-24.5% guid</t>
        </r>
      </text>
    </comment>
    <comment ref="DT106" authorId="3" shapeId="0" xr:uid="{00000000-0006-0000-0700-0000CA020000}">
      <text>
        <r>
          <rPr>
            <b/>
            <sz val="8"/>
            <color indexed="8"/>
            <rFont val="Times New Roman"/>
            <family val="1"/>
          </rPr>
          <t xml:space="preserve">Bloomberg:
</t>
        </r>
        <r>
          <rPr>
            <sz val="8"/>
            <color indexed="8"/>
            <rFont val="Times New Roman"/>
            <family val="1"/>
          </rPr>
          <t>Duragesic, Prcrit/Eprex, Ergamisol, Floxin, Hismanal, Omdium, Motilium, Leustatin, Nizoral, Sporanox, Terazol, Orthoclone OKT-3, Ortho-Novum, Prepulsid, Retin-A</t>
        </r>
      </text>
    </comment>
    <comment ref="DZ106" authorId="2" shapeId="0" xr:uid="{00000000-0006-0000-0700-0000CB020000}">
      <text>
        <r>
          <rPr>
            <b/>
            <sz val="8"/>
            <color indexed="81"/>
            <rFont val="Tahoma"/>
            <family val="2"/>
          </rPr>
          <t>Martin Shkreli:</t>
        </r>
        <r>
          <rPr>
            <sz val="8"/>
            <color indexed="81"/>
            <rFont val="Tahoma"/>
            <family val="2"/>
          </rPr>
          <t xml:space="preserve">
11230 JPM</t>
        </r>
      </text>
    </comment>
    <comment ref="EA106" authorId="2" shapeId="0" xr:uid="{00000000-0006-0000-0700-0000CC020000}">
      <text>
        <r>
          <rPr>
            <b/>
            <sz val="8"/>
            <color indexed="81"/>
            <rFont val="Tahoma"/>
            <family val="2"/>
          </rPr>
          <t>Martin Shkreli:</t>
        </r>
        <r>
          <rPr>
            <sz val="8"/>
            <color indexed="81"/>
            <rFont val="Tahoma"/>
            <family val="2"/>
          </rPr>
          <t xml:space="preserve">
12661 bear</t>
        </r>
      </text>
    </comment>
    <comment ref="EJ106" authorId="2" shapeId="0" xr:uid="{00000000-0006-0000-0700-0000CD020000}">
      <text>
        <r>
          <rPr>
            <b/>
            <sz val="8"/>
            <color indexed="81"/>
            <rFont val="Tahoma"/>
            <family val="2"/>
          </rPr>
          <t>Martin Shkreli:</t>
        </r>
        <r>
          <rPr>
            <sz val="8"/>
            <color indexed="81"/>
            <rFont val="Tahoma"/>
            <family val="2"/>
          </rPr>
          <t xml:space="preserve">
was 26 many years ago</t>
        </r>
      </text>
    </comment>
    <comment ref="EK106" authorId="2" shapeId="0" xr:uid="{00000000-0006-0000-0700-0000CE020000}">
      <text>
        <r>
          <rPr>
            <b/>
            <sz val="8"/>
            <color indexed="81"/>
            <rFont val="Tahoma"/>
            <family val="2"/>
          </rPr>
          <t>Martin Shkreli:</t>
        </r>
        <r>
          <rPr>
            <sz val="8"/>
            <color indexed="81"/>
            <rFont val="Tahoma"/>
            <family val="2"/>
          </rPr>
          <t xml:space="preserve">
was 26 many years ago</t>
        </r>
      </text>
    </comment>
    <comment ref="AI107" authorId="2" shapeId="0" xr:uid="{00000000-0006-0000-0700-0000CF020000}">
      <text>
        <r>
          <rPr>
            <b/>
            <sz val="8"/>
            <color indexed="81"/>
            <rFont val="Tahoma"/>
            <family val="2"/>
          </rPr>
          <t>Martin Shkreli:</t>
        </r>
        <r>
          <rPr>
            <sz val="8"/>
            <color indexed="81"/>
            <rFont val="Tahoma"/>
            <family val="2"/>
          </rPr>
          <t xml:space="preserve">
bear 2137</t>
        </r>
      </text>
    </comment>
    <comment ref="EA107" authorId="2" shapeId="0" xr:uid="{00000000-0006-0000-0700-0000D0020000}">
      <text>
        <r>
          <rPr>
            <b/>
            <sz val="8"/>
            <color indexed="81"/>
            <rFont val="Tahoma"/>
            <family val="2"/>
          </rPr>
          <t>Martin Shkreli:</t>
        </r>
        <r>
          <rPr>
            <sz val="8"/>
            <color indexed="81"/>
            <rFont val="Tahoma"/>
            <family val="2"/>
          </rPr>
          <t xml:space="preserve">
4394 bear</t>
        </r>
      </text>
    </comment>
    <comment ref="EF107" authorId="2" shapeId="0" xr:uid="{00000000-0006-0000-0700-0000D1020000}">
      <text>
        <r>
          <rPr>
            <b/>
            <sz val="8"/>
            <color indexed="81"/>
            <rFont val="Tahoma"/>
            <family val="2"/>
          </rPr>
          <t>Martin Shkreli:</t>
        </r>
        <r>
          <rPr>
            <sz val="8"/>
            <color indexed="81"/>
            <rFont val="Tahoma"/>
            <family val="2"/>
          </rPr>
          <t xml:space="preserve">
6610 bear</t>
        </r>
      </text>
    </comment>
    <comment ref="AM108" authorId="3" shapeId="0" xr:uid="{00000000-0006-0000-0700-0000D2020000}">
      <text>
        <r>
          <rPr>
            <b/>
            <sz val="8"/>
            <color indexed="8"/>
            <rFont val="Times New Roman"/>
            <family val="1"/>
          </rPr>
          <t xml:space="preserve">Martin Shkreli:
</t>
        </r>
        <r>
          <rPr>
            <sz val="8"/>
            <color indexed="8"/>
            <rFont val="Times New Roman"/>
            <family val="1"/>
          </rPr>
          <t>increased R&amp;D and lower GM%</t>
        </r>
      </text>
    </comment>
    <comment ref="O113" authorId="2" shapeId="0" xr:uid="{00000000-0006-0000-0700-0000D3020000}">
      <text>
        <r>
          <rPr>
            <b/>
            <sz val="8"/>
            <color indexed="81"/>
            <rFont val="Tahoma"/>
            <family val="2"/>
          </rPr>
          <t>Martin Shkreli:</t>
        </r>
        <r>
          <rPr>
            <sz val="8"/>
            <color indexed="81"/>
            <rFont val="Tahoma"/>
            <family val="2"/>
          </rPr>
          <t xml:space="preserve">
Bear 2515 actual</t>
        </r>
      </text>
    </comment>
    <comment ref="P113" authorId="2" shapeId="0" xr:uid="{00000000-0006-0000-0700-0000D4020000}">
      <text>
        <r>
          <rPr>
            <b/>
            <sz val="8"/>
            <color indexed="81"/>
            <rFont val="Tahoma"/>
            <family val="2"/>
          </rPr>
          <t>Martin Shkreli:</t>
        </r>
        <r>
          <rPr>
            <sz val="8"/>
            <color indexed="81"/>
            <rFont val="Tahoma"/>
            <family val="2"/>
          </rPr>
          <t xml:space="preserve">
Bear 2570 actual</t>
        </r>
      </text>
    </comment>
    <comment ref="Q113" authorId="2" shapeId="0" xr:uid="{00000000-0006-0000-0700-0000D5020000}">
      <text>
        <r>
          <rPr>
            <b/>
            <sz val="8"/>
            <color indexed="81"/>
            <rFont val="Tahoma"/>
            <family val="2"/>
          </rPr>
          <t>Martin Shkreli:</t>
        </r>
        <r>
          <rPr>
            <sz val="8"/>
            <color indexed="81"/>
            <rFont val="Tahoma"/>
            <family val="2"/>
          </rPr>
          <t xml:space="preserve">
Bear 2538 actual</t>
        </r>
      </text>
    </comment>
    <comment ref="R113" authorId="2" shapeId="0" xr:uid="{00000000-0006-0000-0700-0000D6020000}">
      <text>
        <r>
          <rPr>
            <b/>
            <sz val="8"/>
            <color indexed="81"/>
            <rFont val="Tahoma"/>
            <family val="2"/>
          </rPr>
          <t>Martin Shkreli:</t>
        </r>
        <r>
          <rPr>
            <sz val="8"/>
            <color indexed="81"/>
            <rFont val="Tahoma"/>
            <family val="2"/>
          </rPr>
          <t xml:space="preserve">
2618 bear actual</t>
        </r>
      </text>
    </comment>
    <comment ref="DZ113" authorId="2" shapeId="0" xr:uid="{00000000-0006-0000-0700-0000D7020000}">
      <text>
        <r>
          <rPr>
            <b/>
            <sz val="8"/>
            <color indexed="81"/>
            <rFont val="Tahoma"/>
            <family val="2"/>
          </rPr>
          <t>Martin Shkreli:</t>
        </r>
        <r>
          <rPr>
            <sz val="8"/>
            <color indexed="81"/>
            <rFont val="Tahoma"/>
            <family val="2"/>
          </rPr>
          <t xml:space="preserve">
9914 Bear actual</t>
        </r>
      </text>
    </comment>
    <comment ref="EA113" authorId="2" shapeId="0" xr:uid="{00000000-0006-0000-0700-0000D8020000}">
      <text>
        <r>
          <rPr>
            <b/>
            <sz val="8"/>
            <color indexed="81"/>
            <rFont val="Tahoma"/>
            <family val="2"/>
          </rPr>
          <t>Martin Shkreli:</t>
        </r>
        <r>
          <rPr>
            <sz val="8"/>
            <color indexed="81"/>
            <rFont val="Tahoma"/>
            <family val="2"/>
          </rPr>
          <t xml:space="preserve">
10240 bear</t>
        </r>
      </text>
    </comment>
    <comment ref="EB113" authorId="2" shapeId="0" xr:uid="{00000000-0006-0000-0700-0000D9020000}">
      <text>
        <r>
          <rPr>
            <b/>
            <sz val="8"/>
            <color indexed="81"/>
            <rFont val="Tahoma"/>
            <family val="2"/>
          </rPr>
          <t>Martin Shkreli:</t>
        </r>
        <r>
          <rPr>
            <sz val="8"/>
            <color indexed="81"/>
            <rFont val="Tahoma"/>
            <family val="2"/>
          </rPr>
          <t xml:space="preserve">
11146 bear
</t>
        </r>
      </text>
    </comment>
    <comment ref="EC113" authorId="2" shapeId="0" xr:uid="{00000000-0006-0000-0700-0000DA020000}">
      <text>
        <r>
          <rPr>
            <b/>
            <sz val="8"/>
            <color indexed="81"/>
            <rFont val="Tahoma"/>
            <family val="2"/>
          </rPr>
          <t>Martin Shkreli:</t>
        </r>
        <r>
          <rPr>
            <sz val="8"/>
            <color indexed="81"/>
            <rFont val="Tahoma"/>
            <family val="2"/>
          </rPr>
          <t xml:space="preserve">
12583 Bear actual</t>
        </r>
      </text>
    </comment>
    <comment ref="EJ113" authorId="2" shapeId="0" xr:uid="{00000000-0006-0000-0700-0000DB020000}">
      <text>
        <r>
          <rPr>
            <b/>
            <sz val="8"/>
            <color indexed="81"/>
            <rFont val="Tahoma"/>
            <family val="2"/>
          </rPr>
          <t>Martin Shkreli:</t>
        </r>
        <r>
          <rPr>
            <sz val="8"/>
            <color indexed="81"/>
            <rFont val="Tahoma"/>
            <family val="2"/>
          </rPr>
          <t xml:space="preserve">
was 23 many years ago</t>
        </r>
      </text>
    </comment>
    <comment ref="EK113" authorId="2" shapeId="0" xr:uid="{00000000-0006-0000-0700-0000DC020000}">
      <text>
        <r>
          <rPr>
            <b/>
            <sz val="8"/>
            <color indexed="81"/>
            <rFont val="Tahoma"/>
            <family val="2"/>
          </rPr>
          <t>Martin Shkreli:</t>
        </r>
        <r>
          <rPr>
            <sz val="8"/>
            <color indexed="81"/>
            <rFont val="Tahoma"/>
            <family val="2"/>
          </rPr>
          <t xml:space="preserve">
was 25 many years ago</t>
        </r>
      </text>
    </comment>
    <comment ref="AI114" authorId="2" shapeId="0" xr:uid="{00000000-0006-0000-0700-0000DD020000}">
      <text>
        <r>
          <rPr>
            <b/>
            <sz val="8"/>
            <color indexed="81"/>
            <rFont val="Tahoma"/>
            <family val="2"/>
          </rPr>
          <t>Martin Shkreli:</t>
        </r>
        <r>
          <rPr>
            <sz val="8"/>
            <color indexed="81"/>
            <rFont val="Tahoma"/>
            <family val="2"/>
          </rPr>
          <t xml:space="preserve">
1493 bear</t>
        </r>
      </text>
    </comment>
    <comment ref="EA120" authorId="2" shapeId="0" xr:uid="{00000000-0006-0000-0700-0000DE020000}">
      <text>
        <r>
          <rPr>
            <b/>
            <sz val="8"/>
            <color indexed="81"/>
            <rFont val="Tahoma"/>
            <family val="2"/>
          </rPr>
          <t>Martin Shkreli:</t>
        </r>
        <r>
          <rPr>
            <sz val="8"/>
            <color indexed="81"/>
            <rFont val="Tahoma"/>
            <family val="2"/>
          </rPr>
          <t xml:space="preserve">
6271 bear</t>
        </r>
      </text>
    </comment>
    <comment ref="EB120" authorId="2" shapeId="0" xr:uid="{00000000-0006-0000-0700-0000DF020000}">
      <text>
        <r>
          <rPr>
            <b/>
            <sz val="8"/>
            <color indexed="81"/>
            <rFont val="Tahoma"/>
            <family val="2"/>
          </rPr>
          <t>Martin Shkreli:</t>
        </r>
        <r>
          <rPr>
            <sz val="8"/>
            <color indexed="81"/>
            <rFont val="Tahoma"/>
            <family val="2"/>
          </rPr>
          <t xml:space="preserve">
6321 bear</t>
        </r>
      </text>
    </comment>
    <comment ref="EJ120" authorId="2" shapeId="0" xr:uid="{00000000-0006-0000-0700-0000E0020000}">
      <text>
        <r>
          <rPr>
            <b/>
            <sz val="8"/>
            <color indexed="81"/>
            <rFont val="Tahoma"/>
            <family val="2"/>
          </rPr>
          <t>Martin Shkreli:</t>
        </r>
        <r>
          <rPr>
            <sz val="8"/>
            <color indexed="81"/>
            <rFont val="Tahoma"/>
            <family val="2"/>
          </rPr>
          <t xml:space="preserve">
was 11 many years ago
Listerine up 9% CC
Aveeno up 12% CC</t>
        </r>
      </text>
    </comment>
    <comment ref="EK120" authorId="2" shapeId="0" xr:uid="{00000000-0006-0000-0700-0000E1020000}">
      <text>
        <r>
          <rPr>
            <b/>
            <sz val="8"/>
            <color indexed="81"/>
            <rFont val="Tahoma"/>
            <family val="2"/>
          </rPr>
          <t>Martin Shkreli:</t>
        </r>
        <r>
          <rPr>
            <sz val="8"/>
            <color indexed="81"/>
            <rFont val="Tahoma"/>
            <family val="2"/>
          </rPr>
          <t xml:space="preserve">
was 12 many years ago</t>
        </r>
      </text>
    </comment>
    <comment ref="AI121" authorId="2" shapeId="0" xr:uid="{00000000-0006-0000-0700-0000E2020000}">
      <text>
        <r>
          <rPr>
            <b/>
            <sz val="8"/>
            <color indexed="81"/>
            <rFont val="Tahoma"/>
            <family val="2"/>
          </rPr>
          <t>Martin Shkreli:</t>
        </r>
        <r>
          <rPr>
            <sz val="8"/>
            <color indexed="81"/>
            <rFont val="Tahoma"/>
            <family val="2"/>
          </rPr>
          <t xml:space="preserve">
bear 457</t>
        </r>
      </text>
    </comment>
    <comment ref="AM122" authorId="3" shapeId="0" xr:uid="{00000000-0006-0000-0700-0000E3020000}">
      <text>
        <r>
          <rPr>
            <b/>
            <sz val="8"/>
            <color indexed="8"/>
            <rFont val="Times New Roman"/>
            <family val="1"/>
          </rPr>
          <t xml:space="preserve">Martin Shkreli:
</t>
        </r>
        <r>
          <rPr>
            <sz val="8"/>
            <color indexed="8"/>
            <rFont val="Times New Roman"/>
            <family val="1"/>
          </rPr>
          <t>reduction in promotions and advertising in OTC</t>
        </r>
      </text>
    </comment>
    <comment ref="AY125" authorId="2" shapeId="0" xr:uid="{00000000-0006-0000-0700-0000E4020000}">
      <text>
        <r>
          <rPr>
            <b/>
            <sz val="8"/>
            <color indexed="81"/>
            <rFont val="Tahoma"/>
            <family val="2"/>
          </rPr>
          <t>Martin Shkreli:</t>
        </r>
        <r>
          <rPr>
            <sz val="8"/>
            <color indexed="81"/>
            <rFont val="Tahoma"/>
            <family val="2"/>
          </rPr>
          <t xml:space="preserve">
+1.0% excluding Zyrtec</t>
        </r>
      </text>
    </comment>
    <comment ref="AR128" authorId="4" shapeId="0" xr:uid="{00000000-0006-0000-0700-0000E5020000}">
      <text>
        <r>
          <rPr>
            <b/>
            <sz val="9"/>
            <color indexed="81"/>
            <rFont val="Tahoma"/>
            <family val="2"/>
          </rPr>
          <t>MSMB:</t>
        </r>
        <r>
          <rPr>
            <sz val="9"/>
            <color indexed="81"/>
            <rFont val="Tahoma"/>
            <family val="2"/>
          </rPr>
          <t xml:space="preserve">
10.8% including PCH
3.6% without PCH</t>
        </r>
      </text>
    </comment>
    <comment ref="AT128" authorId="4" shapeId="0" xr:uid="{00000000-0006-0000-0700-0000E6020000}">
      <text>
        <r>
          <rPr>
            <b/>
            <sz val="9"/>
            <color indexed="81"/>
            <rFont val="Tahoma"/>
            <family val="2"/>
          </rPr>
          <t>MSMB:</t>
        </r>
        <r>
          <rPr>
            <sz val="9"/>
            <color indexed="81"/>
            <rFont val="Tahoma"/>
            <family val="2"/>
          </rPr>
          <t xml:space="preserve">
11.9% with PCH deal
4.6% without PCH</t>
        </r>
      </text>
    </comment>
    <comment ref="BB128" authorId="0" shapeId="0" xr:uid="{00000000-0006-0000-0700-0000E7020000}">
      <text>
        <r>
          <rPr>
            <sz val="9"/>
            <color indexed="81"/>
            <rFont val="Tahoma"/>
            <family val="2"/>
          </rPr>
          <t>Extra selling days accounted for half of operational growth.</t>
        </r>
      </text>
    </comment>
    <comment ref="AL131" authorId="2" shapeId="0" xr:uid="{00000000-0006-0000-0700-0000E8020000}">
      <text>
        <r>
          <rPr>
            <b/>
            <sz val="8"/>
            <color indexed="81"/>
            <rFont val="Tahoma"/>
            <family val="2"/>
          </rPr>
          <t>Martin Shkreli:</t>
        </r>
        <r>
          <rPr>
            <sz val="8"/>
            <color indexed="81"/>
            <rFont val="Tahoma"/>
            <family val="2"/>
          </rPr>
          <t xml:space="preserve">
14 week quarter cut growth rate by 7%</t>
        </r>
      </text>
    </comment>
    <comment ref="DZ133" authorId="2" shapeId="0" xr:uid="{00000000-0006-0000-0700-0000E9020000}">
      <text>
        <r>
          <rPr>
            <b/>
            <sz val="8"/>
            <color indexed="81"/>
            <rFont val="Tahoma"/>
            <family val="2"/>
          </rPr>
          <t>Martin Shkreli:</t>
        </r>
        <r>
          <rPr>
            <sz val="8"/>
            <color indexed="81"/>
            <rFont val="Tahoma"/>
            <family val="2"/>
          </rPr>
          <t xml:space="preserve">
15532 bear</t>
        </r>
      </text>
    </comment>
    <comment ref="EA133" authorId="2" shapeId="0" xr:uid="{00000000-0006-0000-0700-0000EA020000}">
      <text>
        <r>
          <rPr>
            <b/>
            <sz val="8"/>
            <color indexed="81"/>
            <rFont val="Tahoma"/>
            <family val="2"/>
          </rPr>
          <t>Martin Shkreli:</t>
        </r>
        <r>
          <rPr>
            <sz val="8"/>
            <color indexed="81"/>
            <rFont val="Tahoma"/>
            <family val="2"/>
          </rPr>
          <t xml:space="preserve">
17316 bear</t>
        </r>
      </text>
    </comment>
    <comment ref="AA137" authorId="2" shapeId="0" xr:uid="{00000000-0006-0000-0700-0000EB020000}">
      <text>
        <r>
          <rPr>
            <b/>
            <sz val="8"/>
            <color indexed="81"/>
            <rFont val="Tahoma"/>
            <family val="2"/>
          </rPr>
          <t>Martin Shkreli:</t>
        </r>
        <r>
          <rPr>
            <sz val="8"/>
            <color indexed="81"/>
            <rFont val="Tahoma"/>
            <family val="2"/>
          </rPr>
          <t xml:space="preserve">
EMEA: 2218
WH: 472
AAP: 1120</t>
        </r>
      </text>
    </comment>
    <comment ref="AB137" authorId="2" shapeId="0" xr:uid="{00000000-0006-0000-0700-0000EC020000}">
      <text>
        <r>
          <rPr>
            <b/>
            <sz val="8"/>
            <color indexed="81"/>
            <rFont val="Tahoma"/>
            <family val="2"/>
          </rPr>
          <t>Martin Shkreli:</t>
        </r>
        <r>
          <rPr>
            <sz val="8"/>
            <color indexed="81"/>
            <rFont val="Tahoma"/>
            <family val="2"/>
          </rPr>
          <t xml:space="preserve">
Europe: 2451
WH: 555
AAP: 1214</t>
        </r>
      </text>
    </comment>
    <comment ref="AC137" authorId="2" shapeId="0" xr:uid="{00000000-0006-0000-0700-0000ED020000}">
      <text>
        <r>
          <rPr>
            <b/>
            <sz val="8"/>
            <color indexed="81"/>
            <rFont val="Tahoma"/>
            <family val="2"/>
          </rPr>
          <t>Martin Shkreli:</t>
        </r>
        <r>
          <rPr>
            <sz val="8"/>
            <color indexed="81"/>
            <rFont val="Tahoma"/>
            <family val="2"/>
          </rPr>
          <t xml:space="preserve">
Europe: 2241
WH: 576
AAP: 1224</t>
        </r>
      </text>
    </comment>
    <comment ref="AD137" authorId="2" shapeId="0" xr:uid="{00000000-0006-0000-0700-0000EE020000}">
      <text>
        <r>
          <rPr>
            <b/>
            <sz val="8"/>
            <color indexed="81"/>
            <rFont val="Tahoma"/>
            <family val="2"/>
          </rPr>
          <t>Martin Shkreli:</t>
        </r>
        <r>
          <rPr>
            <sz val="8"/>
            <color indexed="81"/>
            <rFont val="Tahoma"/>
            <family val="2"/>
          </rPr>
          <t xml:space="preserve">
Europe: 2573
WH: 634
AAP: 1310</t>
        </r>
      </text>
    </comment>
    <comment ref="DZ137" authorId="2" shapeId="0" xr:uid="{00000000-0006-0000-0700-0000EF020000}">
      <text>
        <r>
          <rPr>
            <b/>
            <sz val="8"/>
            <color indexed="81"/>
            <rFont val="Tahoma"/>
            <family val="2"/>
          </rPr>
          <t>Martin Shkreli:</t>
        </r>
        <r>
          <rPr>
            <sz val="8"/>
            <color indexed="81"/>
            <rFont val="Tahoma"/>
            <family val="2"/>
          </rPr>
          <t xml:space="preserve">
11825 bear</t>
        </r>
      </text>
    </comment>
    <comment ref="EA137" authorId="2" shapeId="0" xr:uid="{00000000-0006-0000-0700-0000F0020000}">
      <text>
        <r>
          <rPr>
            <b/>
            <sz val="8"/>
            <color indexed="81"/>
            <rFont val="Tahoma"/>
            <family val="2"/>
          </rPr>
          <t>Martin Shkreli:</t>
        </r>
        <r>
          <rPr>
            <sz val="8"/>
            <color indexed="81"/>
            <rFont val="Tahoma"/>
            <family val="2"/>
          </rPr>
          <t xml:space="preserve">
11856 bear</t>
        </r>
      </text>
    </comment>
    <comment ref="EA144" authorId="2" shapeId="0" xr:uid="{00000000-0006-0000-0700-0000F1020000}">
      <text>
        <r>
          <rPr>
            <b/>
            <sz val="8"/>
            <color indexed="81"/>
            <rFont val="Tahoma"/>
            <family val="2"/>
          </rPr>
          <t>Martin Shkreli:</t>
        </r>
        <r>
          <rPr>
            <sz val="8"/>
            <color indexed="81"/>
            <rFont val="Tahoma"/>
            <family val="2"/>
          </rPr>
          <t xml:space="preserve">
1.50 share Bear</t>
        </r>
      </text>
    </comment>
    <comment ref="EB144" authorId="2" shapeId="0" xr:uid="{00000000-0006-0000-0700-0000F2020000}">
      <text>
        <r>
          <rPr>
            <b/>
            <sz val="8"/>
            <color indexed="81"/>
            <rFont val="Tahoma"/>
            <family val="2"/>
          </rPr>
          <t>Martin Shkreli:</t>
        </r>
        <r>
          <rPr>
            <sz val="8"/>
            <color indexed="81"/>
            <rFont val="Tahoma"/>
            <family val="2"/>
          </rPr>
          <t xml:space="preserve">
1.78 share Bear</t>
        </r>
      </text>
    </comment>
    <comment ref="EC144" authorId="2" shapeId="0" xr:uid="{00000000-0006-0000-0700-0000F3020000}">
      <text>
        <r>
          <rPr>
            <b/>
            <sz val="8"/>
            <color indexed="81"/>
            <rFont val="Tahoma"/>
            <family val="2"/>
          </rPr>
          <t>Martin Shkreli:</t>
        </r>
        <r>
          <rPr>
            <sz val="8"/>
            <color indexed="81"/>
            <rFont val="Tahoma"/>
            <family val="2"/>
          </rPr>
          <t xml:space="preserve">
2.13/share Bear</t>
        </r>
      </text>
    </comment>
    <comment ref="ED144" authorId="2" shapeId="0" xr:uid="{00000000-0006-0000-0700-0000F4020000}">
      <text>
        <r>
          <rPr>
            <b/>
            <sz val="8"/>
            <color indexed="81"/>
            <rFont val="Tahoma"/>
            <family val="2"/>
          </rPr>
          <t>Martin Shkreli:</t>
        </r>
        <r>
          <rPr>
            <sz val="8"/>
            <color indexed="81"/>
            <rFont val="Tahoma"/>
            <family val="2"/>
          </rPr>
          <t xml:space="preserve">
2.42/share Bear</t>
        </r>
      </text>
    </comment>
    <comment ref="EE144" authorId="2" shapeId="0" xr:uid="{00000000-0006-0000-0700-0000F5020000}">
      <text>
        <r>
          <rPr>
            <b/>
            <sz val="8"/>
            <color indexed="81"/>
            <rFont val="Tahoma"/>
            <family val="2"/>
          </rPr>
          <t>Martin Shkreli:</t>
        </r>
        <r>
          <rPr>
            <sz val="8"/>
            <color indexed="81"/>
            <rFont val="Tahoma"/>
            <family val="2"/>
          </rPr>
          <t xml:space="preserve">
3.06/share Bear</t>
        </r>
      </text>
    </comment>
    <comment ref="EF144" authorId="2" shapeId="0" xr:uid="{00000000-0006-0000-0700-0000F6020000}">
      <text>
        <r>
          <rPr>
            <b/>
            <sz val="8"/>
            <color indexed="81"/>
            <rFont val="Tahoma"/>
            <family val="2"/>
          </rPr>
          <t>Martin Shkreli:</t>
        </r>
        <r>
          <rPr>
            <sz val="8"/>
            <color indexed="81"/>
            <rFont val="Tahoma"/>
            <family val="2"/>
          </rPr>
          <t xml:space="preserve">
3.01/share Bear</t>
        </r>
      </text>
    </comment>
    <comment ref="BO195" authorId="5" shapeId="0" xr:uid="{00000000-0006-0000-0700-0000F7020000}">
      <text>
        <r>
          <rPr>
            <b/>
            <sz val="9"/>
            <color indexed="81"/>
            <rFont val="Tahoma"/>
            <family val="2"/>
          </rPr>
          <t>Martin:</t>
        </r>
        <r>
          <rPr>
            <sz val="9"/>
            <color indexed="81"/>
            <rFont val="Tahoma"/>
            <family val="2"/>
          </rPr>
          <t xml:space="preserve">
Venezuela</t>
        </r>
      </text>
    </comment>
    <comment ref="BP195" authorId="5" shapeId="0" xr:uid="{00000000-0006-0000-0700-0000F8020000}">
      <text>
        <r>
          <rPr>
            <b/>
            <sz val="9"/>
            <color indexed="81"/>
            <rFont val="Tahoma"/>
            <family val="2"/>
          </rPr>
          <t>Martin:</t>
        </r>
        <r>
          <rPr>
            <sz val="9"/>
            <color indexed="81"/>
            <rFont val="Tahoma"/>
            <family val="2"/>
          </rPr>
          <t xml:space="preserve">
Venezuela, net gain on equity</t>
        </r>
      </text>
    </comment>
    <comment ref="BQ195" authorId="5" shapeId="0" xr:uid="{00000000-0006-0000-0700-0000F9020000}">
      <text>
        <r>
          <rPr>
            <b/>
            <sz val="9"/>
            <color indexed="81"/>
            <rFont val="Tahoma"/>
            <family val="2"/>
          </rPr>
          <t>Martin:</t>
        </r>
        <r>
          <rPr>
            <sz val="9"/>
            <color indexed="81"/>
            <rFont val="Tahoma"/>
            <family val="2"/>
          </rPr>
          <t xml:space="preserve">
Venezuela, net gain on equity</t>
        </r>
      </text>
    </comment>
    <comment ref="BO208" authorId="5" shapeId="0" xr:uid="{00000000-0006-0000-0700-0000FA020000}">
      <text>
        <r>
          <rPr>
            <b/>
            <sz val="9"/>
            <color indexed="81"/>
            <rFont val="Tahoma"/>
            <family val="2"/>
          </rPr>
          <t>Martin:</t>
        </r>
        <r>
          <rPr>
            <sz val="9"/>
            <color indexed="81"/>
            <rFont val="Tahoma"/>
            <family val="2"/>
          </rPr>
          <t xml:space="preserve">
Flexible Stenting Solutions Inc.</t>
        </r>
      </text>
    </comment>
    <comment ref="BQ208" authorId="5" shapeId="0" xr:uid="{00000000-0006-0000-0700-0000FB020000}">
      <text>
        <r>
          <rPr>
            <b/>
            <sz val="9"/>
            <color indexed="81"/>
            <rFont val="Tahoma"/>
            <family val="2"/>
          </rPr>
          <t>Martin:</t>
        </r>
        <r>
          <rPr>
            <sz val="9"/>
            <color indexed="81"/>
            <rFont val="Tahoma"/>
            <family val="2"/>
          </rPr>
          <t xml:space="preserve">
Aragon</t>
        </r>
      </text>
    </comment>
    <comment ref="EJ238" authorId="4" shapeId="0" xr:uid="{00000000-0006-0000-0700-0000FC020000}">
      <text>
        <r>
          <rPr>
            <b/>
            <sz val="9"/>
            <color indexed="81"/>
            <rFont val="Tahoma"/>
            <family val="2"/>
          </rPr>
          <t>MSMB:</t>
        </r>
        <r>
          <rPr>
            <sz val="9"/>
            <color indexed="81"/>
            <rFont val="Tahoma"/>
            <family val="2"/>
          </rPr>
          <t xml:space="preserve">
3/9/09</t>
        </r>
      </text>
    </comment>
    <comment ref="Q248" authorId="2" shapeId="0" xr:uid="{00000000-0006-0000-0700-0000FD020000}">
      <text>
        <r>
          <rPr>
            <b/>
            <sz val="8"/>
            <color indexed="81"/>
            <rFont val="Tahoma"/>
            <family val="2"/>
          </rPr>
          <t>Martin Shkreli:</t>
        </r>
        <r>
          <rPr>
            <sz val="8"/>
            <color indexed="81"/>
            <rFont val="Tahoma"/>
            <family val="2"/>
          </rPr>
          <t xml:space="preserve">
100m destocking hit</t>
        </r>
      </text>
    </comment>
    <comment ref="T248" authorId="2" shapeId="0" xr:uid="{00000000-0006-0000-0700-0000FE020000}">
      <text>
        <r>
          <rPr>
            <b/>
            <sz val="8"/>
            <color indexed="81"/>
            <rFont val="Tahoma"/>
            <family val="2"/>
          </rPr>
          <t>Martin Shkreli:</t>
        </r>
        <r>
          <rPr>
            <sz val="8"/>
            <color indexed="81"/>
            <rFont val="Tahoma"/>
            <family val="2"/>
          </rPr>
          <t xml:space="preserve">
AZA?</t>
        </r>
      </text>
    </comment>
    <comment ref="EA248" authorId="2" shapeId="0" xr:uid="{00000000-0006-0000-0700-0000FF020000}">
      <text>
        <r>
          <rPr>
            <b/>
            <sz val="8"/>
            <color indexed="81"/>
            <rFont val="Tahoma"/>
            <family val="2"/>
          </rPr>
          <t>Martin Shkreli:</t>
        </r>
        <r>
          <rPr>
            <sz val="8"/>
            <color indexed="81"/>
            <rFont val="Tahoma"/>
            <family val="2"/>
          </rPr>
          <t xml:space="preserve">
8441 bear</t>
        </r>
      </text>
    </comment>
    <comment ref="Q249" authorId="2" shapeId="0" xr:uid="{00000000-0006-0000-0700-000000030000}">
      <text>
        <r>
          <rPr>
            <b/>
            <sz val="8"/>
            <color indexed="81"/>
            <rFont val="Tahoma"/>
            <family val="2"/>
          </rPr>
          <t>Martin Shkreli:</t>
        </r>
        <r>
          <rPr>
            <sz val="8"/>
            <color indexed="81"/>
            <rFont val="Tahoma"/>
            <family val="2"/>
          </rPr>
          <t xml:space="preserve">
8% constant FX growth</t>
        </r>
      </text>
    </comment>
    <comment ref="EA249" authorId="2" shapeId="0" xr:uid="{00000000-0006-0000-0700-000001030000}">
      <text>
        <r>
          <rPr>
            <b/>
            <sz val="8"/>
            <color indexed="81"/>
            <rFont val="Tahoma"/>
            <family val="2"/>
          </rPr>
          <t>Martin Shkreli:</t>
        </r>
        <r>
          <rPr>
            <sz val="8"/>
            <color indexed="81"/>
            <rFont val="Tahoma"/>
            <family val="2"/>
          </rPr>
          <t xml:space="preserve">
4220 bear</t>
        </r>
      </text>
    </comment>
    <comment ref="Q250" authorId="2" shapeId="0" xr:uid="{00000000-0006-0000-0700-000002030000}">
      <text>
        <r>
          <rPr>
            <b/>
            <sz val="8"/>
            <color indexed="81"/>
            <rFont val="Tahoma"/>
            <family val="2"/>
          </rPr>
          <t>Martin Shkreli:</t>
        </r>
        <r>
          <rPr>
            <sz val="8"/>
            <color indexed="81"/>
            <rFont val="Tahoma"/>
            <family val="2"/>
          </rPr>
          <t xml:space="preserve">
11% constant FX growth</t>
        </r>
      </text>
    </comment>
    <comment ref="AA250" authorId="2" shapeId="0" xr:uid="{00000000-0006-0000-0700-000003030000}">
      <text>
        <r>
          <rPr>
            <b/>
            <sz val="8"/>
            <color indexed="81"/>
            <rFont val="Tahoma"/>
            <family val="2"/>
          </rPr>
          <t>Martin Shkreli:</t>
        </r>
        <r>
          <rPr>
            <sz val="8"/>
            <color indexed="81"/>
            <rFont val="Tahoma"/>
            <family val="2"/>
          </rPr>
          <t xml:space="preserve">
7.8% CC</t>
        </r>
      </text>
    </comment>
    <comment ref="AC250" authorId="2" shapeId="0" xr:uid="{00000000-0006-0000-0700-000004030000}">
      <text>
        <r>
          <rPr>
            <b/>
            <sz val="8"/>
            <color indexed="81"/>
            <rFont val="Tahoma"/>
            <family val="2"/>
          </rPr>
          <t>Martin Shkreli:</t>
        </r>
        <r>
          <rPr>
            <sz val="8"/>
            <color indexed="81"/>
            <rFont val="Tahoma"/>
            <family val="2"/>
          </rPr>
          <t xml:space="preserve">
9.7% CC growth</t>
        </r>
      </text>
    </comment>
    <comment ref="DZ250" authorId="2" shapeId="0" xr:uid="{00000000-0006-0000-0700-000005030000}">
      <text>
        <r>
          <rPr>
            <b/>
            <sz val="8"/>
            <color indexed="81"/>
            <rFont val="Tahoma"/>
            <family val="2"/>
          </rPr>
          <t>Martin Shkreli:</t>
        </r>
        <r>
          <rPr>
            <sz val="8"/>
            <color indexed="81"/>
            <rFont val="Tahoma"/>
            <family val="2"/>
          </rPr>
          <t xml:space="preserve">
jpm may incl alza</t>
        </r>
      </text>
    </comment>
    <comment ref="EA250" authorId="2" shapeId="0" xr:uid="{00000000-0006-0000-0700-000006030000}">
      <text>
        <r>
          <rPr>
            <b/>
            <sz val="8"/>
            <color indexed="81"/>
            <rFont val="Tahoma"/>
            <family val="2"/>
          </rPr>
          <t>Martin Shkreli:</t>
        </r>
        <r>
          <rPr>
            <sz val="8"/>
            <color indexed="81"/>
            <rFont val="Tahoma"/>
            <family val="2"/>
          </rPr>
          <t xml:space="preserve">
jpm may incl alza</t>
        </r>
      </text>
    </comment>
    <comment ref="DZ251" authorId="2" shapeId="0" xr:uid="{00000000-0006-0000-0700-000007030000}">
      <text>
        <r>
          <rPr>
            <b/>
            <sz val="8"/>
            <color indexed="81"/>
            <rFont val="Tahoma"/>
            <family val="2"/>
          </rPr>
          <t>Martin Shkreli:</t>
        </r>
        <r>
          <rPr>
            <sz val="8"/>
            <color indexed="81"/>
            <rFont val="Tahoma"/>
            <family val="2"/>
          </rPr>
          <t xml:space="preserve">
5266 bear</t>
        </r>
      </text>
    </comment>
    <comment ref="EA251" authorId="2" shapeId="0" xr:uid="{00000000-0006-0000-0700-000008030000}">
      <text>
        <r>
          <rPr>
            <b/>
            <sz val="8"/>
            <color indexed="81"/>
            <rFont val="Tahoma"/>
            <family val="2"/>
          </rPr>
          <t>Martin Shkreli:</t>
        </r>
        <r>
          <rPr>
            <sz val="8"/>
            <color indexed="81"/>
            <rFont val="Tahoma"/>
            <family val="2"/>
          </rPr>
          <t xml:space="preserve">
5472 bear</t>
        </r>
      </text>
    </comment>
    <comment ref="Q252" authorId="2" shapeId="0" xr:uid="{00000000-0006-0000-0700-000009030000}">
      <text>
        <r>
          <rPr>
            <b/>
            <sz val="8"/>
            <color indexed="81"/>
            <rFont val="Tahoma"/>
            <family val="2"/>
          </rPr>
          <t>Martin Shkreli:</t>
        </r>
        <r>
          <rPr>
            <sz val="8"/>
            <color indexed="81"/>
            <rFont val="Tahoma"/>
            <family val="2"/>
          </rPr>
          <t xml:space="preserve">
12% constant FX growth</t>
        </r>
      </text>
    </comment>
    <comment ref="DZ252" authorId="2" shapeId="0" xr:uid="{00000000-0006-0000-0700-00000A030000}">
      <text>
        <r>
          <rPr>
            <b/>
            <sz val="8"/>
            <color indexed="81"/>
            <rFont val="Tahoma"/>
            <family val="2"/>
          </rPr>
          <t>Martin Shkreli:</t>
        </r>
        <r>
          <rPr>
            <sz val="8"/>
            <color indexed="81"/>
            <rFont val="Tahoma"/>
            <family val="2"/>
          </rPr>
          <t xml:space="preserve">
4613 bear</t>
        </r>
      </text>
    </comment>
    <comment ref="EA252" authorId="2" shapeId="0" xr:uid="{00000000-0006-0000-0700-00000B030000}">
      <text>
        <r>
          <rPr>
            <b/>
            <sz val="8"/>
            <color indexed="81"/>
            <rFont val="Tahoma"/>
            <family val="2"/>
          </rPr>
          <t>Martin Shkreli:</t>
        </r>
        <r>
          <rPr>
            <sz val="8"/>
            <color indexed="81"/>
            <rFont val="Tahoma"/>
            <family val="2"/>
          </rPr>
          <t xml:space="preserve">
4768 bear</t>
        </r>
      </text>
    </comment>
    <comment ref="Q253" authorId="2" shapeId="0" xr:uid="{00000000-0006-0000-0700-00000C030000}">
      <text>
        <r>
          <rPr>
            <b/>
            <sz val="8"/>
            <color indexed="81"/>
            <rFont val="Tahoma"/>
            <family val="2"/>
          </rPr>
          <t>Martin Shkreli:</t>
        </r>
        <r>
          <rPr>
            <sz val="8"/>
            <color indexed="81"/>
            <rFont val="Tahoma"/>
            <family val="2"/>
          </rPr>
          <t xml:space="preserve">
8% constant FX growth</t>
        </r>
      </text>
    </comment>
    <comment ref="DZ253" authorId="2" shapeId="0" xr:uid="{00000000-0006-0000-0700-00000D030000}">
      <text>
        <r>
          <rPr>
            <b/>
            <sz val="8"/>
            <color indexed="81"/>
            <rFont val="Tahoma"/>
            <family val="2"/>
          </rPr>
          <t>Martin Shkreli:</t>
        </r>
        <r>
          <rPr>
            <sz val="8"/>
            <color indexed="81"/>
            <rFont val="Tahoma"/>
            <family val="2"/>
          </rPr>
          <t xml:space="preserve">
9879 bear</t>
        </r>
      </text>
    </comment>
    <comment ref="EA253" authorId="2" shapeId="0" xr:uid="{00000000-0006-0000-0700-00000E030000}">
      <text>
        <r>
          <rPr>
            <b/>
            <sz val="8"/>
            <color indexed="81"/>
            <rFont val="Tahoma"/>
            <family val="2"/>
          </rPr>
          <t>Martin Shkreli:</t>
        </r>
        <r>
          <rPr>
            <sz val="8"/>
            <color indexed="81"/>
            <rFont val="Tahoma"/>
            <family val="2"/>
          </rPr>
          <t xml:space="preserve">
10240 bear</t>
        </r>
      </text>
    </comment>
    <comment ref="DZ254" authorId="2" shapeId="0" xr:uid="{00000000-0006-0000-0700-00000F030000}">
      <text>
        <r>
          <rPr>
            <b/>
            <sz val="8"/>
            <color indexed="81"/>
            <rFont val="Tahoma"/>
            <family val="2"/>
          </rPr>
          <t>Martin Shkreli:</t>
        </r>
        <r>
          <rPr>
            <sz val="8"/>
            <color indexed="81"/>
            <rFont val="Tahoma"/>
            <family val="2"/>
          </rPr>
          <t xml:space="preserve">
3311 bear</t>
        </r>
      </text>
    </comment>
    <comment ref="EA254" authorId="2" shapeId="0" xr:uid="{00000000-0006-0000-0700-000010030000}">
      <text>
        <r>
          <rPr>
            <b/>
            <sz val="8"/>
            <color indexed="81"/>
            <rFont val="Tahoma"/>
            <family val="2"/>
          </rPr>
          <t>Martin Shkreli:</t>
        </r>
        <r>
          <rPr>
            <sz val="8"/>
            <color indexed="81"/>
            <rFont val="Tahoma"/>
            <family val="2"/>
          </rPr>
          <t xml:space="preserve">
3403 bear</t>
        </r>
      </text>
    </comment>
    <comment ref="Q255" authorId="2" shapeId="0" xr:uid="{00000000-0006-0000-0700-000011030000}">
      <text>
        <r>
          <rPr>
            <b/>
            <sz val="8"/>
            <color indexed="81"/>
            <rFont val="Tahoma"/>
            <family val="2"/>
          </rPr>
          <t>Martin Shkreli:</t>
        </r>
        <r>
          <rPr>
            <sz val="8"/>
            <color indexed="81"/>
            <rFont val="Tahoma"/>
            <family val="2"/>
          </rPr>
          <t xml:space="preserve">
7% constant FX growth</t>
        </r>
      </text>
    </comment>
    <comment ref="DZ255" authorId="2" shapeId="0" xr:uid="{00000000-0006-0000-0700-000012030000}">
      <text>
        <r>
          <rPr>
            <b/>
            <sz val="8"/>
            <color indexed="81"/>
            <rFont val="Tahoma"/>
            <family val="2"/>
          </rPr>
          <t>Martin Shkreli:</t>
        </r>
        <r>
          <rPr>
            <sz val="8"/>
            <color indexed="81"/>
            <rFont val="Tahoma"/>
            <family val="2"/>
          </rPr>
          <t xml:space="preserve">
2937 bear</t>
        </r>
      </text>
    </comment>
    <comment ref="EA255" authorId="2" shapeId="0" xr:uid="{00000000-0006-0000-0700-000013030000}">
      <text>
        <r>
          <rPr>
            <b/>
            <sz val="8"/>
            <color indexed="81"/>
            <rFont val="Tahoma"/>
            <family val="2"/>
          </rPr>
          <t>Martin Shkreli:</t>
        </r>
        <r>
          <rPr>
            <sz val="8"/>
            <color indexed="81"/>
            <rFont val="Tahoma"/>
            <family val="2"/>
          </rPr>
          <t xml:space="preserve">
2868 bear</t>
        </r>
      </text>
    </comment>
    <comment ref="Q256" authorId="2" shapeId="0" xr:uid="{00000000-0006-0000-0700-000014030000}">
      <text>
        <r>
          <rPr>
            <b/>
            <sz val="8"/>
            <color indexed="81"/>
            <rFont val="Tahoma"/>
            <family val="2"/>
          </rPr>
          <t>Martin Shkreli:</t>
        </r>
        <r>
          <rPr>
            <sz val="8"/>
            <color indexed="81"/>
            <rFont val="Tahoma"/>
            <family val="2"/>
          </rPr>
          <t xml:space="preserve">
4% constant FX growth</t>
        </r>
      </text>
    </comment>
    <comment ref="DZ256" authorId="2" shapeId="0" xr:uid="{00000000-0006-0000-0700-000015030000}">
      <text>
        <r>
          <rPr>
            <b/>
            <sz val="8"/>
            <color indexed="81"/>
            <rFont val="Tahoma"/>
            <family val="2"/>
          </rPr>
          <t>Martin Shkreli:</t>
        </r>
        <r>
          <rPr>
            <sz val="8"/>
            <color indexed="81"/>
            <rFont val="Tahoma"/>
            <family val="2"/>
          </rPr>
          <t xml:space="preserve">
6248 bear</t>
        </r>
      </text>
    </comment>
    <comment ref="EA256" authorId="2" shapeId="0" xr:uid="{00000000-0006-0000-0700-000016030000}">
      <text>
        <r>
          <rPr>
            <sz val="8"/>
            <color indexed="81"/>
            <rFont val="Tahoma"/>
            <family val="2"/>
          </rPr>
          <t>6271 bear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AD60" authorId="0" shapeId="0" xr:uid="{00000000-0006-0000-0800-000001000000}">
      <text>
        <r>
          <rPr>
            <sz val="8"/>
            <color indexed="8"/>
            <rFont val="Times New Roman"/>
            <family val="1"/>
          </rPr>
          <t>Schering receives European approval for RA; Crohn's approval in Japan with RA approval expected at year-end.</t>
        </r>
      </text>
    </comment>
    <comment ref="BA61" authorId="1" shapeId="0" xr:uid="{00000000-0006-0000-0800-000002000000}">
      <text>
        <r>
          <rPr>
            <b/>
            <sz val="8"/>
            <color indexed="81"/>
            <rFont val="Tahoma"/>
            <family val="2"/>
          </rPr>
          <t>Martin Shkreli:</t>
        </r>
        <r>
          <rPr>
            <sz val="8"/>
            <color indexed="81"/>
            <rFont val="Tahoma"/>
            <family val="2"/>
          </rPr>
          <t xml:space="preserve">
Abnormally large inventory build from SGP</t>
        </r>
      </text>
    </comment>
    <comment ref="BD64" authorId="1" shapeId="0" xr:uid="{00000000-0006-0000-0800-000003000000}">
      <text>
        <r>
          <rPr>
            <b/>
            <sz val="8"/>
            <color indexed="81"/>
            <rFont val="Tahoma"/>
            <family val="2"/>
          </rPr>
          <t>Martin Shkreli:</t>
        </r>
        <r>
          <rPr>
            <sz val="8"/>
            <color indexed="81"/>
            <rFont val="Tahoma"/>
            <family val="2"/>
          </rPr>
          <t xml:space="preserve">
Sales impacted by inventory changes and lost market share.</t>
        </r>
      </text>
    </comment>
    <comment ref="BE64" authorId="1" shapeId="0" xr:uid="{00000000-0006-0000-0800-000004000000}">
      <text>
        <r>
          <rPr>
            <b/>
            <sz val="8"/>
            <color indexed="81"/>
            <rFont val="Tahoma"/>
            <family val="2"/>
          </rPr>
          <t>Martin Shkreli:</t>
        </r>
        <r>
          <rPr>
            <sz val="8"/>
            <color indexed="81"/>
            <rFont val="Tahoma"/>
            <family val="2"/>
          </rPr>
          <t xml:space="preserve">
"Market up 13%"</t>
        </r>
      </text>
    </comment>
    <comment ref="BB65" authorId="1" shapeId="0" xr:uid="{00000000-0006-0000-0800-000005000000}">
      <text>
        <r>
          <rPr>
            <b/>
            <sz val="8"/>
            <color indexed="81"/>
            <rFont val="Tahoma"/>
            <family val="2"/>
          </rPr>
          <t>Martin Shkreli:</t>
        </r>
        <r>
          <rPr>
            <sz val="8"/>
            <color indexed="81"/>
            <rFont val="Tahoma"/>
            <family val="2"/>
          </rPr>
          <t xml:space="preserve">
Demand up over 30% ex-inventory build.</t>
        </r>
      </text>
    </comment>
    <comment ref="BD65" authorId="1" shapeId="0" xr:uid="{00000000-0006-0000-0800-000006000000}">
      <text>
        <r>
          <rPr>
            <b/>
            <sz val="8"/>
            <color indexed="81"/>
            <rFont val="Tahoma"/>
            <family val="2"/>
          </rPr>
          <t>Martin Shkreli:</t>
        </r>
        <r>
          <rPr>
            <sz val="8"/>
            <color indexed="81"/>
            <rFont val="Tahoma"/>
            <family val="2"/>
          </rPr>
          <t xml:space="preserve">
Shipment timing, manufacturing affected sales.</t>
        </r>
      </text>
    </comment>
    <comment ref="BE65" authorId="1" shapeId="0" xr:uid="{00000000-0006-0000-0800-000007000000}">
      <text>
        <r>
          <rPr>
            <b/>
            <sz val="8"/>
            <color indexed="81"/>
            <rFont val="Tahoma"/>
            <family val="2"/>
          </rPr>
          <t>Martin Shkreli:</t>
        </r>
        <r>
          <rPr>
            <sz val="8"/>
            <color indexed="81"/>
            <rFont val="Tahoma"/>
            <family val="2"/>
          </rPr>
          <t xml:space="preserve">
+20% ex build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17" authorId="0" shapeId="0" xr:uid="{00000000-0006-0000-0900-000001000000}">
      <text>
        <r>
          <rPr>
            <sz val="8"/>
            <color indexed="8"/>
            <rFont val="Times New Roman"/>
            <family val="1"/>
          </rPr>
          <t>140m inventory build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Marek L Biestek</author>
  </authors>
  <commentList>
    <comment ref="C8" authorId="0" shapeId="0" xr:uid="{00000000-0006-0000-0E00-000001000000}">
      <text>
        <r>
          <rPr>
            <b/>
            <sz val="8"/>
            <color indexed="81"/>
            <rFont val="Tahoma"/>
            <family val="2"/>
          </rPr>
          <t>Marek L Biestek:</t>
        </r>
        <r>
          <rPr>
            <sz val="8"/>
            <color indexed="81"/>
            <rFont val="Tahoma"/>
            <family val="2"/>
          </rPr>
          <t xml:space="preserve">
Multiple myeloma (also known as MM, myeloma, plasma cell myeloma, or as Kahler's disease after Otto Kahler) is a type of cancer of plasma cells which are immune system cells in bone marrow that produce antibodies. Myeloma is regarded as incurable, but remissions may be induced with steroids, chemotherapy, thalidomide and stem cell transplants. Myeloma is part of the broad group of diseases called hematological malignancies.  Part of hematological malignancies group of diseases.
http://www.cancer.org/docroot/CRI/content/CRI_2_4_1X_What_is_multiple_myeloma_30.asp</t>
        </r>
      </text>
    </comment>
    <comment ref="C9" authorId="0" shapeId="0" xr:uid="{00000000-0006-0000-0E00-000002000000}">
      <text>
        <r>
          <rPr>
            <sz val="8"/>
            <color indexed="81"/>
            <rFont val="Tahoma"/>
            <family val="2"/>
          </rPr>
          <t>Mantle cell is an rare type and accounts for about 1 in 20 of all cases of non-Hodgkin lymphomas. It is a cancer of the B-lymphocytes. Mantle cell lymphoma can occur at any age from the late 30s to old age, but is more common in the over 50s. It is three times more common in men than in women.  Currently 15k patients in USA (higher prevalance in EU).  Median survival times were about 3 years, now approaching 6 years.  Difficult to treat and incurable.  Treatments: Chemo and rituximab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BI4" authorId="0" shapeId="0" xr:uid="{00000000-0006-0000-2400-000001000000}">
      <text>
        <r>
          <rPr>
            <b/>
            <sz val="8"/>
            <color indexed="8"/>
            <rFont val="Times New Roman"/>
            <family val="1"/>
          </rPr>
          <t xml:space="preserve">Martin Shkreli:
</t>
        </r>
        <r>
          <rPr>
            <sz val="8"/>
            <color indexed="8"/>
            <rFont val="Times New Roman"/>
            <family val="1"/>
          </rPr>
          <t>Zyrtec OTC launch</t>
        </r>
      </text>
    </comment>
    <comment ref="AO8" authorId="1" shapeId="0" xr:uid="{00000000-0006-0000-2400-000002000000}">
      <text>
        <r>
          <rPr>
            <b/>
            <sz val="8"/>
            <color indexed="81"/>
            <rFont val="Tahoma"/>
            <family val="2"/>
          </rPr>
          <t>Martin Shkreli:</t>
        </r>
        <r>
          <rPr>
            <sz val="8"/>
            <color indexed="81"/>
            <rFont val="Tahoma"/>
            <family val="2"/>
          </rPr>
          <t xml:space="preserve">
Acquired Dabao</t>
        </r>
      </text>
    </comment>
    <comment ref="AR14" authorId="1" shapeId="0" xr:uid="{00000000-0006-0000-2400-000003000000}">
      <text>
        <r>
          <rPr>
            <b/>
            <sz val="8"/>
            <color indexed="81"/>
            <rFont val="Tahoma"/>
            <family val="2"/>
          </rPr>
          <t>Martin Shkreli:</t>
        </r>
        <r>
          <rPr>
            <sz val="8"/>
            <color indexed="81"/>
            <rFont val="Tahoma"/>
            <family val="2"/>
          </rPr>
          <t xml:space="preserve">
Listerine strength</t>
        </r>
      </text>
    </comment>
    <comment ref="AR17" authorId="1" shapeId="0" xr:uid="{00000000-0006-0000-2400-000004000000}">
      <text>
        <r>
          <rPr>
            <b/>
            <sz val="8"/>
            <color indexed="81"/>
            <rFont val="Tahoma"/>
            <family val="2"/>
          </rPr>
          <t>Martin Shkreli:</t>
        </r>
        <r>
          <rPr>
            <sz val="8"/>
            <color indexed="81"/>
            <rFont val="Tahoma"/>
            <family val="2"/>
          </rPr>
          <t xml:space="preserve">
Vania acquisition</t>
        </r>
      </text>
    </comment>
    <comment ref="AR18" authorId="1" shapeId="0" xr:uid="{00000000-0006-0000-2400-000005000000}">
      <text>
        <r>
          <rPr>
            <b/>
            <sz val="8"/>
            <color indexed="81"/>
            <rFont val="Tahoma"/>
            <family val="2"/>
          </rPr>
          <t>Martin Shkreli:</t>
        </r>
        <r>
          <rPr>
            <sz val="8"/>
            <color indexed="81"/>
            <rFont val="Tahoma"/>
            <family val="2"/>
          </rPr>
          <t xml:space="preserve">
Driven by acquisitions</t>
        </r>
      </text>
    </comment>
    <comment ref="BG26" authorId="0" shapeId="0" xr:uid="{00000000-0006-0000-2400-000006000000}">
      <text>
        <r>
          <rPr>
            <b/>
            <sz val="8"/>
            <color indexed="8"/>
            <rFont val="Times New Roman"/>
            <family val="1"/>
          </rPr>
          <t xml:space="preserve">Martin Shkreli:
</t>
        </r>
        <r>
          <rPr>
            <sz val="8"/>
            <color indexed="8"/>
            <rFont val="Times New Roman"/>
            <family val="1"/>
          </rPr>
          <t>9% operational growth</t>
        </r>
      </text>
    </comment>
    <comment ref="BG29" authorId="0" shapeId="0" xr:uid="{00000000-0006-0000-2400-000007000000}">
      <text>
        <r>
          <rPr>
            <b/>
            <sz val="8"/>
            <color indexed="8"/>
            <rFont val="Times New Roman"/>
            <family val="1"/>
          </rPr>
          <t xml:space="preserve">Martin Shkreli:
</t>
        </r>
        <r>
          <rPr>
            <sz val="8"/>
            <color indexed="8"/>
            <rFont val="Times New Roman"/>
            <family val="1"/>
          </rPr>
          <t>10% operational growth</t>
        </r>
      </text>
    </comment>
    <comment ref="AQ32" authorId="1" shapeId="0" xr:uid="{00000000-0006-0000-2400-000008000000}">
      <text>
        <r>
          <rPr>
            <b/>
            <sz val="8"/>
            <color indexed="81"/>
            <rFont val="Tahoma"/>
            <family val="2"/>
          </rPr>
          <t>Martin Shkreli:</t>
        </r>
        <r>
          <rPr>
            <sz val="8"/>
            <color indexed="81"/>
            <rFont val="Tahoma"/>
            <family val="2"/>
          </rPr>
          <t xml:space="preserve">
Zyrtec impact?</t>
        </r>
      </text>
    </comment>
    <comment ref="AR32" authorId="1" shapeId="0" xr:uid="{00000000-0006-0000-2400-000009000000}">
      <text>
        <r>
          <rPr>
            <b/>
            <sz val="8"/>
            <color indexed="81"/>
            <rFont val="Tahoma"/>
            <family val="2"/>
          </rPr>
          <t>Martin Shkreli:</t>
        </r>
        <r>
          <rPr>
            <sz val="8"/>
            <color indexed="81"/>
            <rFont val="Tahoma"/>
            <family val="2"/>
          </rPr>
          <t xml:space="preserve">
"Intense competition including private label."</t>
        </r>
      </text>
    </comment>
    <comment ref="BG32" authorId="0" shapeId="0" xr:uid="{00000000-0006-0000-2400-00000A000000}">
      <text>
        <r>
          <rPr>
            <b/>
            <sz val="8"/>
            <color indexed="8"/>
            <rFont val="Times New Roman"/>
            <family val="1"/>
          </rPr>
          <t xml:space="preserve">Martin Shkreli:
</t>
        </r>
        <r>
          <rPr>
            <sz val="8"/>
            <color indexed="8"/>
            <rFont val="Times New Roman"/>
            <family val="1"/>
          </rPr>
          <t>operational growth was 2%</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U4" authorId="0" shapeId="0" xr:uid="{00000000-0006-0000-2500-000001000000}">
      <text>
        <r>
          <rPr>
            <sz val="8"/>
            <color indexed="8"/>
            <rFont val="Times New Roman"/>
            <family val="1"/>
          </rPr>
          <t>Entry into Japanese DES market</t>
        </r>
      </text>
    </comment>
    <comment ref="H71" authorId="0" shapeId="0" xr:uid="{00000000-0006-0000-2500-000002000000}">
      <text>
        <r>
          <rPr>
            <sz val="8"/>
            <color indexed="8"/>
            <rFont val="Times New Roman"/>
            <family val="1"/>
          </rPr>
          <t>Revenues from Wound Management transferred to Ethicon.  Revenues from Vascular Products and Advanced Sterilization Products transferred to Ethicon Endo-Surgery.</t>
        </r>
      </text>
    </comment>
    <comment ref="K76" authorId="0" shapeId="0" xr:uid="{00000000-0006-0000-2500-000003000000}">
      <text>
        <r>
          <rPr>
            <sz val="8"/>
            <color indexed="8"/>
            <rFont val="Times New Roman"/>
            <family val="1"/>
          </rPr>
          <t>FDA approval - Aug. 2003.</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M13" authorId="0" shapeId="0" xr:uid="{00000000-0006-0000-2700-000001000000}">
      <text>
        <r>
          <rPr>
            <sz val="8"/>
            <color indexed="8"/>
            <rFont val="Times New Roman"/>
            <family val="1"/>
          </rPr>
          <t>Assumes 1H05 US launch of Charite III artifical disc for single level degnerative disc disease.</t>
        </r>
      </text>
    </comment>
    <comment ref="M14" authorId="0" shapeId="0" xr:uid="{00000000-0006-0000-2700-000002000000}">
      <text>
        <r>
          <rPr>
            <sz val="8"/>
            <color indexed="8"/>
            <rFont val="Times New Roman"/>
            <family val="1"/>
          </rPr>
          <t>Assumes 1H05 US launch of Charite III artifical disc for single level degnerative disc disease.</t>
        </r>
      </text>
    </comment>
  </commentList>
</comments>
</file>

<file path=xl/sharedStrings.xml><?xml version="1.0" encoding="utf-8"?>
<sst xmlns="http://schemas.openxmlformats.org/spreadsheetml/2006/main" count="3291" uniqueCount="2166">
  <si>
    <t>Ding patent - held by BSX - upheld twice - covers the use of polymer/drug combination</t>
  </si>
  <si>
    <t>Palmaz-Schatz, Gray - JNJ wins in May 2006</t>
  </si>
  <si>
    <t>Jang - BSX wins in May 2006</t>
  </si>
  <si>
    <t>JNJ looking to prevent the launch of Taxus Liberte</t>
  </si>
  <si>
    <t>BSX liability to JNJ 500m-1B as a result of Palmaz (expired 11/2005)</t>
  </si>
  <si>
    <t>6/12/2006: Largest Independent US DES Registry Shows Excellent Outcomes for TAXUS Stent System in Diabetics</t>
  </si>
  <si>
    <t>Analysis on data on diabetic patients revealed numerically favorable outcomes for TAXUS Express compared to Cypher in reducing MACE.</t>
  </si>
  <si>
    <t>Follow-up on 5,566 at 8 coronary centers, including 1,680 diabetics.</t>
  </si>
  <si>
    <t>TAXUS patients had more complex lesions but 6.8% MACE vs 7.1% for Cypher. Death 1.9% vs 3.4% for Cypher p=NS.</t>
  </si>
  <si>
    <t>Q106: 14.7% operational growth driven by CYPHER worldwide. Biosense Webster also had double-digit growth.</t>
  </si>
  <si>
    <t>Exports</t>
  </si>
  <si>
    <t>2018?? Cabilly II infringement claim by Genentech. JNJ does not pay royalties. August 2014 in EU as per SGP 10-Q. Golimumab replacement strategy.</t>
  </si>
  <si>
    <t>Doxil/Caelyx (doxorubicin)</t>
  </si>
  <si>
    <t>Alza, Sequus</t>
  </si>
  <si>
    <t>$400m in 2007?</t>
  </si>
  <si>
    <t>Sporanox (itraconazole)</t>
  </si>
  <si>
    <t>11/17/1995</t>
  </si>
  <si>
    <t>2009?</t>
  </si>
  <si>
    <t>5,641,651, 5,656,272, 5,698,195, 5,698,419, issued 1997 (2017 expiry). 5,753,628 issued 1998. 7,425,330, 7,416,729, 7,404,955, 7,374,761, 7,335,358 issued 2008.</t>
  </si>
  <si>
    <t>abciximab</t>
  </si>
  <si>
    <t>CNTO3649</t>
  </si>
  <si>
    <t>Phase II/III n=500 Crohn's</t>
  </si>
  <si>
    <t>Expired</t>
  </si>
  <si>
    <t>NCE</t>
  </si>
  <si>
    <t>PPIs</t>
  </si>
  <si>
    <t>EPO</t>
  </si>
  <si>
    <t>Rheumatoid Arthritis, Psoriasis, Ulcerative Colitis, Crohn's Disease, AS, PSA, pediatric Crohn's.</t>
  </si>
  <si>
    <t>Boxed warning on TB/opportunistic infection risk along with lymphoma risk due to immunosuppression. Side effects are very rare.</t>
  </si>
  <si>
    <t>Phase III "ACT-1" Ulcerative Colitis</t>
  </si>
  <si>
    <t>Phase III "ACT-2" Ulcerative Colitis</t>
  </si>
  <si>
    <t>Phase III "ACCENT-1" Crohn's Disease</t>
  </si>
  <si>
    <t>Phase III "ACCENT-2" Crohn's Disease</t>
  </si>
  <si>
    <t>6/28/06 Signs agreement with ClearStream to distribute PTCA balloon catheter CRESCENDO.</t>
  </si>
  <si>
    <t>MDT - Endeavor delivery weak - lack of a Rapid Exchange system. Positive clinical data - EU before US. Zero incidence of LST while Cypher has 0.6% and Taxus 0.7%.</t>
  </si>
  <si>
    <t>ABT/GDT will market both Xience and Zomaxx? Different stents and different coating. Bear says 28% share by 2010. Xience little better than Zomaxx? Unclear.</t>
  </si>
  <si>
    <t>DES pricing has been firm in 2006 according to JNJ and BSX - 7/1/06 - BSX mgmt comments DES pricing/penetration and share little changed</t>
  </si>
  <si>
    <t>Cypher Select Plus - hydrophilic coating - 3rd-gen product - launch in EU in September</t>
  </si>
  <si>
    <t xml:space="preserve">  Competition includes Xience V and Endeavor</t>
  </si>
  <si>
    <t>9/26/2006 - Cordis Endovascular receives approval to market PRECISE Nitinol Stent and ANGIOGUARD Emboli Capture Guidewire to treat clogged neck arteries, (carotid artery disease)</t>
  </si>
  <si>
    <t>5/2007 - CoSTAR stent fails.</t>
  </si>
  <si>
    <t>Q3:05E</t>
  </si>
  <si>
    <t>Sports Medicine*</t>
  </si>
  <si>
    <t>Other**</t>
  </si>
  <si>
    <t>Total DePuy</t>
  </si>
  <si>
    <t>*Reflects March 2004 divestiture of casting business</t>
  </si>
  <si>
    <t>**Sold to dj Orthopedics July 2000.  Reflects transfer of Mitek sports medicine business from Ethicon to DePuy beginning in Q1:02 (Mitek '02 growth ~17%).</t>
  </si>
  <si>
    <t>**Includes Other OR and Orthobiologics</t>
  </si>
  <si>
    <t>Q106: Growth due to orthopaedic join reconstruction products including hip and knee. Mitek sports was also strong.</t>
  </si>
  <si>
    <t>Q106: 7% operational growth driven by endocutter sales including bariatric procedures for obesity. Harmonic scalpel, an ultrasonic cutting and coagulating surgical device used for plastic surgery was strong.</t>
  </si>
  <si>
    <t>Q106: grew 2% on strong GYNECARE and DERMABOND.</t>
  </si>
  <si>
    <t>Conor Medsystems</t>
  </si>
  <si>
    <t>CoStar cobalt chromium stent with fully bioabsorbable polymer</t>
  </si>
  <si>
    <t>Pfizer Consumer Healthcare</t>
  </si>
  <si>
    <t>Ensure Medical</t>
  </si>
  <si>
    <t>Q3 2006</t>
  </si>
  <si>
    <t>post-catheterization closure of the femoral artery - clinical trials in early 2007</t>
  </si>
  <si>
    <t>Colbar Lifesciences</t>
  </si>
  <si>
    <t>Groupe Vendome</t>
  </si>
  <si>
    <t>Q1:06</t>
  </si>
  <si>
    <t>French marketer of adult and baby skin care products</t>
  </si>
  <si>
    <t>Vascular Control Systems</t>
  </si>
  <si>
    <t>Medical devices to treat fibroids and control bleeding in obstetric and gynecologic applications.</t>
  </si>
  <si>
    <t>Hand Innovations LLC</t>
  </si>
  <si>
    <t>fracture fixation products for the upper extremities</t>
  </si>
  <si>
    <t>Future Medical Systems SA</t>
  </si>
  <si>
    <t>Arthroscopic Fluid Management systems</t>
  </si>
  <si>
    <t>TransForm Pharmaceuticals</t>
  </si>
  <si>
    <t>Superior formulations and novel crystalline forms of drug molecules</t>
  </si>
  <si>
    <t>Closure Medical</t>
  </si>
  <si>
    <t>Peninsula</t>
  </si>
  <si>
    <t>Rembrandt</t>
  </si>
  <si>
    <t>oral care</t>
  </si>
  <si>
    <t>Filed</t>
  </si>
  <si>
    <t>Quinolone</t>
  </si>
  <si>
    <t>Phase III</t>
  </si>
  <si>
    <t>Ionsys was hoped to be the follow-on/life-cycle product but ran into serious issues.</t>
  </si>
  <si>
    <t xml:space="preserve">  Sutures</t>
  </si>
  <si>
    <t xml:space="preserve">    U.S.</t>
  </si>
  <si>
    <t xml:space="preserve">    International</t>
  </si>
  <si>
    <t xml:space="preserve">  Gynecare</t>
  </si>
  <si>
    <t xml:space="preserve">  Wound Sealants</t>
  </si>
  <si>
    <t xml:space="preserve">  Wound Management</t>
  </si>
  <si>
    <t xml:space="preserve">  Total Ethicon</t>
  </si>
  <si>
    <t>Ethicon Endosurgery</t>
  </si>
  <si>
    <t xml:space="preserve">  Endoscopy</t>
  </si>
  <si>
    <t xml:space="preserve">  Mechanical</t>
  </si>
  <si>
    <t>October 2009. JNJ expects 5 years of Hatch-Waxman exclusivity. 12/19/2011. Injectable in development.</t>
  </si>
  <si>
    <t xml:space="preserve">  Biopsys</t>
  </si>
  <si>
    <t xml:space="preserve">  Urology</t>
  </si>
  <si>
    <t xml:space="preserve">  Sterilization/Vascular Access</t>
  </si>
  <si>
    <t xml:space="preserve">  Total Ethicon Endo</t>
  </si>
  <si>
    <t xml:space="preserve">  Mitek</t>
  </si>
  <si>
    <t xml:space="preserve">  Core DePuy</t>
  </si>
  <si>
    <t xml:space="preserve"> Total  DePuy</t>
  </si>
  <si>
    <t xml:space="preserve">     U.S.</t>
  </si>
  <si>
    <t xml:space="preserve">  Stents - Coronary</t>
  </si>
  <si>
    <t xml:space="preserve">  Stents - Peripheral</t>
  </si>
  <si>
    <t xml:space="preserve">  PTCA, Angiography</t>
  </si>
  <si>
    <t xml:space="preserve"> Biosense (Noga, DMR)</t>
  </si>
  <si>
    <t>J&amp;J Medical Systems</t>
  </si>
  <si>
    <t>IBOT Transporter</t>
  </si>
  <si>
    <t>Total MD&amp;D</t>
  </si>
  <si>
    <t>1Q09</t>
  </si>
  <si>
    <t>2Q09</t>
  </si>
  <si>
    <t>3Q09</t>
  </si>
  <si>
    <t>4Q09</t>
  </si>
  <si>
    <t>Papers</t>
  </si>
  <si>
    <t>Sandoz, Actavis, Watson, Mylan and Teva are in the US market. Ex-US patents?</t>
  </si>
  <si>
    <t>OraPharma</t>
  </si>
  <si>
    <t>Axert marketing rights</t>
  </si>
  <si>
    <t>Purchased from Almirall.</t>
  </si>
  <si>
    <t>Arestin periodontal disease drug.</t>
  </si>
  <si>
    <t>Guidant</t>
  </si>
  <si>
    <t>Failed acquisition, acquired by Boston Scientific.</t>
  </si>
  <si>
    <t>Alza</t>
  </si>
  <si>
    <t>Alza (Ditropan XL, Concerta, Doxil/Caelyx)</t>
  </si>
  <si>
    <t>Q3 2005</t>
  </si>
  <si>
    <t>Description</t>
  </si>
  <si>
    <t>Scios</t>
  </si>
  <si>
    <t>Centocor</t>
  </si>
  <si>
    <t/>
  </si>
  <si>
    <t>Ethicon-Endo y/y</t>
  </si>
  <si>
    <t>Ethicon y/y</t>
  </si>
  <si>
    <t>Vision Care y/y</t>
  </si>
  <si>
    <t>Manufacturing</t>
  </si>
  <si>
    <t>Leiden, The Netherlands was the original site.</t>
  </si>
  <si>
    <t>10/29/2003 US.</t>
  </si>
  <si>
    <t>6110503 expires in 2017 and is an ALKS Medisorb patent.</t>
  </si>
  <si>
    <t>6596316 expires in 2019 and is an ALKS Medisorb patent.</t>
  </si>
  <si>
    <t>Based in Cincinatti</t>
  </si>
  <si>
    <t>REALIZE - adjustable gastic band</t>
  </si>
  <si>
    <t>NOTES - natural orifice transluminal endoscopic surgery</t>
  </si>
  <si>
    <t>Sedasys - personal sedation system</t>
  </si>
  <si>
    <t xml:space="preserve">    Comprehensive Care - Cordis, Diabetes Care, Vision Care, Ortho Clinical Diagnostics - Donald Casey is WW Chairman.</t>
  </si>
  <si>
    <t>Japan market size in 2006 was $108 billion. Will add $31bn by 2015 with a 3% CAGR.</t>
  </si>
  <si>
    <t>Russia market size in 2006 was $14 billion. Will add $28bn by 2015 with a 13% CAGR.</t>
  </si>
  <si>
    <t>BRIC+</t>
  </si>
  <si>
    <t>UK market size in 2006 was $39 billion. Will add $22bn by 2015 with a 5% CAGR.</t>
  </si>
  <si>
    <t>France market size in 2006 was $51 billion. Will add $21bn by 2015 with a 4% CAGR.</t>
  </si>
  <si>
    <t>Germany market size in 2006 was $54 billion. Will add $16bn by 2015 with a 3% CAGR.</t>
  </si>
  <si>
    <t>Italy market size in 2006 was $34 billion. Will add $12bn by 2015 with a 3% CAGR.</t>
  </si>
  <si>
    <t>Spain market size in 2006 was $25 billion. Will add $12bn by 2015 with a 4% CAGR.</t>
  </si>
  <si>
    <t>2007 operational growth in BRIC was 16%+.</t>
  </si>
  <si>
    <t>OTC/Nutritionals</t>
  </si>
  <si>
    <t>International 56%, US 44% in 2007.</t>
  </si>
  <si>
    <t>Brazil 2007 10% growth, underperformed.</t>
  </si>
  <si>
    <t>Russia 2007 16% growth, outperformed.</t>
  </si>
  <si>
    <t>India 2007 10% growth, outperformed.</t>
  </si>
  <si>
    <t>China 2007 9% growth, outperformed.</t>
  </si>
  <si>
    <t>Phase III – Nosocomial Pneumonia. N = 187</t>
  </si>
  <si>
    <t>2 Phase III – Community Acquired Pneumonia: 7-14 day Treatment Regimen</t>
  </si>
  <si>
    <t>Clinical Success – 91.4% (139/152) in 750mg group, 88.6% (132/149) in 500mg group at Test of Cure Visit. - comparison group</t>
  </si>
  <si>
    <r>
      <t>Levaquin</t>
    </r>
    <r>
      <rPr>
        <sz val="10"/>
        <rFont val="Arial"/>
        <family val="2"/>
      </rPr>
      <t xml:space="preserve"> </t>
    </r>
  </si>
  <si>
    <t>Levaquin (12/10, 6/11)</t>
  </si>
  <si>
    <t>Main</t>
  </si>
  <si>
    <t>Price</t>
  </si>
  <si>
    <t>Date</t>
  </si>
  <si>
    <t>Cash</t>
  </si>
  <si>
    <t>Name</t>
  </si>
  <si>
    <t>Indication</t>
  </si>
  <si>
    <t>Class</t>
  </si>
  <si>
    <t>Rights</t>
  </si>
  <si>
    <t>Admin</t>
  </si>
  <si>
    <t>IP</t>
  </si>
  <si>
    <t>Phase</t>
  </si>
  <si>
    <t>Competition</t>
  </si>
  <si>
    <t>Procrit</t>
  </si>
  <si>
    <t>Anemia</t>
  </si>
  <si>
    <t>IV</t>
  </si>
  <si>
    <t>Schizophrenia</t>
  </si>
  <si>
    <t>Oral</t>
  </si>
  <si>
    <t>Paliperidone Palmitate</t>
  </si>
  <si>
    <t>ELN</t>
  </si>
  <si>
    <t>Phase III ACCEPT vs Enbrel</t>
  </si>
  <si>
    <t>15% injection site reactions for Enbrel vs 1% for Stelara.</t>
  </si>
  <si>
    <t>68%-74% PASI 75% vs 57% for Enbrel p&lt;0.001. q6w dosing.</t>
  </si>
  <si>
    <t>Risperdal Consta</t>
  </si>
  <si>
    <t>Psoriasis</t>
  </si>
  <si>
    <t>Remicade (infliximab)</t>
  </si>
  <si>
    <t>RA, Crohn's, AS, PSA, UC, Psoriasis</t>
  </si>
  <si>
    <t>SGP</t>
  </si>
  <si>
    <t>Topamax</t>
  </si>
  <si>
    <t>Migraine, Epilepsy</t>
  </si>
  <si>
    <t>Unknown</t>
  </si>
  <si>
    <t>Invega</t>
  </si>
  <si>
    <t>Duragesic</t>
  </si>
  <si>
    <t>Pain</t>
  </si>
  <si>
    <t>Fentanyl</t>
  </si>
  <si>
    <t>ADHD</t>
  </si>
  <si>
    <t>Amphetamine</t>
  </si>
  <si>
    <t>2004/2017</t>
  </si>
  <si>
    <t>Xarelto (rivaroxaban)</t>
  </si>
  <si>
    <t>Factor Xa</t>
  </si>
  <si>
    <t>Velcade</t>
  </si>
  <si>
    <t>Multiple Myeloma</t>
  </si>
  <si>
    <t>Proteasome</t>
  </si>
  <si>
    <t>HCV</t>
  </si>
  <si>
    <t>Protease</t>
  </si>
  <si>
    <t>VRTX</t>
  </si>
  <si>
    <t>Aciphex (rabeprazole)</t>
  </si>
  <si>
    <t>GERD</t>
  </si>
  <si>
    <t>PPI</t>
  </si>
  <si>
    <t>Eisai</t>
  </si>
  <si>
    <t>Doxil</t>
  </si>
  <si>
    <t>Levaquin</t>
  </si>
  <si>
    <t>Patch</t>
  </si>
  <si>
    <t>Natrecor</t>
  </si>
  <si>
    <t>Chronic Pain</t>
  </si>
  <si>
    <t>Contraceptives</t>
  </si>
  <si>
    <t>Epilepsy, Migraine</t>
  </si>
  <si>
    <t>Sporanox</t>
  </si>
  <si>
    <t>Contraception</t>
  </si>
  <si>
    <t>II</t>
  </si>
  <si>
    <t>Prezista (darunavir)</t>
  </si>
  <si>
    <t>HIV</t>
  </si>
  <si>
    <t>Kaletra</t>
  </si>
  <si>
    <t>Intelence (etravirine)</t>
  </si>
  <si>
    <t>NNRTI</t>
  </si>
  <si>
    <t>Phase II Crohn's</t>
  </si>
  <si>
    <t>Doing second phase 2 to identify dose, prioritization is low.</t>
  </si>
  <si>
    <t>Daiichi is the patent owner.  Marketed in Europe by SNY under Tavanic. US sales only, largely.</t>
  </si>
  <si>
    <t>Remicade</t>
  </si>
  <si>
    <t>nPneumonia , gram-</t>
  </si>
  <si>
    <t>Carbopenem</t>
  </si>
  <si>
    <t>TMC278</t>
  </si>
  <si>
    <t>T2D</t>
  </si>
  <si>
    <t>Mitsubishi</t>
  </si>
  <si>
    <t>Cordis</t>
  </si>
  <si>
    <t>Vision</t>
  </si>
  <si>
    <t>Ethicon</t>
  </si>
  <si>
    <t>LifeScan</t>
  </si>
  <si>
    <t>Consumer</t>
  </si>
  <si>
    <t>Diagnostics</t>
  </si>
  <si>
    <t>EndoSurgery</t>
  </si>
  <si>
    <t>DePuy</t>
  </si>
  <si>
    <t>JNJ-18054478</t>
  </si>
  <si>
    <t>Asthma</t>
  </si>
  <si>
    <t>Cancer</t>
  </si>
  <si>
    <t>I</t>
  </si>
  <si>
    <t>JNJ-37822681</t>
  </si>
  <si>
    <t>diarylquinolone</t>
  </si>
  <si>
    <t>Razadyne</t>
  </si>
  <si>
    <t>JNJ-17166864</t>
  </si>
  <si>
    <t>Allergic Rhinitis</t>
  </si>
  <si>
    <t>TMC353121</t>
  </si>
  <si>
    <t>RSV</t>
  </si>
  <si>
    <t>ReoPro</t>
  </si>
  <si>
    <t>Acquisitions</t>
  </si>
  <si>
    <t>JNJ-17305600</t>
  </si>
  <si>
    <t>Glycine T1 reuptake</t>
  </si>
  <si>
    <t>JNJ-17216498</t>
  </si>
  <si>
    <t>H3 antagonist</t>
  </si>
  <si>
    <t>APD668</t>
  </si>
  <si>
    <t>ARNA</t>
  </si>
  <si>
    <t>JNJ-19567470</t>
  </si>
  <si>
    <t>Depression/Anxiety</t>
  </si>
  <si>
    <t>CRF1 antagonist</t>
  </si>
  <si>
    <t>MUNK</t>
  </si>
  <si>
    <t>Neuropathic Pain</t>
  </si>
  <si>
    <t>Medivir</t>
  </si>
  <si>
    <t>Shares</t>
  </si>
  <si>
    <t>Q108</t>
  </si>
  <si>
    <t>MC</t>
  </si>
  <si>
    <t>Debt</t>
  </si>
  <si>
    <t>EV</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</si>
  <si>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</si>
  <si>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</si>
  <si>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</si>
  <si>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</si>
  <si>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</si>
  <si>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</si>
  <si>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</si>
  <si>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</si>
  <si>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</si>
  <si>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</si>
  <si>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</si>
  <si>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</si>
  <si>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</si>
  <si>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</si>
  <si>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</si>
  <si>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</si>
  <si>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</si>
  <si>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</si>
  <si>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</si>
  <si>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</si>
  <si>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</si>
  <si>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</si>
  <si>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</si>
  <si>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</si>
  <si>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</si>
  <si>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</si>
  <si>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</si>
  <si>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</si>
  <si>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</si>
  <si>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</si>
  <si>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</si>
  <si>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</si>
  <si>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</si>
  <si>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</si>
  <si>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</si>
  <si>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</si>
  <si>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</si>
  <si>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</si>
  <si>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</si>
  <si>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</si>
  <si>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</si>
  <si>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</si>
  <si>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</si>
  <si>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</si>
  <si>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Q208</t>
  </si>
  <si>
    <t>Q308</t>
  </si>
  <si>
    <t>Q408</t>
  </si>
  <si>
    <t>Q109</t>
  </si>
  <si>
    <t>Q209</t>
  </si>
  <si>
    <t>Q309</t>
  </si>
  <si>
    <t>Q409</t>
  </si>
  <si>
    <t>Notes</t>
  </si>
  <si>
    <t>JNJ-18038683</t>
  </si>
  <si>
    <t>Depression</t>
  </si>
  <si>
    <t>R256918</t>
  </si>
  <si>
    <t>Obesity/Diabetes</t>
  </si>
  <si>
    <t>Approval</t>
  </si>
  <si>
    <t xml:space="preserve">  Risperdal</t>
  </si>
  <si>
    <t>Procrit/Eprex</t>
  </si>
  <si>
    <t>Topamax (9/08)</t>
  </si>
  <si>
    <t>28</t>
  </si>
  <si>
    <t>177</t>
  </si>
  <si>
    <t>Ultram/Ultracet</t>
  </si>
  <si>
    <t>Aciphex/Pariet 2013</t>
  </si>
  <si>
    <t>Generic Protonix hurting sales.</t>
  </si>
  <si>
    <t>Hormonal Contraceptives</t>
  </si>
  <si>
    <t>Doribax</t>
  </si>
  <si>
    <t>Tapentadol</t>
  </si>
  <si>
    <t>Ethicon Endo-Surgery</t>
  </si>
  <si>
    <t>Vision Care</t>
  </si>
  <si>
    <t>Other Devices</t>
  </si>
  <si>
    <t>Cost of Sales</t>
  </si>
  <si>
    <t>Gross Profit</t>
  </si>
  <si>
    <t>SG&amp;A Expense</t>
  </si>
  <si>
    <t>R&amp;D Expense</t>
  </si>
  <si>
    <t>Operating Income</t>
  </si>
  <si>
    <t>Interest Income</t>
  </si>
  <si>
    <t>Other Expense</t>
  </si>
  <si>
    <t>Net Income</t>
  </si>
  <si>
    <t>EPS</t>
  </si>
  <si>
    <t>EPS y/y</t>
  </si>
  <si>
    <t>Sales y/y</t>
  </si>
  <si>
    <t>Remicade y/y</t>
  </si>
  <si>
    <t>Consensus</t>
  </si>
  <si>
    <t>Diluted Shares (MM)</t>
  </si>
  <si>
    <t>Gross Margin</t>
  </si>
  <si>
    <t>Operating Margin</t>
  </si>
  <si>
    <t>Pre-Tax Margin</t>
  </si>
  <si>
    <t>Tax Rate</t>
  </si>
  <si>
    <t>Net Margin</t>
  </si>
  <si>
    <t>Pharma Revenue</t>
  </si>
  <si>
    <t xml:space="preserve">  Operating Profit</t>
  </si>
  <si>
    <t xml:space="preserve">  Operating Margin</t>
  </si>
  <si>
    <t>% of Sales</t>
  </si>
  <si>
    <t>Reported Growth</t>
  </si>
  <si>
    <t>Operational Growth</t>
  </si>
  <si>
    <t>MD&amp;D</t>
  </si>
  <si>
    <t>Currency</t>
  </si>
  <si>
    <t>Total</t>
  </si>
  <si>
    <t>US</t>
  </si>
  <si>
    <t>ROW</t>
  </si>
  <si>
    <t xml:space="preserve">  Operational</t>
  </si>
  <si>
    <t xml:space="preserve">  Currency</t>
  </si>
  <si>
    <t>Employees</t>
  </si>
  <si>
    <t>OCF</t>
  </si>
  <si>
    <t>FCF</t>
  </si>
  <si>
    <t>Cash &amp; Equivalents</t>
  </si>
  <si>
    <t>A/R</t>
  </si>
  <si>
    <t>Inventories</t>
  </si>
  <si>
    <t>Deferred Tax</t>
  </si>
  <si>
    <t>Prepaid</t>
  </si>
  <si>
    <t>Current</t>
  </si>
  <si>
    <t>PPE, net</t>
  </si>
  <si>
    <t>Intangible, Goodwill</t>
  </si>
  <si>
    <t>Other</t>
  </si>
  <si>
    <t>Loans and Notes Payable</t>
  </si>
  <si>
    <t>Accounts Payable</t>
  </si>
  <si>
    <t>Accrued Liabilities</t>
  </si>
  <si>
    <t>DSO</t>
  </si>
  <si>
    <t>Accrued Rebates</t>
  </si>
  <si>
    <t>Accrued Salaries</t>
  </si>
  <si>
    <t>Accrued Taxes</t>
  </si>
  <si>
    <t>Shareholders Equity</t>
  </si>
  <si>
    <t xml:space="preserve">  ROE</t>
  </si>
  <si>
    <t>CFFO</t>
  </si>
  <si>
    <t>D&amp;A</t>
  </si>
  <si>
    <t>Stock-based comp</t>
  </si>
  <si>
    <t>In-process R&amp;D</t>
  </si>
  <si>
    <t>Deferred tax</t>
  </si>
  <si>
    <t>A/R allowances</t>
  </si>
  <si>
    <t>Increase in A/R</t>
  </si>
  <si>
    <t>Approved for rheumatoid arthritis, psoriatic arthritis and ankylosing spondylitis.</t>
  </si>
  <si>
    <t>Dosing</t>
  </si>
  <si>
    <t>SC</t>
  </si>
  <si>
    <t>Tubercluosis reactivation (0.23/100 patient years incidence in n=2347 phase II/III experience), lymphoma (0.21/100 patient years). Less dropouts than placebo in Phase III experience.</t>
  </si>
  <si>
    <t>Human IGG1 MAB to TNF-alpha. Multiple glycoforms result in weight of 150-151 kD. Binds to soluble and transmembrane TNFa, but does not bind lymphotoxin.</t>
  </si>
  <si>
    <t>Tmax 2-6 days. Cmax 2.5ug/mL. Limited extravascular distribution. Terminal 1/2 of 2 weeks. Absolute F of 53%. Steady-state at 12 weeks.</t>
  </si>
  <si>
    <t>Phase III "T11, RA-1" - n=461 - TNF-refractory</t>
  </si>
  <si>
    <t>Phase III "T05, RA-3" - n=637 - RA naïve to methotrexate - "GO-BEFORE" - EULAR 2008</t>
  </si>
  <si>
    <t>55</t>
  </si>
  <si>
    <t>64</t>
  </si>
  <si>
    <t>80</t>
  </si>
  <si>
    <t>91</t>
  </si>
  <si>
    <t>88</t>
  </si>
  <si>
    <t>108</t>
  </si>
  <si>
    <t>120</t>
  </si>
  <si>
    <t>110</t>
  </si>
  <si>
    <t>107</t>
  </si>
  <si>
    <t>70</t>
  </si>
  <si>
    <t>34</t>
  </si>
  <si>
    <t>22</t>
  </si>
  <si>
    <t>19</t>
  </si>
  <si>
    <t>24</t>
  </si>
  <si>
    <t>69</t>
  </si>
  <si>
    <t>12</t>
  </si>
  <si>
    <t>20</t>
  </si>
  <si>
    <t>25</t>
  </si>
  <si>
    <t>83</t>
  </si>
  <si>
    <t>29</t>
  </si>
  <si>
    <t>31</t>
  </si>
  <si>
    <t>35</t>
  </si>
  <si>
    <t>133</t>
  </si>
  <si>
    <t>39</t>
  </si>
  <si>
    <t>42</t>
  </si>
  <si>
    <t>44</t>
  </si>
  <si>
    <t>47</t>
  </si>
  <si>
    <t>171</t>
  </si>
  <si>
    <t>37</t>
  </si>
  <si>
    <t>154</t>
  </si>
  <si>
    <t>Ditropan</t>
  </si>
  <si>
    <t>Ultram</t>
  </si>
  <si>
    <t>Tibotec</t>
  </si>
  <si>
    <t>50mg, 100mg and placebo all with background MTX, or 100mg monotherapy. ACR20 at week 14 was the primary endpoint.</t>
  </si>
  <si>
    <t>50mg, 100mg and placebo. ACR at week 14 was the primary endpoint.</t>
  </si>
  <si>
    <t>MTX alone vs 50mg+MTX vs 100mg+MTX vs 100mg monotherapy. ACR50 at week 24 was the primary endpoint.</t>
  </si>
  <si>
    <t>ACR 20% at week 24 was 52% for monotherapy, 49% for MTX monotherapy, 62% for combination.</t>
  </si>
  <si>
    <t>ACR 50% at week 24 was 29% for MTX and 40% for combination.</t>
  </si>
  <si>
    <t>ACR 70% at week 24 was 16% for MTX and 24% for combination.</t>
  </si>
  <si>
    <t>ACR 20 at week 24 for 50mg+MTX was 60% vs 28% for MTX alone (55% and 33% at week 14).</t>
  </si>
  <si>
    <t>ACR 50 at week 24 for 50mg+MTX was 37% vs 14% for MTX alone (35% and 10% at week 14).</t>
  </si>
  <si>
    <t>ACR 70 at week 24 for 50mg+MTX was 20% vs 5% for MTX alone (13% and 4% at week 14).</t>
  </si>
  <si>
    <t>ACR 20 at week 24 for 50mg+MTX was 34% vs 17% for MTX alone (35% and 18% at week 14).</t>
  </si>
  <si>
    <t>ACR 50 at week 24 for 50mg+MTX was 18% vs 5% for MTX alone (16% and 6% at week 14).</t>
  </si>
  <si>
    <t>ACR 70 at week 24 for 50mg+MTX was 12% and 3% for MTX alone (10% and 2% at week 14).</t>
  </si>
  <si>
    <t>Phase III "T08" - n=405 - Psoriatic Arthritis</t>
  </si>
  <si>
    <t>ACR20 at week 24 for 50mg+MTX was 52% vs 12% for MTX alone (51% vs 9% at week 14).</t>
  </si>
  <si>
    <t>ACR50 at week 24 for 50mg+MTX was 32% vs 4% for MTX alone (30% and 2% at week 14).</t>
  </si>
  <si>
    <t>ACR70 at week 24 for 50mg+MTX was 19% vs 1% for MTX alone (12% vs 1% at week 14).</t>
  </si>
  <si>
    <t>Phase III "T09" - n=356 - Ankylosing spondylitis</t>
  </si>
  <si>
    <t>ASAS response of 59% for 50mg+DMARDS vs 22% for DMARDS alone at week 14.</t>
  </si>
  <si>
    <t>Enbrel</t>
  </si>
  <si>
    <t>Humira</t>
  </si>
  <si>
    <t>Oxycontin</t>
  </si>
  <si>
    <t>IgG1-kappa chimeric antibody, 149kD. Ki 10^10. Human constant region and murine variable region.</t>
  </si>
  <si>
    <t>TNF-alpha is a cytokine secreted by monocytes and macrophages, the receptor for which is TNFR1 and TNFR2. TNFR2 does not seem to have important functions.</t>
  </si>
  <si>
    <t>Markets</t>
  </si>
  <si>
    <t>~1 million mod-severe RA patients, ~3 million psoriasis patients, ~1 million Crohn's patients in the US.</t>
  </si>
  <si>
    <t>$16,000 vs $12,000 for rivals for annual course in RA. Crohn's disease revenue less than RA?</t>
  </si>
  <si>
    <t>Increase in inventories</t>
  </si>
  <si>
    <t>Increase in A/P and A/L</t>
  </si>
  <si>
    <t>Increase in other current</t>
  </si>
  <si>
    <t>Increase in other non-current</t>
  </si>
  <si>
    <t>Capex</t>
  </si>
  <si>
    <t>Repurchase</t>
  </si>
  <si>
    <t>EPS Consensus</t>
  </si>
  <si>
    <t>Revenue Consensus</t>
  </si>
  <si>
    <t>2my/y  -21.89</t>
  </si>
  <si>
    <t>GM Builder</t>
  </si>
  <si>
    <t>Pharma GM%</t>
  </si>
  <si>
    <t>Pharma Gross Margin</t>
  </si>
  <si>
    <t>Devices GM%</t>
  </si>
  <si>
    <t>Devices Gross Margin</t>
  </si>
  <si>
    <t>Consumer GM%</t>
  </si>
  <si>
    <t>Consumer Gross Margin</t>
  </si>
  <si>
    <t>Projected GM</t>
  </si>
  <si>
    <t>Actual GM</t>
  </si>
  <si>
    <t>Average Price</t>
  </si>
  <si>
    <t xml:space="preserve">S&amp;P </t>
  </si>
  <si>
    <t>10-year</t>
  </si>
  <si>
    <t>Pharma stocks</t>
  </si>
  <si>
    <t>Brand Name</t>
  </si>
  <si>
    <t>Generic Name</t>
  </si>
  <si>
    <t>Epoetin alfa</t>
  </si>
  <si>
    <t>Label</t>
  </si>
  <si>
    <t>Mechanism</t>
  </si>
  <si>
    <t>Recombinant protein which stimulates erythropoeisis (red blood cell production). Naturally produced in the kidney. 165AA. 30.4kD.</t>
  </si>
  <si>
    <t>Market</t>
  </si>
  <si>
    <t>20m patients with chronic kidney disease, 67% are anemic (US).</t>
  </si>
  <si>
    <t>Safety</t>
  </si>
  <si>
    <t>Death and tumor progression with higher doses.</t>
  </si>
  <si>
    <t>Administration</t>
  </si>
  <si>
    <t>Sub-cutaneous injection, usually given qw versus Aranesp's q2w/q3w.</t>
  </si>
  <si>
    <t xml:space="preserve">  Will Roche enter the market in the US? When will the first biogeneric be approved? How will changes to guidelines affect the competition between Procrit and Aranesp?</t>
  </si>
  <si>
    <t>Reimbursement</t>
  </si>
  <si>
    <t>Medicare rolling ASP+6%.</t>
  </si>
  <si>
    <t>Guidelines</t>
  </si>
  <si>
    <t>CKD patients should have a hemoglobin less than 10g/dL for initiation.</t>
  </si>
  <si>
    <t>Model</t>
  </si>
  <si>
    <t>Domestic</t>
  </si>
  <si>
    <t>International</t>
  </si>
  <si>
    <t>Worldwide</t>
  </si>
  <si>
    <t>y/y</t>
  </si>
  <si>
    <t>Aranesp (AMGN)</t>
  </si>
  <si>
    <t>Epogen (AMGN)</t>
  </si>
  <si>
    <t>Total Market</t>
  </si>
  <si>
    <t>2008E</t>
  </si>
  <si>
    <t>2009E</t>
  </si>
  <si>
    <t>2010E</t>
  </si>
  <si>
    <t>2011E</t>
  </si>
  <si>
    <t>2012E</t>
  </si>
  <si>
    <t>2013E</t>
  </si>
  <si>
    <t>JNJ Sales</t>
  </si>
  <si>
    <t>Procrit/Eprex % of Total Sales</t>
  </si>
  <si>
    <t>FTE</t>
  </si>
  <si>
    <t>Cost/FTE</t>
  </si>
  <si>
    <t>FTE Expenses</t>
  </si>
  <si>
    <t>Operating Expenses</t>
  </si>
  <si>
    <t>JNJ Operating Profit</t>
  </si>
  <si>
    <t>Procrit/Eprex % of Total OP</t>
  </si>
  <si>
    <t>Risperdal</t>
  </si>
  <si>
    <t>risperidone</t>
  </si>
  <si>
    <t xml:space="preserve">  High affinity for serotonin and moderate affinity for dopamine.</t>
  </si>
  <si>
    <t>PK</t>
  </si>
  <si>
    <t>Absolute bioavailiability = 70% (CV=25%). Relative oral bioavailability is 94% (CV=10%). Metabolized in liver. CYP 2D6 hydroxylizes risperidone into main metabolite. 3 hour half-life. 21 hours for metabolite.</t>
  </si>
  <si>
    <t>Schizophrenia, Bipolar Mania, Irritability in Autism</t>
  </si>
  <si>
    <t>Stelara (ustekinumab)</t>
  </si>
  <si>
    <t>Clinical Studies</t>
  </si>
  <si>
    <t>4 short-term schizophrenia studies. 1 long-term schizophrenia study. 2 short-term bipolar studies.</t>
  </si>
  <si>
    <t>06/08 assuming pediatric extension. 30-month stay for MYL/RDY expires 5/06 and 6/06. M-tab stay expires 7/07 and 2/08. Oral solution stay expires 8/08 for Apotex.</t>
  </si>
  <si>
    <t>MYL/RDY preliminary injunction motion is to be heard by DCNJ on June 28, 2006.</t>
  </si>
  <si>
    <t>TEVA won FTF and sued FDA and won 4/29/08 in lower court. FDA likely to appeal but has not done so as of 5/15.</t>
  </si>
  <si>
    <t>Side Effects</t>
  </si>
  <si>
    <t>9% discontinuation due to AE vs 7% on placebo. 2.1% EPS. Tardive Dyskinesia, Hyperglycemia/Diabetes Mellitus</t>
  </si>
  <si>
    <t>Zyprexa (LLY): more effective but more toxic. Abilify (BMY): less effective but very safe. Geodon (PFE): was thought to be not safe but is very safe and somewhat effective.</t>
  </si>
  <si>
    <t>WW</t>
  </si>
  <si>
    <t xml:space="preserve">  y/y</t>
  </si>
  <si>
    <t>Q106: positively impacted due to a retroactive change in the methodology used to calculate the average manufacturing price for calculating Medicaid rebates. This increased Q1 growth by ~4%.</t>
  </si>
  <si>
    <t>Rx</t>
  </si>
  <si>
    <t>TRx</t>
  </si>
  <si>
    <t>NRx</t>
  </si>
  <si>
    <t>ambucetamide</t>
  </si>
  <si>
    <t>1955</t>
  </si>
  <si>
    <t>Janssen</t>
  </si>
  <si>
    <t>fentanyl</t>
  </si>
  <si>
    <t>1963</t>
  </si>
  <si>
    <t>pimozide</t>
  </si>
  <si>
    <t>1970</t>
  </si>
  <si>
    <t>mebendazole</t>
  </si>
  <si>
    <t>1972</t>
  </si>
  <si>
    <t>loperamide</t>
  </si>
  <si>
    <t>1973</t>
  </si>
  <si>
    <t>Clinical Success (cure plus improvement), efficacy was 95% for levofloxacin vs 83% in control group (superiority achieved).</t>
  </si>
  <si>
    <t>Phase III cSSI n=390 Levaquin vs approved comparator</t>
  </si>
  <si>
    <t>84.1% cure rate vs 80.3% for comparator, SS not mentioned.</t>
  </si>
  <si>
    <t>Phase III UTI n=1109 Levaquin vs Cipro</t>
  </si>
  <si>
    <t>75.7% cure rate vs 75.2% for Cipro in mITT.</t>
  </si>
  <si>
    <t>86.0% cure rate vs 89.2% for Cipro in evaluable population.</t>
  </si>
  <si>
    <t>Study 1 – n=590, unblinded randomized, 500mg levaquin a day for 7-14 days vs ceftriaxone IV 1-2mg / day followed by 500mg cefuroxime axetil twice a day for 7-14 days.</t>
  </si>
  <si>
    <t>Infection</t>
  </si>
  <si>
    <t>Daiichi</t>
  </si>
  <si>
    <t>Oral/IV</t>
  </si>
  <si>
    <t>Avelox, Tequin, Cipro</t>
  </si>
  <si>
    <t>Levaquin (levofloxacin)</t>
  </si>
  <si>
    <t>Topamax (topiramate)</t>
  </si>
  <si>
    <t>Duragesic (fentanyl)</t>
  </si>
  <si>
    <t>Concerta (methylphenidate)</t>
  </si>
  <si>
    <t>Fentora</t>
  </si>
  <si>
    <t>50mg missed S.S.: 36% ACR50 for goli+MTX vs 29% for MTX.</t>
  </si>
  <si>
    <t>HAP complete response letter received 8/21/08.</t>
  </si>
  <si>
    <t>Doribax (doripenem)</t>
  </si>
  <si>
    <t>Ultram ER</t>
  </si>
  <si>
    <t>BVF</t>
  </si>
  <si>
    <t>2014, IPXL challenge</t>
  </si>
  <si>
    <t>2Q</t>
  </si>
  <si>
    <t>3Q</t>
  </si>
  <si>
    <t>4Q</t>
  </si>
  <si>
    <t xml:space="preserve">     International</t>
  </si>
  <si>
    <t xml:space="preserve">     Worldwide</t>
  </si>
  <si>
    <t xml:space="preserve">     Domestic</t>
  </si>
  <si>
    <t>1Q99</t>
  </si>
  <si>
    <t>2Q99</t>
  </si>
  <si>
    <t>3Q99</t>
  </si>
  <si>
    <t>4Q99</t>
  </si>
  <si>
    <t>1Q00</t>
  </si>
  <si>
    <t>2Q00</t>
  </si>
  <si>
    <t>3Q00</t>
  </si>
  <si>
    <t>4Q00</t>
  </si>
  <si>
    <t>1Q01</t>
  </si>
  <si>
    <t>2Q01</t>
  </si>
  <si>
    <t>3Q01</t>
  </si>
  <si>
    <t>4Q01</t>
  </si>
  <si>
    <t>1Q02</t>
  </si>
  <si>
    <t>2Q02</t>
  </si>
  <si>
    <t>3Q02</t>
  </si>
  <si>
    <t>4Q02</t>
  </si>
  <si>
    <t>1Q03</t>
  </si>
  <si>
    <t>2Q03</t>
  </si>
  <si>
    <t>3Q03</t>
  </si>
  <si>
    <t>4Q03</t>
  </si>
  <si>
    <t>1Q04</t>
  </si>
  <si>
    <t>2Q04</t>
  </si>
  <si>
    <t>3Q04</t>
  </si>
  <si>
    <t>4Q04</t>
  </si>
  <si>
    <t>1Q05</t>
  </si>
  <si>
    <t>2Q05</t>
  </si>
  <si>
    <t>3Q05</t>
  </si>
  <si>
    <t>4Q05</t>
  </si>
  <si>
    <t>1Q06</t>
  </si>
  <si>
    <t>2Q06</t>
  </si>
  <si>
    <t>3Q06</t>
  </si>
  <si>
    <t>4Q06</t>
  </si>
  <si>
    <t>U.S.</t>
  </si>
  <si>
    <t>Intl</t>
  </si>
  <si>
    <t xml:space="preserve">  US y/y</t>
  </si>
  <si>
    <t>Psoriatic arthritis study not successful? --Leerink</t>
  </si>
  <si>
    <t xml:space="preserve">  ROW y/y</t>
  </si>
  <si>
    <t xml:space="preserve">  WW y/y</t>
  </si>
  <si>
    <t>Remicade, fka cA2.</t>
  </si>
  <si>
    <t>RA, PSA, AS</t>
  </si>
  <si>
    <t>Pharmacokinetics and Safety of Golimumab, a Fully Human Anti-TNF-alpha Monoclonal Antibody, in subjects with Rheumatoid Arthritis. Zhou et al. J Clin Pharm 2007;47:383-396.</t>
  </si>
  <si>
    <t>Phase III "T06, RA-2, GO-FORWARD" - n=444 - RA active despite MTX - Keystone et al, Ann Rheum Dis 2009 June;68(6):789-96.</t>
  </si>
  <si>
    <t>Phase II asthma n=309</t>
  </si>
  <si>
    <t>Study terminated due to 1 death and 8 malignancies. No efficacy seen at 24 weeks.</t>
  </si>
  <si>
    <t>Centocor - Kim Taylor - CEO</t>
  </si>
  <si>
    <t>Gruenthal</t>
  </si>
  <si>
    <t>Razadyne/Reminyl</t>
  </si>
  <si>
    <t>Phase II</t>
  </si>
  <si>
    <t>Phase I</t>
  </si>
  <si>
    <t>4,697</t>
  </si>
  <si>
    <t>Volume/Operational</t>
  </si>
  <si>
    <t>1,220</t>
  </si>
  <si>
    <t>1,162</t>
  </si>
  <si>
    <t>1,137</t>
  </si>
  <si>
    <t>1,178</t>
  </si>
  <si>
    <t>51</t>
  </si>
  <si>
    <t>TNF-a also activates neutrophil and eosinophil functional activity, induces acute phase reactants and other liver proteins and tissue degrading enzymes produced by synoviocytes and chrondocytes.</t>
  </si>
  <si>
    <t>Remicade reduces expression of e-selectin, ICAM-1, VCAM-1, IL-8, MCP-1 and MMP-1 and -3.</t>
  </si>
  <si>
    <t>Pharmacokinetics</t>
  </si>
  <si>
    <t xml:space="preserve">Linear dose-concentration relationship. T1/2 = 8.0-9.5d. No systemic accumulation. </t>
  </si>
  <si>
    <t>ASPIRE</t>
  </si>
  <si>
    <t>Placebo</t>
  </si>
  <si>
    <t>3mg/kg</t>
  </si>
  <si>
    <t>10mg/kg</t>
  </si>
  <si>
    <t>6mg/kg</t>
  </si>
  <si>
    <t>30 wks</t>
  </si>
  <si>
    <t>q8w</t>
  </si>
  <si>
    <t>q4w</t>
  </si>
  <si>
    <t>ACR20</t>
  </si>
  <si>
    <t>ACR50</t>
  </si>
  <si>
    <t>ACR70</t>
  </si>
  <si>
    <t>54 wks</t>
  </si>
  <si>
    <t>Major Response*</t>
  </si>
  <si>
    <t>*70% ACR for 6 consecutive months</t>
  </si>
  <si>
    <t>Natrecor (nesiritide)</t>
  </si>
  <si>
    <t>Takeda</t>
  </si>
  <si>
    <t>Treximet</t>
  </si>
  <si>
    <t>2014/2022</t>
  </si>
  <si>
    <t>Various</t>
  </si>
  <si>
    <t>CHF</t>
  </si>
  <si>
    <t>BNP</t>
  </si>
  <si>
    <t>Nitroglycerin</t>
  </si>
  <si>
    <t>Hormones</t>
  </si>
  <si>
    <t>WPI, BRL drugs</t>
  </si>
  <si>
    <t>Competitive Entries</t>
  </si>
  <si>
    <t>Unit Growth - Pre-Dialysis</t>
  </si>
  <si>
    <t>Unit Growth - Cancer</t>
  </si>
  <si>
    <t>Market Share</t>
  </si>
  <si>
    <t>Patent Expiry Penalty</t>
  </si>
  <si>
    <t>Pre Dialysis</t>
  </si>
  <si>
    <t>Domestic Forecast</t>
  </si>
  <si>
    <t>Pre-dialysis</t>
  </si>
  <si>
    <t>Dialysis</t>
  </si>
  <si>
    <t>Total Procrit (WW)</t>
  </si>
  <si>
    <t>Trovafloxacin (Trovan by PFE?, gatifloxacin (Tequin by BMY)?, moxifloxacin (Avelox by Bayer)? Cipro (generic), Factive (OSCI), Ceftriaxone?(differnet class)</t>
  </si>
  <si>
    <t>Injection (bolus) 2x wk for 2 wks followed by 10 day rest period.</t>
  </si>
  <si>
    <t>http://velcade.com/full_prescrib_velcade.pdf</t>
  </si>
  <si>
    <t>Multiple Myeloma (MM) for patients who received at least one prior therapy.</t>
  </si>
  <si>
    <t>http://www.cancer.org/docroot/CRI/content/CRI_2_4_1X_What_is_multiple_myeloma_30.asp</t>
  </si>
  <si>
    <t>Mantle Cell Lymphoma (MCL) who have received at least one prior therapy.</t>
  </si>
  <si>
    <t>Formulation Patent expires 2022, composition patent expires 2014</t>
  </si>
  <si>
    <t>Peripheral Neuropathy in 30% of the patients.  High rate of shingles</t>
  </si>
  <si>
    <t>Revlimid (CELG), Thalomid (CELG)</t>
  </si>
  <si>
    <t>JNJ / MLNM partnerhsip?  EU forever, what about US (commission?) will takeda renew?</t>
  </si>
  <si>
    <t>Phase III - Open label, relapsed Multiple Myeloma, velcade vs dexamethosone - study stopped early in favor of velcade</t>
  </si>
  <si>
    <t>Median TTP - 6.2 mo vs 3.5 mo for dex (primary endpoint)</t>
  </si>
  <si>
    <t>ORR 38% vs 18% for dex</t>
  </si>
  <si>
    <t>Median number of prior lines of therapy = 2 for both groups, all patients received steroids previously</t>
  </si>
  <si>
    <t>`</t>
  </si>
  <si>
    <t>Enter Revlimid data from CELG</t>
  </si>
  <si>
    <t>Phase III Apex - treatment in patients with relapse?</t>
  </si>
  <si>
    <t>Equally effected in younger and elderly?</t>
  </si>
  <si>
    <t>Adverse incidents comparable across groups</t>
  </si>
  <si>
    <t>Phase III VISTA (1) study - January 2005 - newly diagnosed patients, n=682</t>
  </si>
  <si>
    <t>Untreated patients that were not eligible for Stem cell transplantation (SCT)</t>
  </si>
  <si>
    <t>Finish - http://investor.millennium.com/phoenix.zhtml?c=80159&amp;p=irol-newsmediaArticle&amp;ID=1085399&amp;highlight=</t>
  </si>
  <si>
    <t>Phase IV Everest Study - asses M-protein response in patients who previously responded to velcade and relapsed following a treatment free remission</t>
  </si>
  <si>
    <t>Mantle Cell Lymphoma International Prognostic Index (MIPI)</t>
  </si>
  <si>
    <t>http://www.natrecor.com/natrecor/assets/pdf/natrecor_pi.pdf</t>
  </si>
  <si>
    <t>adCHF (acutely decompensated congestive heart failure)</t>
  </si>
  <si>
    <t>Approved 8/10/01, Composition patent</t>
  </si>
  <si>
    <t>Usage</t>
  </si>
  <si>
    <t>Procrit is 50% oncology and 50% is CKD. 25% of oncology is used in "curative" patients (Stage 1-3).</t>
  </si>
  <si>
    <t>In May 2005, the publication of two medical journal articles linking Natrecor to kidney problems higher death rates than standard heart failure treatments gave rise to a growing controversy about the safety of Natrecor.</t>
  </si>
  <si>
    <t>nitroglycerin</t>
  </si>
  <si>
    <t>100%?</t>
  </si>
  <si>
    <t>10 clinical trials</t>
  </si>
  <si>
    <t>Ortho Tri-Cyclen</t>
  </si>
  <si>
    <t>norgestimate/ethinyl estradiol</t>
  </si>
  <si>
    <t>Tablet</t>
  </si>
  <si>
    <t>Ortho Tri-Cyclen Lo</t>
  </si>
  <si>
    <t>Combination (3) triphasic oral contraceptive containing .18mg,.215mg,25mg nogestimate and 0.025mg ethiny estradiol</t>
  </si>
  <si>
    <t>Approved 8/22/02, expires  6/9/19 (method patent)</t>
  </si>
  <si>
    <t>Orhto-Cyclen</t>
  </si>
  <si>
    <t>Combination contraceptive product containing 0.250 mg norgestimate and 0.035 mg ethinyl estradiol.</t>
  </si>
  <si>
    <t>Approved 12/29/89</t>
  </si>
  <si>
    <t>Ortho-Novum</t>
  </si>
  <si>
    <t>norethindrone/ethinyl estradiol</t>
  </si>
  <si>
    <t>Combination oral contraceptive containing</t>
  </si>
  <si>
    <t>4 Patents early 1980's</t>
  </si>
  <si>
    <t>Ortho Evra</t>
  </si>
  <si>
    <t>Pretax income</t>
  </si>
  <si>
    <t>Tax Expense</t>
  </si>
  <si>
    <t>Long-term Debt</t>
  </si>
  <si>
    <t>Employee related obligations</t>
  </si>
  <si>
    <t>Simponi (golimumab)</t>
  </si>
  <si>
    <t>telaprevir</t>
  </si>
  <si>
    <t>infliximab</t>
  </si>
  <si>
    <t>Molecule</t>
  </si>
  <si>
    <t>TNF-alpha antibody to soluble and transmembrane TNF-alpha. TNF-a induces IL-1 and IL-6, leukocyte migration (by increasing endothelial layer permeability and expression of adhesion molecules by endothelial cells and leukocytes).</t>
  </si>
  <si>
    <t>Phase III "ATTRACT" n=428 MTX-refractory Rheumatoid Arthritis</t>
  </si>
  <si>
    <t>Phase III "ASPIRE" n=1004 MTX-naïve Rheumatoid Arthritis</t>
  </si>
  <si>
    <t>MTX+-Remicade 3mg or 10mg/kg at week 0,2,6 and q4w or q8w thereafter. Folic acid and corticosteroids allowed.</t>
  </si>
  <si>
    <t>MTX+-Remicade 3mg or 6mg/kg at week 0,2,6 and q8w thereafter. Folic acid and corticosteroids allowed.</t>
  </si>
  <si>
    <t>ATTRACT</t>
  </si>
  <si>
    <t>norelgestromin/ethinyl estradiol transdermal system</t>
  </si>
  <si>
    <t>Transdermal</t>
  </si>
  <si>
    <t>Combination transdermal contraceptive patch containing 6 mg norelgestromin and 0.75 mg ethinyl estradiol</t>
  </si>
  <si>
    <t>Approved 11/20/01, Expires 11/20/15 (Method &amp; Composition)</t>
  </si>
  <si>
    <t>Mu-receptor agonist and norepinephine reuptake inhibitor.</t>
  </si>
  <si>
    <t>USA, Canada, Japan licensed from Gruenethal</t>
  </si>
  <si>
    <t>7 Trials at APS</t>
  </si>
  <si>
    <t>Phase III - Presented at APS meeting 2008</t>
  </si>
  <si>
    <t xml:space="preserve">n=659 vs oxycodone vs placebo, similar efficacy to oxycodone.  Side effects - oxy 26% constipation vs 4%-7% tapentadol (50-75mg).  </t>
  </si>
  <si>
    <t>Constipation - oxy 26%, tapentadol 4-7% (50-75mg)</t>
  </si>
  <si>
    <t>Nausea - oxy 41%, tapentadol 18-21%</t>
  </si>
  <si>
    <t>Vomiting - oxy 31%, tapentadol 7-14%</t>
  </si>
  <si>
    <t>n=603, placebo controlled, randomized tapentadol (50,75,100mg), oxycodone 15mg or placebo</t>
  </si>
  <si>
    <t>Primary endpoint was sum of pain intensity differences 48hrs post treatment, secondary at 12, 24, 72 hrs</t>
  </si>
  <si>
    <t>All three tapentadol arms had statistically significant pain improvement vs placebo and lower GI side effects that oxycodone</t>
  </si>
  <si>
    <t>How much does oxycodone / oxycontin sell?</t>
  </si>
  <si>
    <t>Find more info on Gruenethal</t>
  </si>
  <si>
    <t>Topamax (8/2008)</t>
  </si>
  <si>
    <t>USA</t>
  </si>
  <si>
    <t>n=487 epilepsy who had 1-2 well-documented seizures during 3-month baseline phase. 400mg vs 50mg KM curve was p=0.0002 in time to first seizure.</t>
  </si>
  <si>
    <t>2 migraine studies. 26 weeks showed -1.1 for placebo vs -1.2, -2.1 and -2.4 for topamax 50,100 and 200mg.</t>
  </si>
  <si>
    <t>8/2008. 30-month stay expected to expire in 9/2006 for MYL. Will someone launch at risk? Cobalt expires 3/08.</t>
  </si>
  <si>
    <t>Metabolic acidosis, myopia, glaucoma, oligohidrosis, hyperthermia, cognition dysfunction, psychiatric disturbances, somnolence or fatigue</t>
  </si>
  <si>
    <t>Efficacy</t>
  </si>
  <si>
    <t>Responder rates around 40% in 6 epilepsy studies vs 0-20% for placebo. Response rate is % of patients with at least a 50% reduction.</t>
  </si>
  <si>
    <t>2005E</t>
  </si>
  <si>
    <t>2006E</t>
  </si>
  <si>
    <t>2007E</t>
  </si>
  <si>
    <t>Aciphex. Known as Pariet in ROW.</t>
  </si>
  <si>
    <t>Economics</t>
  </si>
  <si>
    <t>Eisai co-promotion -- what are the details?</t>
  </si>
  <si>
    <t>Approved</t>
  </si>
  <si>
    <t>5/8/2013 found to be enforceable, Teva loses case. 30-Month stay expires February 2007. 20mg delay release tablet being sued by TEVA, RDY and MYL</t>
  </si>
  <si>
    <t>Nexium (AZN), Prilosec (generic OTC), Protonix (WYE), Zantac (OTC), Axid (generic), Prevacid (Takeda/Abbott).</t>
  </si>
  <si>
    <t>Clinical Trials</t>
  </si>
  <si>
    <t>Phase 3 GERD study vs placebo</t>
  </si>
  <si>
    <t>At week 4, 63% of 10mg were healed vs 56% for 20mg, 54% for 40mg and 0% placebo.</t>
  </si>
  <si>
    <t xml:space="preserve">  Comparing across trials, Protonix label notes 46%, 58% and 75% healing rates for 10mg, 20mg and 40mg with 14% for placebo.</t>
  </si>
  <si>
    <t>At week 8, 93% of 10mg were healed vs 84% for 20mg, 85% for 40mg and 12% for placebo.</t>
  </si>
  <si>
    <t xml:space="preserve">  Comparing across trials, Protonix label notes 66%, 84% and 93% cure rates for 10mg, 20mg and 40mg vs 40% placebo.</t>
  </si>
  <si>
    <t>Phase 3 GERD study vs ranitidine (Zantac)</t>
  </si>
  <si>
    <t>At week 4, 59% were healed vs 36% for Zantac.</t>
  </si>
  <si>
    <t xml:space="preserve">  Comparing across trials, Protonix label notes 61% and 64% cure rates vs 22% for Axid.</t>
  </si>
  <si>
    <t>At week 8, 87% were healed vs 66% for Zantac.</t>
  </si>
  <si>
    <t xml:space="preserve">  Comparing across trials, Protonix label notes 79% and 83% cure rates vs 41% for Axid.</t>
  </si>
  <si>
    <t>Member of fluorouinolone class of antibacterial agents.  L-isomer of the racemate, ofloxacin, a quinolone antimicrobial agent.</t>
  </si>
  <si>
    <t>Levofloxacin and other flouroquinolone antimicrobials inhibit bacterial topoisomerase IV and DNA gyrase (both are type 2 topoisomerases)</t>
  </si>
  <si>
    <t>enzymes required for DNA replication, transcription, repair and recombination.  Acitivity against Gram+ &amp; - in vitro</t>
  </si>
  <si>
    <t xml:space="preserve">750mg IV followed by 750mg oral  for 7-15 days vs. IV imipenem/cilastatin (500-1000mg) every 6-8hrs daily </t>
  </si>
  <si>
    <t>followed by oral ciprofloxacin  (750mg ever 12 hrs) for total of 7-15 days.</t>
  </si>
  <si>
    <t>Levofloxacin – 7 days IV avg</t>
  </si>
  <si>
    <t>Comparator – 8 days IV avg</t>
  </si>
  <si>
    <t>Phase III PHOENIX I - AAD 2008 presentation</t>
  </si>
  <si>
    <t>Clinical success rate was 58.1% for levaquin and 60.6% for comparator</t>
  </si>
  <si>
    <t>Microbial eradication rates at post therapy visit were 66.7% for levaquin and 60.6% for comparator.</t>
  </si>
  <si>
    <t>Patients were given erythromicyn (or doxycycline) if infection due to atypical pathogens was present</t>
  </si>
  <si>
    <t>Clinical evaluation at day 5-7 and week 3-4 post therapy</t>
  </si>
  <si>
    <t>Study 2 – n=264, multi center, non comparative, 500mg IV or oral for 7 to 14 days.  Clinical success was 93%.</t>
  </si>
  <si>
    <t>Phase III – Community Acquired Pneumonia: 5 day treatment.  N=528. 750Mg (5 days) or 500mg (10 days) IV or Orally</t>
  </si>
  <si>
    <t>Clinical Success rate – 90.9% for 750mg, 91.1% for 500mg.</t>
  </si>
  <si>
    <t>31-38 days post enrollment – pneumonia observed in 7/151 patients from 750mg group, 2/147 from 500mg group, however it was not statistically significant due to low  n#</t>
  </si>
  <si>
    <t>Phase III – Acute Bacterial Sinusitis – 5 day (750mg) and 10-14 (500mg) day Treatment n = 780, double blind, double randomized, prospective, multicenter</t>
  </si>
  <si>
    <t>Antral tap results at test of cure (22 days post) were comparable between the 5 and 10 day group.</t>
  </si>
  <si>
    <t>Fentanyl is an opiod agonist analgesic 81x more potent than morphine. 336.5 molecular weight.</t>
  </si>
  <si>
    <t>Interacts predominantly with opiod mu-receptor.  These sites are located throughout brain, spinal cord &amp; other tissues. Principal pharmacologic effect is on the CNS.</t>
  </si>
  <si>
    <t>Elevates mood/euphoria/dysphoria.  Depresses respiratory centers, cough reflex &amp; constricts pupils.</t>
  </si>
  <si>
    <t>Approved 1990, Generics launched in January 2005 in US, Europe?</t>
  </si>
  <si>
    <t>LD50 in humans is 0.5-1mg/kg for opiate-naïve individuals. Respiratory depression.</t>
  </si>
  <si>
    <t>Transdermal Patch. Patch provides controlled release vs oral/topical. Patch is worn for 72 hours.</t>
  </si>
  <si>
    <t>Generic (started in Q105 in US), Mylan Laboratories / Sandoz. Cephalon's fentanyl portfolio (Fentora, Actiq).</t>
  </si>
  <si>
    <t>Q106: generic competition in the US in January 2005. Generic versions also launched in Europe.</t>
  </si>
  <si>
    <t>DURAGESIC®/Fentanyl Transdermal (fentanyl transdermal system) sales declined to $1.2 billion in 2007, a reduction of 10.1% from 2006. This decline was the result of the impact of generic competition in the U.S. and major international markets. Generic competition in the U.S. began in January 2005.</t>
  </si>
  <si>
    <t>Concerta Extended-Release</t>
  </si>
  <si>
    <t>Stimulant blocks the reuptake of dopamine and norepinephrine. Same mechanism as Ritalin.</t>
  </si>
  <si>
    <t>April 2000 approval.</t>
  </si>
  <si>
    <t>Adderall (generic), Adderall XR (Shire), Vyvanse (Shire), Ritalin (generic), Strattera (Lilly), Daytrana.</t>
  </si>
  <si>
    <t>IPXL and ADRX suing. CP holding up generics? OROS patents are orange-book listed and expire in 2017-2018.</t>
  </si>
  <si>
    <t xml:space="preserve">JNJ filed Citizen Petition 3/19/2004. </t>
  </si>
  <si>
    <t>http://www.fda.gov/ohrms/DOCKETS/</t>
  </si>
  <si>
    <t>3 Phase III ADHD Trials - Children vs Placebo.  N=416 (3 studies)</t>
  </si>
  <si>
    <t>Study 1 - Approx 7 vs 11.5 symptoms Concerta vs Placebo.  N=122</t>
  </si>
  <si>
    <t xml:space="preserve">Study 2 - Approx 5 vs 10.5 " </t>
  </si>
  <si>
    <t>Study 3 - Approx 6 vs 10 "</t>
  </si>
  <si>
    <t>OUS</t>
  </si>
  <si>
    <t>Q1:04</t>
  </si>
  <si>
    <t>Q2:04</t>
  </si>
  <si>
    <t>Q3:04</t>
  </si>
  <si>
    <t>Q4:04</t>
  </si>
  <si>
    <t>Q1:05</t>
  </si>
  <si>
    <t>Q2:05</t>
  </si>
  <si>
    <t>Q4:05E</t>
  </si>
  <si>
    <t>JNJ-26854165</t>
  </si>
  <si>
    <t>Hdm2</t>
  </si>
  <si>
    <t>JNJ-26481585</t>
  </si>
  <si>
    <t>HDAC</t>
  </si>
  <si>
    <t>JNJ-38877605</t>
  </si>
  <si>
    <t>RTKI</t>
  </si>
  <si>
    <t>canagliflozin</t>
  </si>
  <si>
    <t>SGLT2</t>
  </si>
  <si>
    <t>Invega Sustenna (paliperidone palmitate)</t>
  </si>
  <si>
    <t>Prostate Cancer</t>
  </si>
  <si>
    <t>Comfyde, fka RMJ333369</t>
  </si>
  <si>
    <t>Pharmacokinetics of carisbamate (RWJ-333369) in healthy Japanese and Western subjects. Zannikos et al. Epilepsia 1-10, 2009.</t>
  </si>
  <si>
    <t>Initially developed by SK Bio-Pharmaceuticals (NJ).</t>
  </si>
  <si>
    <t>200mg unsuccessful and 400mg only successful once??</t>
  </si>
  <si>
    <t>22 week study, 100mg, 300mg or 600mg vs placebo</t>
  </si>
  <si>
    <t>No S.S. effect on migraine reduction.</t>
  </si>
  <si>
    <t>carisbamate (S]-2-O-carbamoyl-1-o-chlorophenyl-
ethanol)</t>
  </si>
  <si>
    <t xml:space="preserve">  Invega/Sustenna</t>
  </si>
  <si>
    <t>Phase II Sarcoidosis</t>
  </si>
  <si>
    <t>Two subsequent identically designed, randomized, double-blind, placebo-controlled Phase III studies examined</t>
  </si>
  <si>
    <t>daily dosages of 200 and 400 mg. The 400 mg dosage was efficacious in one of the two studies, but the 200 mg dosage</t>
  </si>
  <si>
    <t>did not separate from placebo in either study. An additional analysis of the efficacy of carisbamate in the presence and</t>
  </si>
  <si>
    <t>in the absence of UGT-inducing AEDs revealed that, for both the 200 and 400 mg daily dosages in both of these studies,</t>
  </si>
  <si>
    <t>noninduced subjects had a greater reduction in seizure rate and a greater responder rate than induced subjects.</t>
  </si>
  <si>
    <t xml:space="preserve">Less than placebo discontinuations at 100mg and 300mg. </t>
  </si>
  <si>
    <t>Phase IIB Epilepsy trial in n=537 refractory - Faught et al Neurology 2009</t>
  </si>
  <si>
    <t>Phase II Migraine prevention - n=323 - Cady et al Headache 2009</t>
  </si>
  <si>
    <t>Unknown, probably ion channel modulator. Felbamate derivative (had severe tox but was effective).</t>
  </si>
  <si>
    <t>Phase IIA n=13 photosensitive patients - 2007 Trenite et al</t>
  </si>
  <si>
    <t>Successful trial.</t>
  </si>
  <si>
    <t>Invega Sustenna</t>
  </si>
  <si>
    <t>Filed 10/29/2007, PDUFA date 8/29/2008. New PDUFA August 2009. File in EU in 2009.</t>
  </si>
  <si>
    <t>Company ran three Phase III studies - R&amp;D Day 2009 One Phase III failed as liver enzyme drug-drug interaction hurt efficacy.</t>
  </si>
  <si>
    <t>Phase III "EPY-3001" and "EPY-3002" - Bialer et al 2009</t>
  </si>
  <si>
    <t>Phase III "EPY-3013"</t>
  </si>
  <si>
    <t>800mg and 1200mg/day 3-arm, 14-week study</t>
  </si>
  <si>
    <t>QT shortening. Small % of liver toxicity.</t>
  </si>
  <si>
    <t>Phase II NPP-2003 in DPN vs Lyrica</t>
  </si>
  <si>
    <t>Phase III "EPY-3007" vs Topamax and levetiracetam</t>
  </si>
  <si>
    <t>Lamictal (generic), Lamictal XR (GSK), Lyrica (PFE), Neurontin (generic), Topamax (generic).</t>
  </si>
  <si>
    <t>11.5-12.8 hour half life, 94% bioavailability. Fast titration.</t>
  </si>
  <si>
    <t>Opiate/NRI</t>
  </si>
  <si>
    <t>NCE?</t>
  </si>
  <si>
    <t>MDVN</t>
  </si>
  <si>
    <t>Testoserone</t>
  </si>
  <si>
    <t>Velcade (bortezomib)</t>
  </si>
  <si>
    <t>Q1:06E</t>
  </si>
  <si>
    <t>Q2:06E</t>
  </si>
  <si>
    <t>Q3:06E</t>
  </si>
  <si>
    <t>Q4:06E</t>
  </si>
  <si>
    <t>4/05 expiration for PRX, 7/06 for TEVA, 2/07 for Caraco (30 month stays)</t>
  </si>
  <si>
    <t>Kali moved for summary judgement and a decision is expected anytime.</t>
  </si>
  <si>
    <t>Extension?</t>
  </si>
  <si>
    <t>Q208: Xience to launch.</t>
  </si>
  <si>
    <t>POTECT - n=8800 ENDEAVOR vs CYPHER</t>
  </si>
  <si>
    <t>Dabao</t>
  </si>
  <si>
    <t>Chinese Cosmetics</t>
  </si>
  <si>
    <t>Phase III "ECHO" head-to-head versus Sustiva</t>
  </si>
  <si>
    <t>25mg vs EFV 600mg with fixed Truvada background.</t>
  </si>
  <si>
    <t>Phase III "THRIVE" head-to-head versus Sustiva</t>
  </si>
  <si>
    <t>25mg vs EFV 600mg with investigator-selected backrgound therapy.</t>
  </si>
  <si>
    <t>n=680 global study, 48-week primary endpoint.</t>
  </si>
  <si>
    <t>kali launched in april 2005 after 30-month stay expired but JNJ suing for injunction. TEVA, BRL suing too. Caraco launched at risk as well.</t>
  </si>
  <si>
    <t>FY03</t>
  </si>
  <si>
    <t>FY04</t>
  </si>
  <si>
    <t>FY05</t>
  </si>
  <si>
    <t>Q106: significant decline due to media coverage</t>
  </si>
  <si>
    <t>Prevention of VTE following total knee replacement surgery. 6.9% vs 10.1% for Lovenox.</t>
  </si>
  <si>
    <t>Major bleeding 0.7% vs 0.3% for Lovenox.</t>
  </si>
  <si>
    <t>2020 - DB</t>
  </si>
  <si>
    <t>"Less than Risperdal". QTC on the label?</t>
  </si>
  <si>
    <t>Timeline</t>
  </si>
  <si>
    <t>Regulatory</t>
  </si>
  <si>
    <t>Filed in EU in May 2006.</t>
  </si>
  <si>
    <t>9.14 for 3mg/6mg, 13.71 for 9mg.</t>
  </si>
  <si>
    <t>&gt;1600 patients</t>
  </si>
  <si>
    <t>22% recurrence events vs 52% for placebo. Trial halted early for efficacy</t>
  </si>
  <si>
    <t>Paliperidone vs placebo vs olanzapine - March 2004 start n=595</t>
  </si>
  <si>
    <t>12/14/2005 press release notes Paliperidone ER presented at scientific meeting.</t>
  </si>
  <si>
    <t>discontinuation rates similar to placebo - better than risperdal?</t>
  </si>
  <si>
    <t>not extensively metabolized by the liver</t>
  </si>
  <si>
    <t>steady release over 24 hour period</t>
  </si>
  <si>
    <t>AE include akathisia, EPS, tachycardia, sinus tachycardia</t>
  </si>
  <si>
    <t>5/23/2006 one study showed 4% discontinuation for placebo, 2% for 3mg, 5% for 9mg and 3% for 15mg.</t>
  </si>
  <si>
    <t>Royalty to Alkermes (ALKS).</t>
  </si>
  <si>
    <t>US 11/2013: method of use for treatment of schizophrenia. Maximum 6/30/2019.</t>
  </si>
  <si>
    <t>1Q07</t>
  </si>
  <si>
    <t>2Q07</t>
  </si>
  <si>
    <t>149</t>
  </si>
  <si>
    <t>11</t>
  </si>
  <si>
    <t>15</t>
  </si>
  <si>
    <t>18</t>
  </si>
  <si>
    <t>38</t>
  </si>
  <si>
    <t>590</t>
  </si>
  <si>
    <t>640</t>
  </si>
  <si>
    <t>581</t>
  </si>
  <si>
    <t>620</t>
  </si>
  <si>
    <t>82</t>
  </si>
  <si>
    <t>2,431</t>
  </si>
  <si>
    <t>54</t>
  </si>
  <si>
    <t>67</t>
  </si>
  <si>
    <t>86</t>
  </si>
  <si>
    <t>106</t>
  </si>
  <si>
    <t>313</t>
  </si>
  <si>
    <t>2,737</t>
  </si>
  <si>
    <t>677</t>
  </si>
  <si>
    <t>660</t>
  </si>
  <si>
    <t>740</t>
  </si>
  <si>
    <t>602</t>
  </si>
  <si>
    <t>2,949</t>
  </si>
  <si>
    <t>725</t>
  </si>
  <si>
    <t>750</t>
  </si>
  <si>
    <t>755</t>
  </si>
  <si>
    <t>719</t>
  </si>
  <si>
    <t>119</t>
  </si>
  <si>
    <t>144</t>
  </si>
  <si>
    <t>161</t>
  </si>
  <si>
    <t>178</t>
  </si>
  <si>
    <t>~5</t>
  </si>
  <si>
    <t>6/1/1989 making it JNJ's oldest drug that is still marketed.</t>
  </si>
  <si>
    <t>golimumab</t>
  </si>
  <si>
    <t>Generic name</t>
  </si>
  <si>
    <t>Epilelpsy</t>
  </si>
  <si>
    <t>paliperidone ER OROS</t>
  </si>
  <si>
    <t>Schizophrenia, bipolar mania, schizoaffective disorder.</t>
  </si>
  <si>
    <t>Simponi fka CNTO 148</t>
  </si>
  <si>
    <t>SGP partner? MEDX.</t>
  </si>
  <si>
    <t>Antibody</t>
  </si>
  <si>
    <t>3Q07</t>
  </si>
  <si>
    <t>4Q07</t>
  </si>
  <si>
    <t>1Q08</t>
  </si>
  <si>
    <t>2Q08</t>
  </si>
  <si>
    <t>3Q08</t>
  </si>
  <si>
    <t>4Q08</t>
  </si>
  <si>
    <t>Y/Y</t>
  </si>
  <si>
    <t>Bone Cement</t>
  </si>
  <si>
    <t>Spinal</t>
  </si>
  <si>
    <t>Trauma</t>
  </si>
  <si>
    <t>% sales U.S.</t>
  </si>
  <si>
    <t>% sales OUS</t>
  </si>
  <si>
    <t>Q1:99</t>
  </si>
  <si>
    <t>Q2:99</t>
  </si>
  <si>
    <t>Q3:99</t>
  </si>
  <si>
    <t>Q4:99</t>
  </si>
  <si>
    <t>Q1:00</t>
  </si>
  <si>
    <t>Q2:00</t>
  </si>
  <si>
    <t>Q3:00</t>
  </si>
  <si>
    <t>Q4:00</t>
  </si>
  <si>
    <t>Q1:01</t>
  </si>
  <si>
    <t>Q2:01</t>
  </si>
  <si>
    <t>Q3:01</t>
  </si>
  <si>
    <t>Use is about 65% RA, 25% Crohn's and 10% other.</t>
  </si>
  <si>
    <t>105</t>
  </si>
  <si>
    <t>115</t>
  </si>
  <si>
    <t>16</t>
  </si>
  <si>
    <t>30</t>
  </si>
  <si>
    <t>46</t>
  </si>
  <si>
    <t>185</t>
  </si>
  <si>
    <t>205</t>
  </si>
  <si>
    <t>Q4:01</t>
  </si>
  <si>
    <t>Q1:02</t>
  </si>
  <si>
    <t>Q2:02</t>
  </si>
  <si>
    <t>Q3:02</t>
  </si>
  <si>
    <t>Q4:02</t>
  </si>
  <si>
    <t>Q1:03</t>
  </si>
  <si>
    <t>Q2:03</t>
  </si>
  <si>
    <t>Q3:03</t>
  </si>
  <si>
    <t>Q4:03</t>
  </si>
  <si>
    <t>Skin Care</t>
  </si>
  <si>
    <t>Women's Health</t>
  </si>
  <si>
    <t xml:space="preserve">     Domestic </t>
  </si>
  <si>
    <t>Baby Care (14% in 2007) - Johnson's, Soothing Naturals, BabyCenter, Desitin.</t>
  </si>
  <si>
    <t>Women's Health (12% in 2007) - Sanitary Protection</t>
  </si>
  <si>
    <t>Skin Care (21% in 2007) - Neutrogena, Lubiderm, Aveeno, Vendome. JNJ far behind in Body Cleansing, Sun Care, Facial and Hand, Body &amp; Foot.</t>
  </si>
  <si>
    <t>Orthopedic and Neurosurgery franchise - Michael Mahoney is Group Chairman</t>
  </si>
  <si>
    <t>$48bn WW market in 2012 for orthopaedics.</t>
  </si>
  <si>
    <t xml:space="preserve">  DePuy Mitek: sports medicine &amp; soft tissue repair</t>
  </si>
  <si>
    <t xml:space="preserve">  Codman: Neuro-surgical solutions</t>
  </si>
  <si>
    <t>Stelara, fka CNTO 1275</t>
  </si>
  <si>
    <t xml:space="preserve">  OTC/Nutritions is largest business unit. Marc Robinson is Group Chairman.</t>
  </si>
  <si>
    <t>Oral Care</t>
  </si>
  <si>
    <t>Baby Care</t>
  </si>
  <si>
    <t>Wound Care/Other</t>
  </si>
  <si>
    <t>Baby Care Y/Y</t>
  </si>
  <si>
    <t>OTC/Nutritionals Y/Y</t>
  </si>
  <si>
    <t>Total Consumer</t>
  </si>
  <si>
    <t>Skin Care Y/Y</t>
  </si>
  <si>
    <t xml:space="preserve">  Domestic Y/Y</t>
  </si>
  <si>
    <t xml:space="preserve">  International Y/Y</t>
  </si>
  <si>
    <t>Total Y/Y</t>
  </si>
  <si>
    <t xml:space="preserve">Q106: strong growth in ortho tri-cyclen lo. Ortho evra declined due to labeling changes and negative media coverage. </t>
  </si>
  <si>
    <t>87%/91% on 45mg/90mg maintained PASI 75% at 52 weeks.</t>
  </si>
  <si>
    <t xml:space="preserve">  64%/62% had PASI 75% at 52 weeks after having discontinued at 40wks</t>
  </si>
  <si>
    <t>Company preparing for end-of-p2 meeting with FDA. Looking to move into p3 results in the next few months.</t>
  </si>
  <si>
    <t>MEDX antibody, low single digit royalty?</t>
  </si>
  <si>
    <t>Superior to previous market leader Enbrel.</t>
  </si>
  <si>
    <t>6/06: JNJ notes top-line phase 2b results "completely validated what we hoped for".</t>
  </si>
  <si>
    <t xml:space="preserve">  active against a wide range of Gram-positive and Gram-negative bacterias</t>
  </si>
  <si>
    <t>83% clinical cure rate in patients with complicated intra-abdominal infections</t>
  </si>
  <si>
    <t>n=486 (315 microbiologically evaluable), 83.3% doripenem cure rate and 83% for meropenem</t>
  </si>
  <si>
    <t>9.5% nausea, 7.4% diarrhea, 7% anemia, 6.6% vomiting</t>
  </si>
  <si>
    <t>-1.7 to -2.0 logs vs -0.63 in POWER1</t>
  </si>
  <si>
    <t>Mostly benign. Diarrhea, nausea, headache.</t>
  </si>
  <si>
    <t>Kaletra has 1.1B run-rate. better resistance profile? Aimed for 2L. Might be able to file with phase 2?</t>
  </si>
  <si>
    <t>TMC114-C226: EAP</t>
  </si>
  <si>
    <t>TMC114-C211: TMC114 vs Kaletra in tx-naïve pts. N=660. Study start 9/2005. Still enrolling as of 5/2006.</t>
  </si>
  <si>
    <t xml:space="preserve">  ARTEMIS? 84% &lt;50copies vs 78% undectectable.</t>
  </si>
  <si>
    <t>TMC114-C207: p2a POC study presented at Feb 2003 Boston CROI</t>
  </si>
  <si>
    <t>Phase III CINEMA - ocrelizumab vs Remicade in patients failing Humira or Enbrel</t>
  </si>
  <si>
    <t xml:space="preserve">TMC114-C202:POWER2: ongoing for 144 weeks. Data presented at ICAAC 2005. </t>
  </si>
  <si>
    <t>n=278 who have failed 3 therapies. 62% of patients achieved 1log or more vs 14% for control group. 39% undetectable vs 7% for control arm.</t>
  </si>
  <si>
    <t>TMC114-C213:POWER1: ongoing for 144 weeks. 24wk data presented at IAS 2005.</t>
  </si>
  <si>
    <t>Presentations</t>
  </si>
  <si>
    <t>TMC114-C214: pivotal p3 study in moderately tx-experienced patients</t>
  </si>
  <si>
    <t>TMC114</t>
  </si>
  <si>
    <t>p2 RA - 62% of goli+MTX had ACR20 at week 16 vs 37% for MTX alone. 31% ACR50, 12% ACR70 (6% and 0% for placebo). 25% achieved remission evaluated by DAS28.</t>
  </si>
  <si>
    <t>US Pharma</t>
  </si>
  <si>
    <t>ExUS Pharma</t>
  </si>
  <si>
    <t>Total Pharma</t>
  </si>
  <si>
    <t>US MD&amp;D</t>
  </si>
  <si>
    <t>ExUS MD&amp;D</t>
  </si>
  <si>
    <t>US Consumer</t>
  </si>
  <si>
    <t>ExUS Consumer</t>
  </si>
  <si>
    <t>Phase II - Rheumatoid Arthritis - Published in Arthritis &amp; Rheumatism 2006: 54(9);S833. Kay J et al.</t>
  </si>
  <si>
    <t>Flexeril</t>
  </si>
  <si>
    <t>1/1990?</t>
  </si>
  <si>
    <t>McNeil</t>
  </si>
  <si>
    <t>Ortho Mcneil</t>
  </si>
  <si>
    <t>Ortho Novum</t>
  </si>
  <si>
    <t>Micronor</t>
  </si>
  <si>
    <t>Modicon 28</t>
  </si>
  <si>
    <t>de novo by Tibotec.</t>
  </si>
  <si>
    <t>Drug-drug interaction?</t>
  </si>
  <si>
    <t>Diarrhea and rash.</t>
  </si>
  <si>
    <t>Filed in Q307, assume priority review and approval in Q108.</t>
  </si>
  <si>
    <t>Projections</t>
  </si>
  <si>
    <t>Sustiva generated $800m in sales in 2006 and is expected to generate $900m in sales in 2007.</t>
  </si>
  <si>
    <t>TMC125-C223: p2b in n=199 tx-experienced patients.</t>
  </si>
  <si>
    <t xml:space="preserve"> -1.04/-1.18 vs -0.19 for 400mg/800mg vs control groups.</t>
  </si>
  <si>
    <t>48-week data showed 98% of control patients had discontinued by 48 weeks vs 38% of TMC125 patients.</t>
  </si>
  <si>
    <t>Week 48 viral load: -0.88, -1.01 and -0.14 in 400mg 800mg and control.</t>
  </si>
  <si>
    <t>31%, 34% and 8% achieved 1 log or greater reduction in viral load at 48 weeks</t>
  </si>
  <si>
    <t>DUET-1, DUET-2 phase III</t>
  </si>
  <si>
    <t>2 n=600 pivotal studies in tx-experienced patients began in November 2005. PI agent will be TMC114.</t>
  </si>
  <si>
    <t>NS for cd4?</t>
  </si>
  <si>
    <t>c227 - stopped early by dsmb?</t>
  </si>
  <si>
    <t>Stroke and thrombosis prevention.</t>
  </si>
  <si>
    <t xml:space="preserve">  1.3 million people in the US get a DVT or receive hip/knee replacement.</t>
  </si>
  <si>
    <t>Superior to Lovenox (enoxaparin) and similar safety profile.</t>
  </si>
  <si>
    <t>DVT, non-fatal PE, all-cause mortality was 18.9% for enoxaparin vs 9.6% for rivaroxaban, a 49% reduction.</t>
  </si>
  <si>
    <t>Ortho-Clinical Dx</t>
  </si>
  <si>
    <t>Q106: 7.4% growth driven by automated blood typing products, ongoing growth of ECI and success of Vitros 5, 1 FS Clinical Chemistry system.</t>
  </si>
  <si>
    <t>Lifescan</t>
  </si>
  <si>
    <t>Animas</t>
  </si>
  <si>
    <t>~80</t>
  </si>
  <si>
    <t>Q106: grew 3% on strong ONETOUCH ULTRA. Acquisition on Animus completed in Q106, providing LifeScan with a platform for entry into the insulin pump segment.</t>
  </si>
  <si>
    <t>Total Vision Care</t>
  </si>
  <si>
    <t>Q106: 13.2% growth on Acuvue Advance, Hydraclear, 1-day Acuvue, Acuvue Oasys with Hydra-Clear.</t>
  </si>
  <si>
    <t>Blood Banking &amp; Other</t>
  </si>
  <si>
    <t>Clinical Chemistry</t>
  </si>
  <si>
    <t>Immunoassay</t>
  </si>
  <si>
    <t xml:space="preserve">Total Ortho Dx </t>
  </si>
  <si>
    <t>WW Diagnostics</t>
  </si>
  <si>
    <t>Cordis Ex Coronary Stents</t>
  </si>
  <si>
    <t>Total Cordis</t>
  </si>
  <si>
    <t>Other MD&amp;D</t>
  </si>
  <si>
    <t xml:space="preserve">Total MD&amp;D </t>
  </si>
  <si>
    <t>Vistakon</t>
  </si>
  <si>
    <t>Other Professional</t>
  </si>
  <si>
    <t>EU Coronary Stents</t>
  </si>
  <si>
    <t>EU Cordis ex Coronary Stents</t>
  </si>
  <si>
    <t>EU Total Cordis</t>
  </si>
  <si>
    <t>WW Coronary Stents</t>
  </si>
  <si>
    <t>WW Cordis ex Coronary Stents</t>
  </si>
  <si>
    <t>WW Total</t>
  </si>
  <si>
    <t>PTCA procedures</t>
  </si>
  <si>
    <t>=*1.03</t>
  </si>
  <si>
    <t>Pricing</t>
  </si>
  <si>
    <t>=*.97</t>
  </si>
  <si>
    <t>DES ASP</t>
  </si>
  <si>
    <t>2000 - JNJ wins damages against BSX and MDT for $324m and $271m and wins retrials but still faces appeal</t>
  </si>
  <si>
    <t>Biosurgicals, Ethicon/EES businesses.</t>
  </si>
  <si>
    <t>Mentor</t>
  </si>
  <si>
    <t>Cougar</t>
  </si>
  <si>
    <t>Omrix</t>
  </si>
  <si>
    <t>Size</t>
  </si>
  <si>
    <t>$370m</t>
  </si>
  <si>
    <t>Diabetes Care (LifeScan)</t>
  </si>
  <si>
    <t>Animas/Amicus?</t>
  </si>
  <si>
    <t>Leading maker of insulin infusion pumps.</t>
  </si>
  <si>
    <t>$518m</t>
  </si>
  <si>
    <t>$1,000m</t>
  </si>
  <si>
    <t>Prostate Cancer Phase III Candidate</t>
  </si>
  <si>
    <t>Ortho Clinical Diagnostics</t>
  </si>
  <si>
    <t>Humira (adalimumab - ABT), Enbrel (etanercept - AMGN), Cimzia (certolizumab pegol - UCB). Oral RA drugs nowhere in sight--JAK3 too toxic and p38 ineffective/toxic. PFE JAK3, Anti-CD20s will be the most serious competition.</t>
  </si>
  <si>
    <t>Antivirals: HIV, Hepatitis C, TB.</t>
  </si>
  <si>
    <t>Antibiotic: doripenem.</t>
  </si>
  <si>
    <t>JNJ Pharma Day 2009</t>
  </si>
  <si>
    <t>Revenue</t>
  </si>
  <si>
    <t>2008: Sold Professional Wound Care business for $500m.</t>
  </si>
  <si>
    <t>SurgRx</t>
  </si>
  <si>
    <t>2008: Purchased Omrix.</t>
  </si>
  <si>
    <t>2008: Purchased SurgRx (energy-based instruments).</t>
  </si>
  <si>
    <t>Approved in the US 4/29/09. Submitted MAA in March 2008. Positive CHMP opinion June 2009.</t>
  </si>
  <si>
    <t>Sued ABT over Humira patents and won $1.67bn in June 2009.</t>
  </si>
  <si>
    <t>NCE? 7,521,206 issued in 2009. ABT suing over 7223394.</t>
  </si>
  <si>
    <t>Intelence, fka TMC125</t>
  </si>
  <si>
    <t>rabeprazole delayed release</t>
  </si>
  <si>
    <t>GERD, Heartburn, Peptic Ulcer</t>
  </si>
  <si>
    <t>Uses OROS - releases drug into bloodstream over 24-hour period</t>
  </si>
  <si>
    <t>Similar to risperidone - only differentiated by one hydroxy group - raises IP issues??? - the active metabolite?. Not extensively metabolized by the liver and is excreted largely unchanged through the kidney.</t>
  </si>
  <si>
    <t>Intramuscular</t>
  </si>
  <si>
    <t>Atypical antipsychotic. Dopamine and serotonin subreceptor antagonist.</t>
  </si>
  <si>
    <t>levofloxacin</t>
  </si>
  <si>
    <t>Oral, IV</t>
  </si>
  <si>
    <t>http://www.levaquin.com/levaquin/shared/pi/levaquin.pdf</t>
  </si>
  <si>
    <t>bortezomib</t>
  </si>
  <si>
    <t>tripeptide, Proteasome Inhibitor</t>
  </si>
  <si>
    <t>Peak concentration 30 mins.  Drug levels cannot be measured after 1hr.</t>
  </si>
  <si>
    <t>fentanyl transdermal system</t>
  </si>
  <si>
    <t>Persistent Chronic Pain - moderate to servere.</t>
  </si>
  <si>
    <t>http://www.duragesic.com/duragesic/shared/pi/duragesic.pdf</t>
  </si>
  <si>
    <t>topiramate</t>
  </si>
  <si>
    <t>Blocks voltage-dependent sodium channels, augments GABA, antagonizes AMPA/kainate subtype of glutamate receptor, inhibits carbonic anhydrase enzyme (isozymes II and IV) MW 339.</t>
  </si>
  <si>
    <t>Peak plasma within 2 hours. Relative bioavailability of 80%. PK linear. Plasma elimination half-life is 21 hours. 70% excretion in urine, unmetabolized.</t>
  </si>
  <si>
    <t>Benzodiazapine; benzisoxazole. MW = 410</t>
  </si>
  <si>
    <t>Dopamine (D2) and serotonin (5HT2) antagonist. Ki = 0.12-7.3 nM for 5HT2, D2, alpha1/2 adrenergic and H1 receptors. Ki 47-253 nM for 5HT1C/1D/1A.  620-800 nM for D1.</t>
  </si>
  <si>
    <t>methylphenidate extended-release</t>
  </si>
  <si>
    <t>http://www.concerta.net/concerta/assets/prescribing_info.pdf#zoom=56</t>
  </si>
  <si>
    <t>Ultram, Ultracet</t>
  </si>
  <si>
    <t>nesiritide</t>
  </si>
  <si>
    <t>Human BNP - relaxes arterial and veinous tissue</t>
  </si>
  <si>
    <t>t1/2=18 mins, 2/3 AUC</t>
  </si>
  <si>
    <t>etravirine</t>
  </si>
  <si>
    <t>NNRTI with improved resistance and safety.</t>
  </si>
  <si>
    <t>Oral BID</t>
  </si>
  <si>
    <t>Protease inhibitor. Contains a 3R, 3a(S), 6aR-bis-tetrahydrofuranylurethane (bis-THF) group. Selected for its high 'genetic barrier' to resistance. Has a close fit within the substrate envelope.</t>
  </si>
  <si>
    <t>Chemically similar to amprenavir (APV), but with substantially higher potency.</t>
  </si>
  <si>
    <t>Combination (3) triphasic oral contraceptive containing .18mg,.215mg,25mg nogestimate and 0.035mg ethiny estradiol</t>
  </si>
  <si>
    <t>Approved 7/3/92, no unexpired patents</t>
  </si>
  <si>
    <t>ustekinumab</t>
  </si>
  <si>
    <t>Anti-IL-12/23 antibody. Mab to p40 sub-unit of IL-12 and IL-23.</t>
  </si>
  <si>
    <t>Theoretical cancer concern.</t>
  </si>
  <si>
    <t>Was previously suspended following QT prolongation at high doses.</t>
  </si>
  <si>
    <t>doripenem</t>
  </si>
  <si>
    <t>cUTI and cIAI</t>
  </si>
  <si>
    <t>carbapenem</t>
  </si>
  <si>
    <t>50mg SC QM (Humira q2w, Enbrel qw). IV coming?</t>
  </si>
  <si>
    <t>qm IM intramusclar injection, superior to Risperdal Consta.</t>
  </si>
  <si>
    <t>6/2006: JNJ notes top-line results for 1 of the phase 3 studies. "Hoping to change the treatment of schizophrenia from daily to 12 injections a year".</t>
  </si>
  <si>
    <t>European patents have expired (2004). US August 2013? Generic biologics are non-substitutable globally (must be marketed by generic company).</t>
  </si>
  <si>
    <t>2010/2011</t>
  </si>
  <si>
    <t>December 2010 expiration (June 2011). Court found MYL infringes on 12/23/2004.</t>
  </si>
  <si>
    <t>Approved 12/20/1996, Expires 12/20/10, Pediatric Exclusivity until June 20, 2011. 3 year PTR included.</t>
  </si>
  <si>
    <t xml:space="preserve">Ethicon </t>
  </si>
  <si>
    <t>Legacy</t>
  </si>
  <si>
    <t>Filed 3/31/1998, approved 8/19/1999.</t>
  </si>
  <si>
    <t>IV infusion only.</t>
  </si>
  <si>
    <t>Aranesp (AMGN). Suing AMGN for anti-competitive bundling. Discounting/Contracting cycle? Roche's CERA. Biogenerics from Teva, Stada. Affymax's Hematide. Shire's Dynepo. Merck EPO.</t>
  </si>
  <si>
    <t>Currency Impact</t>
  </si>
  <si>
    <t xml:space="preserve">  Brands: Tylenol, Sudafed, Benadryl, Zyrtec, Rolaids, Dolormin, Motrin, Motilium, Mylanta, Imodium, Pepcid, Nicorette, Splenda, Lactaid, Benecol, Sun Crystals, Viactiv - Largest OTC business in the world.</t>
  </si>
  <si>
    <t xml:space="preserve">    McNeil Consumer Healthcare, McNEIL-PPC.</t>
  </si>
  <si>
    <t xml:space="preserve">    Motrin (ibuprofen) competes with aspirin, naproxen, other forms of ibuprofen and acetominophen. Roughly $100m?</t>
  </si>
  <si>
    <t xml:space="preserve">    Nicotrol (nicotine addiction) discontinued?</t>
  </si>
  <si>
    <t>International Operational</t>
  </si>
  <si>
    <t>Total Operational</t>
  </si>
  <si>
    <t>Total Currency</t>
  </si>
  <si>
    <t>International Currency</t>
  </si>
  <si>
    <t xml:space="preserve">  Neutrogena is top brand at $400m?</t>
  </si>
  <si>
    <t xml:space="preserve">    Imodium $80m?</t>
  </si>
  <si>
    <t xml:space="preserve">    Nizoral Shampoo $20m?</t>
  </si>
  <si>
    <t xml:space="preserve">    Splenda #2 brand? $200m?</t>
  </si>
  <si>
    <t xml:space="preserve">    Benecol $50m?</t>
  </si>
  <si>
    <t xml:space="preserve">  Aveeno $100m?</t>
  </si>
  <si>
    <t>All Other (8% in 2007) - Band-Aid $160m (was Skin Care)</t>
  </si>
  <si>
    <t xml:space="preserve">  Baby Shampoo - $200m</t>
  </si>
  <si>
    <t xml:space="preserve">  Napkins $300m</t>
  </si>
  <si>
    <t xml:space="preserve">  Tampons $75m</t>
  </si>
  <si>
    <t xml:space="preserve">  Monistat $50m</t>
  </si>
  <si>
    <t xml:space="preserve">  Contraceptive Gels $20m</t>
  </si>
  <si>
    <t xml:space="preserve">    Mylanta $150m</t>
  </si>
  <si>
    <t xml:space="preserve">    Pepcid/AC $100m</t>
  </si>
  <si>
    <t>Europe</t>
  </si>
  <si>
    <t>Western Hemisphere</t>
  </si>
  <si>
    <t>APAC</t>
  </si>
  <si>
    <t>Dabao - Q3 2008</t>
  </si>
  <si>
    <t>Vania - June 2009</t>
  </si>
  <si>
    <t xml:space="preserve">  Dabao</t>
  </si>
  <si>
    <t xml:space="preserve">  Babycenter.com - Exits retail Q2 2009.</t>
  </si>
  <si>
    <t xml:space="preserve">  K-Y</t>
  </si>
  <si>
    <t xml:space="preserve">  Stay Free</t>
  </si>
  <si>
    <t>Q106: Strength in Skin Care, Baby &amp; Kids Care and Women's Health, weakness in OTC Pharma &amp; Nutritionals. Skin Care driven by Aveeno, Neutrogena, Roc and Johnson's Adult. Baby driven by Softwash, Softlotion and baby gift sets.</t>
  </si>
  <si>
    <t xml:space="preserve">    Tylenol (acetominophen) competes versus aspirin (Bayer aspirin, Bayer), naproxen (Aleve, Bayer) and ibuprofen (Advil, Wyeth; Motrin, JNJ). Roughly $1bn adult in the US. 50% is extra-strength. Biggest product in OTC/Nutritionals.</t>
  </si>
  <si>
    <t>Other Pharma (Doxil: 400m, Natrecor, Regranex (may be Ethicon), Ultram ER, Ultracet, Doribax: 200m, Hormonal Contraceptives: 800m, Livostin, Motilium, Nizoral: 300m, Terazol, Sporanox (China), Regranex: 50m, Renova, ReoPro (abciximab): 200m?, Retavase: 100m, Retin-A: 200m, Ditropan: 300m, Axert, Arestin, Orthoclone, Leustatin, Pepcid, Decapinol).</t>
  </si>
  <si>
    <t>Prezista, fka TMC114</t>
  </si>
  <si>
    <t>darunavir</t>
  </si>
  <si>
    <t>Bear Estimate</t>
  </si>
  <si>
    <t>June 23rd 2006 PDUFA. Filed in late 2005.</t>
  </si>
  <si>
    <t>2012 to 2015.</t>
  </si>
  <si>
    <t>Prezista (2012, 2015)</t>
  </si>
  <si>
    <t>Submitted NDA 11/30/2005; PDUFA 9/30/2005; approvable (did not specify new data); filed MAA in May 2006.</t>
  </si>
  <si>
    <t>Sparlon</t>
  </si>
  <si>
    <t>OROS Hydromorphone</t>
  </si>
  <si>
    <t>SCIO-469</t>
  </si>
  <si>
    <t>Net Cash</t>
  </si>
  <si>
    <t>Dividends</t>
  </si>
  <si>
    <t>Maturity</t>
  </si>
  <si>
    <t>Discount</t>
  </si>
  <si>
    <t>NPV</t>
  </si>
  <si>
    <t>Change</t>
  </si>
  <si>
    <t>Stock</t>
  </si>
  <si>
    <t>Total Recon</t>
  </si>
  <si>
    <t>August 2009: FDA recommends ceramic on metal hip system. Ion profile inferior to SNN/WMGI/Biomet?</t>
  </si>
  <si>
    <t>Oral factor Xa inhibitors for thromboprophylaxis in major orthopedic surgery: a review. Imberti et al.</t>
  </si>
  <si>
    <t>Xarelto, fka BAY 59-7939</t>
  </si>
  <si>
    <t>Pradaxa has very low bioavailability? Schulman et al.</t>
  </si>
  <si>
    <t>Rivaroxaban in orthopedic surgery - a change of paradigm? Schulman et al. Clin Appl Thromb Hemost 2009.</t>
  </si>
  <si>
    <t>Phase II dose-finding studies ODIXa-knee/hip n=2817 total in 4 studies</t>
  </si>
  <si>
    <t>Factor Xa inhibitor, reversible anticoagulant. Inhibits platelet-bound Factor Xa, clot-bound Xa and free Xa.</t>
  </si>
  <si>
    <t>Cmax 1-4 hours, 80% F, 5-13h T1/2, oxazolidinone chemical class. Little dose response, but more bleeding at higher doses.</t>
  </si>
  <si>
    <t xml:space="preserve">  Bleeding was nearly identical 7 for riva and 6 for Lovenox.</t>
  </si>
  <si>
    <t>3.7% events for Lovenox vs 1.1% for riva. 6 bleeds for riva vs. 2 for Lovenox.</t>
  </si>
  <si>
    <t>RECORD-1 Phase III - VTE prevention in total hip replacement surgery n=4541 ex-US</t>
  </si>
  <si>
    <t>RECORD-2 Phase III - VTE prevention in total hip replacement surgery n=2509 WW</t>
  </si>
  <si>
    <t>9.3% events for Lovenox vs. 2.0% events for riva. 1 bleed for each group.</t>
  </si>
  <si>
    <t>RECORD-4 Phase III - VTE prevention in total knee replacement surgery n=3148 WW</t>
  </si>
  <si>
    <t>RECORD-3 Phase III - VTE prevention in total knee replacement surgery n=2531 ex-US</t>
  </si>
  <si>
    <t>Very clean non-bleed safety profile.</t>
  </si>
  <si>
    <t>PI</t>
  </si>
  <si>
    <t>Sam Schulman, McMaster University.</t>
  </si>
  <si>
    <t>Phase II EINSTEIN - Treatment of VTE</t>
  </si>
  <si>
    <t>Phase III EINSTEIN - Treatment of VTE</t>
  </si>
  <si>
    <t>Phase III EINSTEIN - Treatment of DVT</t>
  </si>
  <si>
    <t>45% RR reduction</t>
  </si>
  <si>
    <t>Phase II ATLAS ACS TIMI 46 n=3000 - presented AHA 2008</t>
  </si>
  <si>
    <t>rivaroxaban</t>
  </si>
  <si>
    <t>Phase III EINSTEIN-Extension n=1107 - Prevention of recurrent DVT/PE.</t>
  </si>
  <si>
    <t>Phase III MAGELLAN - Prevention of VTE in medically ill patients. N=8000</t>
  </si>
  <si>
    <t xml:space="preserve">  Consta</t>
  </si>
  <si>
    <t>PFE/BMY apixaban. BI's Pradaxa (dabigatran). GSK's odiparcil, betrixaban, edoxaban, eribaxaban, LY517717, TAK-442, YM150. In VTE/PE: Lovenox, fondaparinux.</t>
  </si>
  <si>
    <t>IM</t>
  </si>
  <si>
    <t>August 2009: GDH-PQQ testing strips found unsafe, ABT most exposed, JNJ to take share?</t>
  </si>
  <si>
    <t>Coronary Stents</t>
  </si>
  <si>
    <t>Competes with Immucor.</t>
  </si>
  <si>
    <t>Generic</t>
  </si>
  <si>
    <t>ALKS</t>
  </si>
  <si>
    <t>2013-2019</t>
  </si>
  <si>
    <t>ExoSeal launch.</t>
  </si>
  <si>
    <r>
      <rPr>
        <b/>
        <sz val="10"/>
        <rFont val="Arial"/>
        <family val="2"/>
      </rPr>
      <t xml:space="preserve">$4T global HC market - </t>
    </r>
    <r>
      <rPr>
        <sz val="10"/>
        <rFont val="Arial"/>
        <family val="2"/>
      </rPr>
      <t>includes all 2006 global healthcare spend (providers, payors, administration, oversight, prevention, fitness, health information). Source: MD&amp;D Day 2008.</t>
    </r>
  </si>
  <si>
    <t xml:space="preserve">    Surgical Care - DePuy, Ethicon, Ethicon-EndoSurgery - Alex Gorsky is WW Chairman (Was JNJ, NVS). Sheri McCoy was WW Chairman.</t>
  </si>
  <si>
    <t>DePuy y/y</t>
  </si>
  <si>
    <t>480bn consumer healthcare market (12% of global market, 3% market share for JNJ: $15bn).</t>
  </si>
  <si>
    <t xml:space="preserve">  HC is the 2nd largest global industry. JNJ has $61bn in sales, ~1.5% market share.</t>
  </si>
  <si>
    <t>WW Pharma market $750bn, JNJ has 2.9% market share with $22bn.</t>
  </si>
  <si>
    <t xml:space="preserve">  China will be 3rd largest pharma market in 2011 after US and Japan.</t>
  </si>
  <si>
    <t>Simponi</t>
  </si>
  <si>
    <t>Cimzia</t>
  </si>
  <si>
    <t>NRX</t>
  </si>
  <si>
    <t>TRX</t>
  </si>
  <si>
    <t>August</t>
  </si>
  <si>
    <t>July</t>
  </si>
  <si>
    <t>June</t>
  </si>
  <si>
    <t>Jontex (disposal)</t>
  </si>
  <si>
    <t>221m</t>
  </si>
  <si>
    <t>Sold Brazilian condom maker to Hypermarcas.</t>
  </si>
  <si>
    <t>$100m</t>
  </si>
  <si>
    <t>Shutting down in 2009.</t>
  </si>
  <si>
    <t>Q110</t>
  </si>
  <si>
    <t>Q210</t>
  </si>
  <si>
    <t>Q310</t>
  </si>
  <si>
    <t>Q410</t>
  </si>
  <si>
    <t>Comfyde</t>
  </si>
  <si>
    <t>$5.3T according to Espicom World Medical Factbook. Growing 5% CAGR to 6.8T.</t>
  </si>
  <si>
    <t>China market size in 2006 was $31 billion. Will add $49bn by 2015 with a 11% CAGR. Universal coverage planned by 2020. 45% coverage in 2009. 85% by 2012.</t>
  </si>
  <si>
    <t>India market size in 2006 was $13 billion. Will add $23bn by 2015 with a 12% CAGR. 100m covered in 2009.</t>
  </si>
  <si>
    <t>Brazil market size in 2006 was $25 billion. Will add $25bn by 2015 with a 8% CAGR. 30% covered in 2009.</t>
  </si>
  <si>
    <t>Finsbury Orthopaedics</t>
  </si>
  <si>
    <t>Gloster Europe</t>
  </si>
  <si>
    <t>Acclarent</t>
  </si>
  <si>
    <t>-</t>
  </si>
  <si>
    <t>Cordis - Seth Fischer - Company Group Chairman</t>
  </si>
  <si>
    <t>Cypher, Cypher Select Plus, Cypher Stent 225: Shelf life has hurt.</t>
  </si>
  <si>
    <t>Endovascular - "STROLL" Study enrollment completed in Q1 2010, indication in 2011. PTA Balloon portfolio (014 and 035 balloons).</t>
  </si>
  <si>
    <t>AAA device.</t>
  </si>
  <si>
    <t>Biosense Webster - CARTO 3 magnetic navigation/mapping for catheters in electrophysiology (arrythmias, AF ablation). CARTO EXPRESS.</t>
  </si>
  <si>
    <t xml:space="preserve">  Irrigated Catheter platform - ThermoCool Catheter technology. Contact force catheter allows physicians to see pressure amounts.</t>
  </si>
  <si>
    <t>Nevo sirolimus-eluting stent: RES technology allows for a number of reservoirs for polymer and drug. Submit Q1 2010 for CE Mark. Thin strut CoCr stent scaffold. Superior to TAXUS Liberte. NEVO2 versus Xience data will be available in 2011, 2012 PMA submission.</t>
  </si>
  <si>
    <t>Small molecule.</t>
  </si>
  <si>
    <t>CIC</t>
  </si>
  <si>
    <t>Model NI</t>
  </si>
  <si>
    <t>JNJ-39758979</t>
  </si>
  <si>
    <t>abiraterone</t>
  </si>
  <si>
    <t>Prednisone/Prednisolone+-abiraterone</t>
  </si>
  <si>
    <t>Phase III in asymptomatic or mildly symptomatic mCRPC n=1000, began April 2009</t>
  </si>
  <si>
    <t>Phase III in 2L CRPC n=1158 began April 2008</t>
  </si>
  <si>
    <t>Completed enrollment, overall survival primary endpoint</t>
  </si>
  <si>
    <t>Phase III vs Januvia n=475</t>
  </si>
  <si>
    <t>OA, Bladder Pain</t>
  </si>
  <si>
    <t>JNJ-38224342</t>
  </si>
  <si>
    <t>JNJ-40346527</t>
  </si>
  <si>
    <t>JNJ-38431055</t>
  </si>
  <si>
    <t>Diabetes</t>
  </si>
  <si>
    <t>Phase III "CANVAS" n=4500 CV study</t>
  </si>
  <si>
    <t>Failures</t>
  </si>
  <si>
    <t>LTA4?</t>
  </si>
  <si>
    <t>Anti-CD3?</t>
  </si>
  <si>
    <t>CNTO528, an EPO mimetibody</t>
  </si>
  <si>
    <t>CCR2, topical for RA</t>
  </si>
  <si>
    <t>CNTO5825</t>
  </si>
  <si>
    <t>IV/SC</t>
  </si>
  <si>
    <t>US drug sales in 2009 were $300.3bn according to IMS, up 5.1% y/y.</t>
  </si>
  <si>
    <t>100%, Takeda partnership in Japan</t>
  </si>
  <si>
    <t>Amount</t>
  </si>
  <si>
    <t>Coupon</t>
  </si>
  <si>
    <t>Note</t>
  </si>
  <si>
    <t>Callable</t>
  </si>
  <si>
    <t>Yield</t>
  </si>
  <si>
    <t>Collateral</t>
  </si>
  <si>
    <t>Senior Unsecured</t>
  </si>
  <si>
    <t>2038 Senior 5.85%</t>
  </si>
  <si>
    <t>Rating</t>
  </si>
  <si>
    <t>AAA</t>
  </si>
  <si>
    <t>High</t>
  </si>
  <si>
    <t>High Date</t>
  </si>
  <si>
    <t>Low</t>
  </si>
  <si>
    <t>Low Date</t>
  </si>
  <si>
    <t>Issued</t>
  </si>
  <si>
    <t>Duration</t>
  </si>
  <si>
    <t>30 years</t>
  </si>
  <si>
    <t>UST</t>
  </si>
  <si>
    <t>Euro Y/Y</t>
  </si>
  <si>
    <t>Euro/USD</t>
  </si>
  <si>
    <t>Sales</t>
  </si>
  <si>
    <t>Reported Y/Y</t>
  </si>
  <si>
    <t>Organic Y/Y</t>
  </si>
  <si>
    <t>2012 5.15%</t>
  </si>
  <si>
    <t>Unsecured</t>
  </si>
  <si>
    <t>2 years</t>
  </si>
  <si>
    <t>Bullet</t>
  </si>
  <si>
    <t>3 years</t>
  </si>
  <si>
    <t>2013 3.80%</t>
  </si>
  <si>
    <t>2017 5.55%</t>
  </si>
  <si>
    <t>7 years</t>
  </si>
  <si>
    <t>8 years</t>
  </si>
  <si>
    <t>USD</t>
  </si>
  <si>
    <t>2018 Senior 5.15%</t>
  </si>
  <si>
    <t>2019 Euro 4.75%</t>
  </si>
  <si>
    <t>9 years</t>
  </si>
  <si>
    <t>EUR</t>
  </si>
  <si>
    <t>2023 6.73%</t>
  </si>
  <si>
    <t>13 years</t>
  </si>
  <si>
    <t>2024 Pound 5.5%</t>
  </si>
  <si>
    <t>14 years</t>
  </si>
  <si>
    <t>GBP</t>
  </si>
  <si>
    <t>2029 6.95%</t>
  </si>
  <si>
    <t>19 years</t>
  </si>
  <si>
    <t>2033 4.95%</t>
  </si>
  <si>
    <t>23 years</t>
  </si>
  <si>
    <t>2037 5.95%</t>
  </si>
  <si>
    <t>27 years</t>
  </si>
  <si>
    <t>RespiVert</t>
  </si>
  <si>
    <t>Respiratory biotech/pharma.</t>
  </si>
  <si>
    <t>Exoseal - vascular closure device area, submission in Q1 2010 for CE Mark and FDA, extravascular bio-reabsorbable product. Launched in US 5/27/2010.</t>
  </si>
  <si>
    <t>Lowest Price</t>
  </si>
  <si>
    <t>Lowest Earnings Multiple</t>
  </si>
  <si>
    <t>Average Earnings Multiple</t>
  </si>
  <si>
    <t>William N. Hait, M.D., Ph.D., Global Therapeutic Area Head, Oncology, for Johnson &amp; Johnson Pharmaceutical Research &amp; Development, L.L.C., an affiliate of Ortho-McNeil Janssen</t>
  </si>
  <si>
    <t>Martin Fitchet, M.D., Global Therapeutic Area Head, Cardiovascular &amp; Metabolism, for OMJPI affiliate, Johnson &amp; Johnson Pharmaceutical Research &amp; Development, L.L.C.</t>
  </si>
  <si>
    <t>HARMONIC line of surgical tools, including scalpel and shears.</t>
  </si>
  <si>
    <t>2010: Launches 1-Day Acuvue SiH.</t>
  </si>
  <si>
    <t>Husseini K. Manji, Global Therapeutic Area Head, Neuroscience, Johnson &amp; Johnson Pharmaceutical Research &amp; Development</t>
  </si>
  <si>
    <t xml:space="preserve">  Split into Surgical Care group and Comprehensive Care group.</t>
  </si>
  <si>
    <t>RV-568</t>
  </si>
  <si>
    <t>RV-1088</t>
  </si>
  <si>
    <t>Kinase</t>
  </si>
  <si>
    <t>Inhaled</t>
  </si>
  <si>
    <t>Campbell Rogers, M.D., Chief Scientific Officer and Global Head, Research and Development, Cordis Corporation.</t>
  </si>
  <si>
    <t>US only. Bayer in Europe.</t>
  </si>
  <si>
    <t>Was file in 2009, now file in Q110. Filed 7/08, PDUFA extended. Refiling seems dependent on ROCKET.</t>
  </si>
  <si>
    <t xml:space="preserve">      Ortho Clinical Diagnostics - Nicholas Valeriani.</t>
  </si>
  <si>
    <t>Nicholas Valeriani - Formerly VP, Office of Strategy and Growth, Member of Executive Committee. Now OCD Chairman.</t>
  </si>
  <si>
    <t>Phase III "ROCKET" - Stroke prevention in A-Fib vs warfarin. N=14,226. Enrollment complete 7/2009. Results November 2010?</t>
  </si>
  <si>
    <t>20mg 18 month? dosing. Co-primary of bleeding/stroke events. Event-driven study (405 events).</t>
  </si>
  <si>
    <t xml:space="preserve">      Vision - Michael Sneed.</t>
  </si>
  <si>
    <t>Phase III "RE-LY" - Stroke prevention in A-Fib: Pradaxa vs warfarin. Pradaxa versus warfarin - n=18,113.</t>
  </si>
  <si>
    <t>1.69% events per year in warfarin, 1.53% in low-dose, 1.11% in high-dose.</t>
  </si>
  <si>
    <t>110mg or 150mg daily vs warfarin. Open-label?</t>
  </si>
  <si>
    <t xml:space="preserve">      Diabetes - Michael Paul.</t>
  </si>
  <si>
    <t>Stroke prevention</t>
  </si>
  <si>
    <t>SGP/BMY</t>
  </si>
  <si>
    <t>Protease Inhibitor</t>
  </si>
  <si>
    <t>VRTX US, JNJ Ex-US/Japan.</t>
  </si>
  <si>
    <t>Phase III ADVANCE</t>
  </si>
  <si>
    <t>75% SVR in 12-week versus 44% in control.</t>
  </si>
  <si>
    <t>rilpivirine</t>
  </si>
  <si>
    <t>GSK, MRK, GILD</t>
  </si>
  <si>
    <t>JNJ-39588146</t>
  </si>
  <si>
    <t>Heart Failure</t>
  </si>
  <si>
    <t>JNJ-26489112</t>
  </si>
  <si>
    <t>JNJ-40411813</t>
  </si>
  <si>
    <t>MTTP</t>
  </si>
  <si>
    <t>JNJ-39393406</t>
  </si>
  <si>
    <t>ROIC</t>
  </si>
  <si>
    <t>2040 4.50%</t>
  </si>
  <si>
    <t>Make Whole</t>
  </si>
  <si>
    <t>28 years</t>
  </si>
  <si>
    <t>RFR</t>
  </si>
  <si>
    <t>ERP</t>
  </si>
  <si>
    <t>Beta</t>
  </si>
  <si>
    <t xml:space="preserve">  S/E Y/Y</t>
  </si>
  <si>
    <t>Q111</t>
  </si>
  <si>
    <t>Q211</t>
  </si>
  <si>
    <t>Q311</t>
  </si>
  <si>
    <t>Q411</t>
  </si>
  <si>
    <t>Total Liabilities</t>
  </si>
  <si>
    <t>Total Assets</t>
  </si>
  <si>
    <t>Par Value</t>
  </si>
  <si>
    <t>Other Accumulated</t>
  </si>
  <si>
    <t>Retained Earnings</t>
  </si>
  <si>
    <t>Treasury Stock</t>
  </si>
  <si>
    <t>Oreal Health and Beauty</t>
  </si>
  <si>
    <t>Consumer was 24%, 25% and 27% of sales in 2007, 2008, and 2009. Acquired Pfizer Consumer Healthcare (PCH) on 12/20/06.</t>
  </si>
  <si>
    <t>OTC % of Sales</t>
  </si>
  <si>
    <t>Skin Care % of Sales</t>
  </si>
  <si>
    <t>Baby Care % of Sales</t>
  </si>
  <si>
    <t>Oral Care % of Sales</t>
  </si>
  <si>
    <t>Women's Health % of Sales</t>
  </si>
  <si>
    <t>Wound Care % of Sales</t>
  </si>
  <si>
    <t>PCH - 12/20/2006</t>
  </si>
  <si>
    <t>Oral Care (11% in Q310) - Listerine (#1 mouthwash in the US), Reach (#2 floss in the US, #1 WW?), Manual Brush (#3 manual brush), Denture Care, Power Brushes, Rembrandt toothpaste, Whitening Strips.</t>
  </si>
  <si>
    <t xml:space="preserve">  Listerine is the top mouthwash brand with 52% market share, Scope has 18% share, private label is 14% in the US. US mouthwash market is 700m, CAGR 2-4%.</t>
  </si>
  <si>
    <t xml:space="preserve">  Reach is the second floss brand with 22% share, less than Glide (PG) with 42% share in the US.</t>
  </si>
  <si>
    <t>OTC/Nutritionals (31% in Q310) - Marc Robinson is Company Group Chairman</t>
  </si>
  <si>
    <t>1Q10</t>
  </si>
  <si>
    <t>2Q10</t>
  </si>
  <si>
    <t>3Q10</t>
  </si>
  <si>
    <t>4Q10</t>
  </si>
  <si>
    <t>US %</t>
  </si>
  <si>
    <t>MRK markets ex-US, Japan and other Asian countries. JNJ attempting to regain rights through arbitration. Mitsubishi Tanabe has US. Who has China? JNJ reports Canada as international.</t>
  </si>
  <si>
    <t>Export sales to MRK.</t>
  </si>
  <si>
    <t>3,761</t>
  </si>
  <si>
    <t>2,717</t>
  </si>
  <si>
    <t>2,434</t>
  </si>
  <si>
    <t>2,528</t>
  </si>
  <si>
    <t>1.7% event rate versus 2.2% event rate for warfarin, p=0.015.</t>
  </si>
  <si>
    <t>2.1% event rate versus 2.4% event rate for warfarin for non-inferiority.</t>
  </si>
  <si>
    <t>14.9% bleeding versus 14.5% for warfarin, p=0.442.</t>
  </si>
  <si>
    <t>MRK</t>
  </si>
  <si>
    <t>MRK/BMY</t>
  </si>
  <si>
    <t>Zytiga (abiraterone)</t>
  </si>
  <si>
    <t>Edurant (riplivirine)</t>
  </si>
  <si>
    <t>BAY GR</t>
  </si>
  <si>
    <t>Incivo (telaprevir)</t>
  </si>
  <si>
    <t>SGP, GILD</t>
  </si>
  <si>
    <t>Q112</t>
  </si>
  <si>
    <t>Q212</t>
  </si>
  <si>
    <t>Q312</t>
  </si>
  <si>
    <t>Q412</t>
  </si>
  <si>
    <t>TTM CFFO</t>
  </si>
  <si>
    <t>Phase III ATLAS ACS 2 n=15526 - Started 11/08 - Published NEJM 2011</t>
  </si>
  <si>
    <t>8.9% death, MI, stroke versus 10.7% for placebo.</t>
  </si>
  <si>
    <t>Incivo (EU), Incivek (US)</t>
  </si>
  <si>
    <t>ENSEAL - Vessel sealer.</t>
  </si>
  <si>
    <t>SterilMed</t>
  </si>
  <si>
    <t>Reprocessing/reusable medtech.</t>
  </si>
  <si>
    <t>11/4/11: Acquires SterilMed, reusable/reprocessed single-use devices.</t>
  </si>
  <si>
    <t>11/4/2011: Approved.</t>
  </si>
  <si>
    <t>12/29/2011: Submits sNDA for ACS.</t>
  </si>
  <si>
    <t>11/13/2011: ATLAS ACS results.</t>
  </si>
  <si>
    <t>Nucynta, fka R331333</t>
  </si>
  <si>
    <t>10/31/11: Files NDA for Nucynta ER for DPNP.</t>
  </si>
  <si>
    <t>Nucynta IR/ER (tapentadol)</t>
  </si>
  <si>
    <t>8/26/2011: FDA approves Nucynta ER.</t>
  </si>
  <si>
    <t>JJDC</t>
  </si>
  <si>
    <t>Brad Vale - Head of Venture Investments - Former COST and Ethicon.</t>
  </si>
  <si>
    <t>Renee Ryan - Venture Investments VP - Former RW Baird Banker</t>
  </si>
  <si>
    <t>Zeev Zehavi - Venture Investments VP - Former Teva</t>
  </si>
  <si>
    <t>Michael Chuisano - Venture Investments VP - Former CD/BD</t>
  </si>
  <si>
    <t>Asish Xavier - Venture Investments VP - Former BioRexis</t>
  </si>
  <si>
    <t>Jun Wu - Venture Investments Principal - Former Ethicon</t>
  </si>
  <si>
    <t>Dalton Einhorn - Venture Investments Principal - Former Latterell Ventures</t>
  </si>
  <si>
    <t>Kadir Kadhiresan - Venture Investments Principal - Former Guidant</t>
  </si>
  <si>
    <t>Rami Elghandour - Venture Investments Principal - Former ANS</t>
  </si>
  <si>
    <t>COST</t>
  </si>
  <si>
    <t>CD/BD</t>
  </si>
  <si>
    <t>Jens Bitsch-Norhave</t>
  </si>
  <si>
    <t>Marina Tarasova</t>
  </si>
  <si>
    <t>Miriam Rogers</t>
  </si>
  <si>
    <t>Deb Masone</t>
  </si>
  <si>
    <t>Suzanne Cross</t>
  </si>
  <si>
    <t>Nick D'Aleandro</t>
  </si>
  <si>
    <t>Tao Fu - Head of M&amp;A</t>
  </si>
  <si>
    <t>Scott Lundeen</t>
  </si>
  <si>
    <t>Julie Scheffler</t>
  </si>
  <si>
    <t>Greg Fersko</t>
  </si>
  <si>
    <t>Mike Fox</t>
  </si>
  <si>
    <t>Vanitha Sekar</t>
  </si>
  <si>
    <t>Q113</t>
  </si>
  <si>
    <t>Q213</t>
  </si>
  <si>
    <t>Q313</t>
  </si>
  <si>
    <t>Q413</t>
  </si>
  <si>
    <t>Orthopedics (DePuy)</t>
  </si>
  <si>
    <t>General Surgery/Surgical Care</t>
  </si>
  <si>
    <t>ASP015K</t>
  </si>
  <si>
    <t>Rheumatoid Arthritis</t>
  </si>
  <si>
    <t>JAK3</t>
  </si>
  <si>
    <t>Astellas</t>
  </si>
  <si>
    <t>daratumumab</t>
  </si>
  <si>
    <t>1,621</t>
  </si>
  <si>
    <t>R&amp;D y/y</t>
  </si>
  <si>
    <t>SG&amp;A y/y</t>
  </si>
  <si>
    <t>GSK</t>
  </si>
  <si>
    <t>bapineuzumab</t>
  </si>
  <si>
    <t>Alzheimer's</t>
  </si>
  <si>
    <t>JNJ-42160443 (fulranumab)</t>
  </si>
  <si>
    <t>NGF</t>
  </si>
  <si>
    <t>Psoriasis, RA</t>
  </si>
  <si>
    <t>IL-23</t>
  </si>
  <si>
    <t>Type 2 Diabetes</t>
  </si>
  <si>
    <t>Mitsubishi Tanabe</t>
  </si>
  <si>
    <t>Invokana</t>
  </si>
  <si>
    <t>Invokana (canagliflozin)</t>
  </si>
  <si>
    <t>JNJ-54861911</t>
  </si>
  <si>
    <t>TO DO</t>
  </si>
  <si>
    <t>Q114</t>
  </si>
  <si>
    <t>Q214</t>
  </si>
  <si>
    <t>Q314</t>
  </si>
  <si>
    <t>Q414</t>
  </si>
  <si>
    <t>Na+, Ca2+ channel blocker</t>
  </si>
  <si>
    <t>a7nAChR PAM</t>
  </si>
  <si>
    <t>Imbruvica (ibrutinib)</t>
  </si>
  <si>
    <t>IN</t>
  </si>
  <si>
    <t>S/O</t>
  </si>
  <si>
    <t>Net S/O</t>
  </si>
  <si>
    <t>JNJ-17299425</t>
  </si>
  <si>
    <t>TBI</t>
  </si>
  <si>
    <t>JNJ-39823277</t>
  </si>
  <si>
    <t>Johnson &amp; Johnson</t>
  </si>
  <si>
    <t>Johnson &amp; Johnson Pharmaceutical Research &amp; Development, L.L.C.</t>
  </si>
  <si>
    <t>Janssen Research &amp; Development, LLC</t>
  </si>
  <si>
    <t>JNJ-42721458</t>
  </si>
  <si>
    <t>JNJ-39439335</t>
  </si>
  <si>
    <t>Osteoarthritis</t>
  </si>
  <si>
    <t>mGluR2 PAM</t>
  </si>
  <si>
    <t>guselkumab</t>
  </si>
  <si>
    <t>RWJ241947</t>
  </si>
  <si>
    <t>netoglitazone</t>
  </si>
  <si>
    <t>RWJ445380</t>
  </si>
  <si>
    <t>cathepsin-S inhibitor</t>
  </si>
  <si>
    <t>sirukumab</t>
  </si>
  <si>
    <t>siltuximab</t>
  </si>
  <si>
    <t>MGUS/Multiple Myeloma</t>
  </si>
  <si>
    <t>Schizophrenia, Depression</t>
  </si>
  <si>
    <t>Xarelto</t>
  </si>
  <si>
    <t>JNJ-38518168</t>
  </si>
  <si>
    <t>ibrutinib</t>
  </si>
  <si>
    <t>CRPC</t>
  </si>
  <si>
    <t>TMC435</t>
  </si>
  <si>
    <t>Asthma, RA</t>
  </si>
  <si>
    <t>Simponi, CNTO148</t>
  </si>
  <si>
    <t>CNTO6785</t>
  </si>
  <si>
    <t>CNTO2476</t>
  </si>
  <si>
    <t>Stelara</t>
  </si>
  <si>
    <t>esketamine</t>
  </si>
  <si>
    <t>JNJ-42756493</t>
  </si>
  <si>
    <t>tapentadol</t>
  </si>
  <si>
    <t>NHL, RA</t>
  </si>
  <si>
    <t>CNTO3157</t>
  </si>
  <si>
    <t>JNJ-26528398</t>
  </si>
  <si>
    <t>Nucynta</t>
  </si>
  <si>
    <t>CNTO136</t>
  </si>
  <si>
    <t>dapoxetine</t>
  </si>
  <si>
    <t>JNJ-54452840</t>
  </si>
  <si>
    <t>COPD</t>
  </si>
  <si>
    <t>JNJ-42165279</t>
  </si>
  <si>
    <t>IL6</t>
  </si>
  <si>
    <t>JNJ-49095397</t>
  </si>
  <si>
    <t>JNJ-26481585/RV568</t>
  </si>
  <si>
    <t>JNJ-56021927</t>
  </si>
  <si>
    <t>CNTO0007/42037788</t>
  </si>
  <si>
    <t>Anti-CD38</t>
  </si>
  <si>
    <t>Psoriasis, PBC</t>
  </si>
  <si>
    <t>UC</t>
  </si>
  <si>
    <t>Anxiety, Pain</t>
  </si>
  <si>
    <t>JNJ-31001074</t>
  </si>
  <si>
    <t>JNJ-42847922</t>
  </si>
  <si>
    <t>Invokana, JNJ-28431754</t>
  </si>
  <si>
    <t>Zytiga, JNJ-212082</t>
  </si>
  <si>
    <t>ACS</t>
  </si>
  <si>
    <t>RA</t>
  </si>
  <si>
    <t>Treatment Resistant Depression</t>
  </si>
  <si>
    <t>Olysio (simeprevir)</t>
  </si>
  <si>
    <t>Incivek</t>
  </si>
  <si>
    <t>Edurant (rilpivirine)</t>
  </si>
  <si>
    <t>Specialty Surgery/Other</t>
  </si>
  <si>
    <t>Stelara y/y</t>
  </si>
  <si>
    <t>Simponi y/y</t>
  </si>
  <si>
    <t>Q115</t>
  </si>
  <si>
    <t>Q215</t>
  </si>
  <si>
    <t>Q315</t>
  </si>
  <si>
    <t>Q415</t>
  </si>
  <si>
    <t>IL-25 antibodies</t>
  </si>
  <si>
    <t>mGluR2 pams</t>
  </si>
  <si>
    <t>A-Beta antibodies</t>
  </si>
  <si>
    <t>Acetylcholine pams</t>
  </si>
  <si>
    <t>PARP/tank inhibitor</t>
  </si>
  <si>
    <t>ORL-1</t>
  </si>
  <si>
    <t>Kinase inhibitor</t>
  </si>
  <si>
    <t>GSK-3</t>
  </si>
  <si>
    <t>Gamma secretase</t>
  </si>
  <si>
    <t>ApoB</t>
  </si>
  <si>
    <t>Opioid</t>
  </si>
  <si>
    <t>Q116</t>
  </si>
  <si>
    <t>Q216</t>
  </si>
  <si>
    <t>Q316</t>
  </si>
  <si>
    <t>Q416</t>
  </si>
  <si>
    <t>Q117</t>
  </si>
  <si>
    <t>Q217</t>
  </si>
  <si>
    <t>Q317</t>
  </si>
  <si>
    <t>Q417</t>
  </si>
  <si>
    <t>Q119</t>
  </si>
  <si>
    <t>Q118</t>
  </si>
  <si>
    <t>Q218</t>
  </si>
  <si>
    <t>Q318</t>
  </si>
  <si>
    <t>Q418</t>
  </si>
  <si>
    <t>Q219</t>
  </si>
  <si>
    <t>Q319</t>
  </si>
  <si>
    <t>Q419</t>
  </si>
  <si>
    <t>Q120</t>
  </si>
  <si>
    <t>Q220</t>
  </si>
  <si>
    <t>Q320</t>
  </si>
  <si>
    <t>Q420</t>
  </si>
  <si>
    <t>Q121</t>
  </si>
  <si>
    <t>Q221</t>
  </si>
  <si>
    <t>Q321</t>
  </si>
  <si>
    <t>Q421</t>
  </si>
  <si>
    <t>Q122</t>
  </si>
  <si>
    <t>Q222</t>
  </si>
  <si>
    <t>Q322</t>
  </si>
  <si>
    <t>Q422</t>
  </si>
  <si>
    <t>Q123</t>
  </si>
  <si>
    <t>Q223</t>
  </si>
  <si>
    <t>Q323</t>
  </si>
  <si>
    <t>Q423</t>
  </si>
  <si>
    <t>Darzalex (daratumumab)</t>
  </si>
  <si>
    <t>Erleada</t>
  </si>
  <si>
    <t>Opsumit</t>
  </si>
  <si>
    <t>Uptravi</t>
  </si>
  <si>
    <t>Other Immunology</t>
  </si>
  <si>
    <t>COVID-19 Vaccine</t>
  </si>
  <si>
    <t>Other Infectious</t>
  </si>
  <si>
    <t>Other CNS</t>
  </si>
  <si>
    <t>Other Oncology</t>
  </si>
  <si>
    <t>Other PAH</t>
  </si>
  <si>
    <t>Tremfya (guselkumab)</t>
  </si>
  <si>
    <t>Darzalex y/y</t>
  </si>
  <si>
    <t>Consumer y/y</t>
  </si>
  <si>
    <t>Tremfya y/y</t>
  </si>
  <si>
    <t>Sustenna y/y</t>
  </si>
  <si>
    <t>Elan NanoCrystal receives royalties. Alkermes arbitration.</t>
  </si>
  <si>
    <t>9439906 Sustenna dosing patent</t>
  </si>
  <si>
    <t>10143693 Trinza - is this the 4/5/2036 expiry?</t>
  </si>
  <si>
    <t>Submissions on Trinza 6/24/20, 4/30/21, 7/14/21</t>
  </si>
  <si>
    <t>Brand</t>
  </si>
  <si>
    <t>MOA</t>
  </si>
  <si>
    <t>Disposition</t>
  </si>
  <si>
    <t>Discontinued</t>
  </si>
  <si>
    <t>Rheumatoid Arthritis, Depression, Lupus</t>
  </si>
  <si>
    <t>CNTO888</t>
  </si>
  <si>
    <t>carlumab</t>
  </si>
  <si>
    <t>HALO</t>
  </si>
  <si>
    <t>Compositions and methods for preventing and treating coronavirus infection--SARS-CoV-2 vaccines</t>
  </si>
  <si>
    <t>Patent</t>
  </si>
  <si>
    <t>Title</t>
  </si>
  <si>
    <t>Assignee</t>
  </si>
  <si>
    <t>Pyrazolopyridinone compounds</t>
  </si>
  <si>
    <t>Comment</t>
  </si>
  <si>
    <t>Janssen Pharmaceutica NV</t>
  </si>
  <si>
    <t>Importance</t>
  </si>
  <si>
    <t>FGFR inhibitors, Shanghai inventors</t>
  </si>
  <si>
    <t>Quinolinone compounds</t>
  </si>
  <si>
    <t>Differentiation of human embryonic stem cells into single hormonal insulin positive cells</t>
  </si>
  <si>
    <t>D956,215</t>
  </si>
  <si>
    <t>Autoinjector</t>
  </si>
  <si>
    <t>Methods for lowering blood glucose</t>
  </si>
  <si>
    <t>Janssen Biotech, Inc.</t>
  </si>
  <si>
    <t>Beta cell transplant</t>
  </si>
  <si>
    <t>Treatment of RSV with combination product</t>
  </si>
  <si>
    <t>Janssen Sciences Ireland Unlimited Company</t>
  </si>
  <si>
    <t>Combination of small molecules</t>
  </si>
  <si>
    <t>Combinations comprising positive allosteric modulators or orthosteric agonists of metabotropic glutamatergic receptor subtype 2 and their use</t>
  </si>
  <si>
    <t>SV2A combination</t>
  </si>
  <si>
    <t>Anti-PHF-tau antibodies and uses thereof</t>
  </si>
  <si>
    <t>Tauopathies</t>
  </si>
  <si>
    <t>Trimer stabilizing HIV envelope protein mutations</t>
  </si>
  <si>
    <t>Janssen Vaccines &amp; Prevention B.V.</t>
  </si>
  <si>
    <t>HIV vaccine enabling tool</t>
  </si>
  <si>
    <t>Recombinant virus replicon systems and uses thereof</t>
  </si>
  <si>
    <t>JANSSEN PHARMACEUTICALS, INC. (Titusville, NJ)</t>
  </si>
  <si>
    <t>FC engineered anti-TNFR superfamily member antibodies having enhanced agonistic activity and methods of using them</t>
  </si>
  <si>
    <t>Janssen Biotech, Inc. (Horsham, PA)</t>
  </si>
  <si>
    <t>OX-40 E345R mutation specific</t>
  </si>
  <si>
    <t>CD137 binding fibronectin type III domains</t>
  </si>
  <si>
    <t>Imbruvica, fka PCI-32765</t>
  </si>
  <si>
    <t>BTK</t>
  </si>
  <si>
    <t>AbbVie (Pharmacyclics)</t>
  </si>
  <si>
    <t>MCL, CLL</t>
  </si>
  <si>
    <t>TNF</t>
  </si>
  <si>
    <t>Joel Krikston - Venture Investments - Former BD/CD</t>
  </si>
  <si>
    <t>Robert Zivin, PhD</t>
  </si>
  <si>
    <t>Robert Zivin</t>
  </si>
  <si>
    <t>Sirturo (bedaquiline)</t>
  </si>
  <si>
    <t>Tuberculosis</t>
  </si>
  <si>
    <t>ATP synthase</t>
  </si>
  <si>
    <t>bedaquiline</t>
  </si>
  <si>
    <t>Sirturo, fka TMC207</t>
  </si>
  <si>
    <t>IPF; mCRPC no responses, pain improvement</t>
  </si>
  <si>
    <t>CCL2 (CC-Chemokine 2 mab)</t>
  </si>
  <si>
    <t>CNTO95</t>
  </si>
  <si>
    <t>intetumumab</t>
  </si>
  <si>
    <t>Oncology</t>
  </si>
  <si>
    <t>alpha-V, beta-1,3,5,6</t>
  </si>
  <si>
    <t>AAV-RPGR</t>
  </si>
  <si>
    <t>Retinitis Pigmentosa</t>
  </si>
  <si>
    <t>Sylvant, fka CNTO328</t>
  </si>
  <si>
    <t>IL-6</t>
  </si>
  <si>
    <t>Castleman's, Multiple Myeloma, HRPC, NHL</t>
  </si>
  <si>
    <t>aprocitentan</t>
  </si>
  <si>
    <t>ERA</t>
  </si>
  <si>
    <t>III</t>
  </si>
  <si>
    <t>peficitinib</t>
  </si>
  <si>
    <t>Darzalex, JNJ-54767414</t>
  </si>
  <si>
    <t>Priligy</t>
  </si>
  <si>
    <t>JNJ-54781532, ASP015K</t>
  </si>
  <si>
    <t>JAK</t>
  </si>
  <si>
    <t>Returned license?</t>
  </si>
  <si>
    <t>AAV-CNGB3</t>
  </si>
  <si>
    <t>Achromatopsia</t>
  </si>
  <si>
    <t>MGTX?</t>
  </si>
  <si>
    <t>Rheumatoid Arthritis, Atopic Dermatitis, Asthma</t>
  </si>
  <si>
    <t>H4 antagonist</t>
  </si>
  <si>
    <t>Tracleer</t>
  </si>
  <si>
    <t>SG&amp;A</t>
  </si>
  <si>
    <t>R&amp;D</t>
  </si>
  <si>
    <t>1990?</t>
  </si>
  <si>
    <t>Subsidiary</t>
  </si>
  <si>
    <t>Divested</t>
  </si>
  <si>
    <t>Divested to EUSA</t>
  </si>
  <si>
    <t>GMAB</t>
  </si>
  <si>
    <t>CCR2</t>
  </si>
  <si>
    <t>Rhinitis</t>
  </si>
  <si>
    <t>D2</t>
  </si>
  <si>
    <t>Topiramate successor</t>
  </si>
  <si>
    <t>Depression, Epilepsy</t>
  </si>
  <si>
    <t>Interventional y/y</t>
  </si>
  <si>
    <t>7/26/19: CHMP positive opinion for Stelara for UC</t>
  </si>
  <si>
    <t>IL-12/23 mab</t>
  </si>
  <si>
    <t>CD38 mab</t>
  </si>
  <si>
    <t>TNF mab</t>
  </si>
  <si>
    <t>paliperidone</t>
  </si>
  <si>
    <t>ABBV</t>
  </si>
  <si>
    <t>Psoriasis, Crohn's Disease, Ulcerative Colitis</t>
  </si>
  <si>
    <t>Ulcerative colitis (positive CHMP opinion 7/26/19), 2.6m UC in Europe.</t>
  </si>
  <si>
    <t>Departed</t>
  </si>
  <si>
    <t>William Weldon</t>
  </si>
  <si>
    <t>CEO, Retired</t>
  </si>
  <si>
    <t>Alex Gorsky</t>
  </si>
  <si>
    <t>Paul Stoffels</t>
  </si>
  <si>
    <t>former Global Head of R&amp;D</t>
  </si>
  <si>
    <t xml:space="preserve">  Organized into Centocor/OBI, Jannsen?, Scios, Ortho-Biologics? Tibotec, Cilag</t>
  </si>
  <si>
    <t xml:space="preserve">  Jaime Oliver, Therapeutic Area Lead, Immunology, EMEA</t>
  </si>
  <si>
    <t>Subcutaneous q3m, IV</t>
  </si>
  <si>
    <t>Beat placebo on clinical remission</t>
  </si>
  <si>
    <t>62% clinical response vs. 31% for placebo at 8 weeks</t>
  </si>
  <si>
    <t>Phase III "UNIFI-I" ulcerative colitis induction - ACGA meeting 2018</t>
  </si>
  <si>
    <t>IV dosing</t>
  </si>
  <si>
    <t>44-week maintenance trial from IV induction responders</t>
  </si>
  <si>
    <t>q8w, q12w, placebo by subcutaneous</t>
  </si>
  <si>
    <t>57.4%, 48.3% vs. 35.4% for placebo had Mayo remission</t>
  </si>
  <si>
    <t>Phase III "UNIFI-M" ulcerative colitis maintenance - 14th Congress of European Crohn's &amp; Colitis Organization (2019)</t>
  </si>
  <si>
    <t>7/25/19: Phase III ponesimod RMS results</t>
  </si>
  <si>
    <t>Ponvory (ponesimod)</t>
  </si>
  <si>
    <t>Multiple Sclerosis</t>
  </si>
  <si>
    <t>S1P1</t>
  </si>
  <si>
    <t>Ponvory</t>
  </si>
  <si>
    <t>ponesimod</t>
  </si>
  <si>
    <t xml:space="preserve">ARR </t>
  </si>
  <si>
    <t>ARR primary endpoint at week 108</t>
  </si>
  <si>
    <t>Relapsing Multiple Sclerosis. 2.3m WW, RMS is 85%</t>
  </si>
  <si>
    <t>Phase III "OPTIMUM" n=1133 relapsing multiple sclerosis - ECTRIMS 2019</t>
  </si>
  <si>
    <t>20mg ponesimod vs. 14mg teriflunomide</t>
  </si>
  <si>
    <t>Idorsia</t>
  </si>
  <si>
    <t>IDIA</t>
  </si>
  <si>
    <t>Narcolepsy</t>
  </si>
  <si>
    <t>D2 antagonist, "fast D2"</t>
  </si>
  <si>
    <t>Tremfya, fka CNTO1959</t>
  </si>
  <si>
    <t>atabecestat</t>
  </si>
  <si>
    <t>BACE1</t>
  </si>
  <si>
    <t>5-HT7</t>
  </si>
  <si>
    <t>Depression, Bipolar</t>
  </si>
  <si>
    <t>sCR 42.4% vs 32%, p=0.068</t>
  </si>
  <si>
    <t>MRD negativity 64% vs 30%</t>
  </si>
  <si>
    <t>PFS HR=0.45, p=0.0324, median PFS not reached</t>
  </si>
  <si>
    <t>Phase II "GRIFFIN" D-RVd vs. RVd n=207 post-ASCT consolidation MM, NCT02874742</t>
  </si>
  <si>
    <t>Genmab. Licensing deal 8/2012.</t>
  </si>
  <si>
    <t>Multiple Myeloma. 68k patients treated in the US</t>
  </si>
  <si>
    <t>8/27/22: Darzalex GRIFFIN results presented at IMSAM</t>
  </si>
  <si>
    <t>Imbruvica</t>
  </si>
  <si>
    <t>CLL, GvHD, WM</t>
  </si>
  <si>
    <t>BTK inhibitor</t>
  </si>
  <si>
    <t>Phase I/II iMAGINE n=47 pediatric GvHD</t>
  </si>
  <si>
    <t>60% ORR at week 25</t>
  </si>
  <si>
    <t>CLL, GvHD</t>
  </si>
  <si>
    <t xml:space="preserve">  Craig Tendler, Global Head of Late Development, Diagnostics &amp; Medical Affairs, HemOnc</t>
  </si>
  <si>
    <r>
      <t xml:space="preserve">Pharmaceuticals - </t>
    </r>
    <r>
      <rPr>
        <b/>
        <sz val="10"/>
        <rFont val="Arial"/>
        <family val="2"/>
      </rPr>
      <t>41% of sales in 2007, 30.8% operating margin, 49% of operating profits.</t>
    </r>
  </si>
  <si>
    <t xml:space="preserve">  Sheri McCoy, who left for AVP, replaced Chris Poon who retired in March 2008 (came from BMY in 2000?). </t>
  </si>
  <si>
    <t>Louise Mehrotra - VP IR - Retired</t>
  </si>
  <si>
    <t>CEO: Joaquin Duato replaced Alex Gorsky.</t>
  </si>
  <si>
    <t>MD&amp;D - Ashley McEvoy. Alex Gorsky was WW head. Former head Nicholas Valeriani (35% of sales in 2007, 27.4% operating margin, 37% of operating profits, $270bn global market).</t>
  </si>
  <si>
    <t>Consumer - Thibaut Mongon. Colleen Goggins is WW Chairman. (24% of sales in 2007, 15.8% operating margin, 15% of operating profits).</t>
  </si>
  <si>
    <t xml:space="preserve">  Jennifer Taubert, Chairman</t>
  </si>
  <si>
    <t>CFO: Joseph Wolk replaced Dominick Caruso who retired</t>
  </si>
  <si>
    <t>8/24/22: Imbruvica approved for pediatric GvHD</t>
  </si>
  <si>
    <t>8/24/22: Tecvayli approved by EC</t>
  </si>
  <si>
    <t>teclistamab</t>
  </si>
  <si>
    <t>BCMA/CD3</t>
  </si>
  <si>
    <t>Tecvayli (teclistamab)</t>
  </si>
  <si>
    <t>BCMAxCD3</t>
  </si>
  <si>
    <t>Tecvayli, fka JNJ-64007957</t>
  </si>
  <si>
    <t>CD3xBCMA</t>
  </si>
  <si>
    <t>Tecvayli fka JNJ-64007957</t>
  </si>
  <si>
    <t>Genmab?</t>
  </si>
  <si>
    <t xml:space="preserve">  Edmond Chan, EMEA Hematology therapeutic lead</t>
  </si>
  <si>
    <t>CEO: Joaquin Duato</t>
  </si>
  <si>
    <t>9/14/22: $5B buyback. Reaffirms 10.65-10.75 EPS.</t>
  </si>
  <si>
    <t>9/13/22: Q3 results date (10/18/22).</t>
  </si>
  <si>
    <t>CFO: Joseph Wolk</t>
  </si>
  <si>
    <t xml:space="preserve">  OCTARAY Mapping Catheter with TRUEref technology (CARTO 3 Version 7 System)</t>
  </si>
  <si>
    <t>9/6/22: Launches Octaray mapping catheter</t>
  </si>
  <si>
    <t>5/11/22: Consumer Health spinout CEO announced. 2023 separation.?</t>
  </si>
  <si>
    <t>8/9/22: investor conference</t>
  </si>
  <si>
    <t>8/4/22: EC approves new Imbruvica regimen for 1LL CLL</t>
  </si>
  <si>
    <t>Phase III "GLOW" ibrutinib+venetoclax vs. chlorambucil+obinutuzumab 1L CLL - NCT03462719</t>
  </si>
  <si>
    <t>superior PFS, HR=0.216</t>
  </si>
  <si>
    <t>1L CLL</t>
  </si>
  <si>
    <t>Phase II "CAPTIVATE" ibrutinib+venetoclax - NCT02910583</t>
  </si>
  <si>
    <t>Opsumit (macitentan)</t>
  </si>
  <si>
    <t>PAH</t>
  </si>
  <si>
    <t>Erleada (apalutamide)</t>
  </si>
  <si>
    <t>JNJ-64457744</t>
  </si>
  <si>
    <t>Hepatitis B</t>
  </si>
  <si>
    <t>JNJ-79635322</t>
  </si>
  <si>
    <t>trispecific?</t>
  </si>
  <si>
    <t>JNJ-67953964 (aticaprant)</t>
  </si>
  <si>
    <t>MOR/DOR</t>
  </si>
  <si>
    <t>Gain on sale</t>
  </si>
  <si>
    <t>Investments</t>
  </si>
  <si>
    <t>Credit support</t>
  </si>
  <si>
    <t>Other CFFI</t>
  </si>
  <si>
    <t>CFFI</t>
  </si>
  <si>
    <t>FX</t>
  </si>
  <si>
    <t>CFFF</t>
  </si>
  <si>
    <t>Q124</t>
  </si>
  <si>
    <t>Q224</t>
  </si>
  <si>
    <t>Q324</t>
  </si>
  <si>
    <t>Q424</t>
  </si>
  <si>
    <t>Carvykti</t>
  </si>
  <si>
    <t>nipocalimab</t>
  </si>
  <si>
    <t>Rybrevant (amivantamab)</t>
  </si>
  <si>
    <t>FcRn mab</t>
  </si>
  <si>
    <t>Spravato (ketamine)</t>
  </si>
  <si>
    <t>Treatment-Resistant Depression</t>
  </si>
  <si>
    <t>LGND</t>
  </si>
  <si>
    <t>BCMA CART</t>
  </si>
  <si>
    <t>NMDA</t>
  </si>
  <si>
    <t>Carvykti (cilta-cel)</t>
  </si>
  <si>
    <t>GPRC5DxCD3</t>
  </si>
  <si>
    <t>Balversa (erdafitinib)</t>
  </si>
  <si>
    <t>Ad26.preF</t>
  </si>
  <si>
    <t>Vaccine</t>
  </si>
  <si>
    <t>JNJ-78278343</t>
  </si>
  <si>
    <t>KLK2xCD3</t>
  </si>
  <si>
    <t>JNJ-63723283 (cetrelimab)</t>
  </si>
  <si>
    <t>PD-1</t>
  </si>
  <si>
    <t>milvexian</t>
  </si>
  <si>
    <t>JNJ-81201887/AAV-CAGsCD59</t>
  </si>
  <si>
    <t>Geographic Atrophy</t>
  </si>
  <si>
    <t>Atrial Fibrillation</t>
  </si>
  <si>
    <t>lazertinib (JNJ-73841937)</t>
  </si>
  <si>
    <t>MRK/PTGX</t>
  </si>
  <si>
    <t>JNJ-88260237</t>
  </si>
  <si>
    <t>JNJ-75276617</t>
  </si>
  <si>
    <t>Leukemia</t>
  </si>
  <si>
    <t>VAC85135</t>
  </si>
  <si>
    <t>MPNs</t>
  </si>
  <si>
    <t>JNJ-80038114</t>
  </si>
  <si>
    <t>JNJ-80948543</t>
  </si>
  <si>
    <t>CD79b/CD20/CD3</t>
  </si>
  <si>
    <t>NHL</t>
  </si>
  <si>
    <t>EGFR</t>
  </si>
  <si>
    <t>NSCLC</t>
  </si>
  <si>
    <t>JNJ-55308942</t>
  </si>
  <si>
    <t>Bipolar</t>
  </si>
  <si>
    <t>P2X7</t>
  </si>
  <si>
    <t>briakinumab/ABT-874 same mechanism of action, but withdrawn from registration</t>
  </si>
  <si>
    <t>Skyrizi (risankizumab) IL-23A mab</t>
  </si>
  <si>
    <t>Taltz (ixekizumab) IL-17A mab</t>
  </si>
  <si>
    <t>9/25/2009: FDA approval on 11/28/2007 BLA. 1/23/09: EU approval.</t>
  </si>
  <si>
    <t>NCE antibody. 7,491,391 and 7,479.479 issued in 2009. Late 2023 "LOE" -- Wolk</t>
  </si>
  <si>
    <t>SB17 biosimilar, Alvotech/Stada, Fresenius/Formycon, Dong-A, Amgen</t>
  </si>
  <si>
    <t>2023 biosimilars?</t>
  </si>
  <si>
    <t>Disposals</t>
  </si>
  <si>
    <t>Tecvayli</t>
  </si>
  <si>
    <t>63</t>
  </si>
  <si>
    <t>Electrophysiology/Interventional</t>
  </si>
  <si>
    <t>Abiomed</t>
  </si>
  <si>
    <t>Other CV</t>
  </si>
  <si>
    <t>3,852</t>
  </si>
  <si>
    <t>Q125</t>
  </si>
  <si>
    <t>Q225</t>
  </si>
  <si>
    <t>Q325</t>
  </si>
  <si>
    <t>Q425</t>
  </si>
  <si>
    <t>VAC52416</t>
  </si>
  <si>
    <t>ExPEC Vaccine</t>
  </si>
  <si>
    <t>IED</t>
  </si>
  <si>
    <t>HDFN, Myopathies, CIDP, MG</t>
  </si>
  <si>
    <t>JNJ-2113, fka JNJ-77242113/PN-235</t>
  </si>
  <si>
    <t>Risperdal/Consta/Invega</t>
  </si>
  <si>
    <t>10/15/24: Q3 results.</t>
  </si>
  <si>
    <t>Shockwave</t>
  </si>
  <si>
    <t>CC y/y</t>
  </si>
  <si>
    <t>Rybrevant</t>
  </si>
  <si>
    <t>Beacon Therapeutics</t>
  </si>
  <si>
    <t>Talvey (talquetamab)</t>
  </si>
  <si>
    <t>TAR-200</t>
  </si>
  <si>
    <t>Bladder Cancer</t>
  </si>
  <si>
    <t>NDA filed</t>
  </si>
  <si>
    <t>2L+ HR-NMIBC</t>
  </si>
  <si>
    <t>intravesical</t>
  </si>
  <si>
    <t>TAR-200 (gemcitabine)</t>
  </si>
  <si>
    <t>Chemo</t>
  </si>
  <si>
    <t>Oncology: Yusri Elsayed</t>
  </si>
  <si>
    <t>Intravesicular</t>
  </si>
  <si>
    <t>gemcitabine</t>
  </si>
  <si>
    <t>BCG-unresponsive HR-NMIBC with CIS</t>
  </si>
  <si>
    <t>83.5% CR</t>
  </si>
  <si>
    <t>Phase IIb "SunRISe-1" - NCT04640623</t>
  </si>
  <si>
    <t>Cohort 2</t>
  </si>
  <si>
    <t>1/13/25: Agrees to acquire Intracellular for $14.6B.</t>
  </si>
  <si>
    <t>1/15/25: Filed NDA for TAR-200.</t>
  </si>
  <si>
    <t>posdinemab</t>
  </si>
  <si>
    <t>tau mab</t>
  </si>
  <si>
    <t>JNJ-2056</t>
  </si>
  <si>
    <t>tau immunotherapy</t>
  </si>
  <si>
    <t>Neuroscience: Bill Martin</t>
  </si>
  <si>
    <t>175</t>
  </si>
  <si>
    <t>200</t>
  </si>
  <si>
    <t>225</t>
  </si>
  <si>
    <t>Caplyta</t>
  </si>
  <si>
    <t>Pharma: Jennifer Taubert</t>
  </si>
  <si>
    <t>Cardiovascular</t>
  </si>
  <si>
    <t>ThermoCool SmartTouch SF Catheter - dual energy between RF and pulsed energy.</t>
  </si>
  <si>
    <t>TRUPulse Generator</t>
  </si>
  <si>
    <t>MedTech: Jennifer Currin</t>
  </si>
  <si>
    <t>1/10/25: CE Mark for ThermoCool SmartTouch</t>
  </si>
  <si>
    <t>BLA filed with priority review</t>
  </si>
  <si>
    <t>Phase III "Vivacity-MG3"</t>
  </si>
  <si>
    <t>Vyvgart (efgartigimod)</t>
  </si>
  <si>
    <t>Vyvgart</t>
  </si>
  <si>
    <t>1/9/25: nipocalimab priority review</t>
  </si>
  <si>
    <t>BLA filed</t>
  </si>
  <si>
    <t>1/8/25: posdinemab &amp; tau active immunotherapy FTD</t>
  </si>
  <si>
    <t>1/7/25: Rybrevant + Lazcluze beats osimertinib in OS</t>
  </si>
  <si>
    <t>amivantamab</t>
  </si>
  <si>
    <t>Rybrevant, fka JNJ-61186372</t>
  </si>
  <si>
    <t>Bispecific antibody: EGFR, MET</t>
  </si>
  <si>
    <t>40% RR</t>
  </si>
  <si>
    <t>Phase II "CHRYSALIS" n=81 EGFR exon 20 mutations</t>
  </si>
  <si>
    <t>FDA approved 1L treatment of both drugs by based on MARIPOSA</t>
  </si>
  <si>
    <t>PFS HR=0.7, 23.7 months vs. 16.6 months</t>
  </si>
  <si>
    <t>OS also met</t>
  </si>
  <si>
    <t>1/2/25: Q1 Dividend of 1.24.</t>
  </si>
  <si>
    <t>12/30/24: Rybrevant+Lazcluze EC 1L approval</t>
  </si>
  <si>
    <t>12/18/24: Files EMA MAA for Imbruvica 1L MCL who are SCT eligible</t>
  </si>
  <si>
    <t>EMEA Hematology: Edmond Chan</t>
  </si>
  <si>
    <t>Phase III "TRIANGLE" n=870 MCL</t>
  </si>
  <si>
    <t>12/12/24: Investor conference</t>
  </si>
  <si>
    <t>12/12/24: Impella pediatric indication expansion.</t>
  </si>
  <si>
    <t>Impella - catheter-based LVAD - acquired Abiomed</t>
  </si>
  <si>
    <t>designed for temporary usage vs. LVADs which are designed for permanent implantation.</t>
  </si>
  <si>
    <t>SmartAssist</t>
  </si>
  <si>
    <t>12/10/24: Q4 call date.</t>
  </si>
  <si>
    <t>12/9/24: Carvykti CARTITUDE-4 data.</t>
  </si>
  <si>
    <t>2L+ Multiple Myeloma</t>
  </si>
  <si>
    <t>MM has a 32,258 incidence in US (13,067 mortality)</t>
  </si>
  <si>
    <t>Abecma</t>
  </si>
  <si>
    <t xml:space="preserve">Lymphodepletion with cyclophosphamide + fludaribine. </t>
  </si>
  <si>
    <t>50-50 in US, 50-50 in Europe, 70-30 in China, 50-50 Japan</t>
  </si>
  <si>
    <t>$465,000, but realized price $279,000</t>
  </si>
  <si>
    <t>CARTITUDE-1 - NCT03548207</t>
  </si>
  <si>
    <t>CARTITUDE-2 - NCT04133636</t>
  </si>
  <si>
    <t>CARTIFAN-1</t>
  </si>
  <si>
    <t>PFS HR=0.41, p&lt;0.0001 (&gt;28 months vs. 12 months for standard therapy)</t>
  </si>
  <si>
    <t>CR 74% vs. 22.3%</t>
  </si>
  <si>
    <t>OS HR=0.55, p&lt;0.0009 (76% vs. 64% at 30 months)</t>
  </si>
  <si>
    <t>CARTITUDE-5 - NCT04923893</t>
  </si>
  <si>
    <t>CARTITUDE-6 - NCT05257083</t>
  </si>
  <si>
    <t>LEGEND-2 - NCT03090659</t>
  </si>
  <si>
    <t>ciltacabtagene autoleucel</t>
  </si>
  <si>
    <t>CARTITUDE-4 n=409 2L RRMM vs. PVd or DPd - NCT04181827</t>
  </si>
  <si>
    <t xml:space="preserve">  89% MRD-negative CR vs. 38% for standard therapies.</t>
  </si>
  <si>
    <t>Multiple Myeloma: Jordan Schecter</t>
  </si>
  <si>
    <t>Phase II/III "ENERGY" wAIHA - results in 2025</t>
  </si>
  <si>
    <t>50,000 US patients</t>
  </si>
  <si>
    <t>rituximab is used</t>
  </si>
  <si>
    <t>12/9/24: wAIHA research</t>
  </si>
  <si>
    <t>12/8/24: Darzalex Faspro data for 1L MM.</t>
  </si>
  <si>
    <t>Darzalex, Darzalex Faspro</t>
  </si>
  <si>
    <t>85% of MRD-negative were progression free at 4.5 years</t>
  </si>
  <si>
    <t>60.9% MRD vs. 39.4% for control of 10e-5</t>
  </si>
  <si>
    <t>46.2% vs. 27.3% for control of 10E-6</t>
  </si>
  <si>
    <t>OS HR=0.44, p&lt;0.0001</t>
  </si>
  <si>
    <t>Phase III "AURIGA" n=200 1L MM after SCT - NCT03901963</t>
  </si>
  <si>
    <t>Phase III "ANDROMEDA" 1L light chain amyloidosis D-VCd vs. VCd - NCT03201965</t>
  </si>
  <si>
    <t>Phase III "CEPHEUS" D-VRd vs. VRd - NCT03652064</t>
  </si>
  <si>
    <t>FDA approval 10/25/2022</t>
  </si>
  <si>
    <t>Phase III MajesTEC-4 maintenance following ASCT with lenalidomide vs. lenalidomide monotherapy - NCT05695508</t>
  </si>
  <si>
    <t>Phase II MajesTEC-5 n=49 NDMM Tecvayli+Darzalex+Rd or Tecvayli+Darzalex+VRd - NCT05243797</t>
  </si>
  <si>
    <t>Phase III MajesTEC-7 - NCT05552222</t>
  </si>
  <si>
    <t>12/2/24: MemoryGel Enhance breast implant FDA approval</t>
  </si>
  <si>
    <t>12/2/24: Files Tremfya sBLAs for pediatric psoriasis and PsA</t>
  </si>
  <si>
    <t>FDA approved 7/13/2017</t>
  </si>
  <si>
    <t>subcutaneous</t>
  </si>
  <si>
    <t>IND submitted 4/30/2009</t>
  </si>
  <si>
    <t>Phase III "VOYAGE 1" n=837 plaque psoriasis vs. Humira</t>
  </si>
  <si>
    <t>Phase III "VOYAGE 2" n=993 plaque psoriasis vs. Humira</t>
  </si>
  <si>
    <t>Phase III "NAVIGATE" n=871 plaque psoriasis vs. Stelara</t>
  </si>
  <si>
    <t>PASI90 week 16: 70% vs. 47% (Humira) vs. 2% (placebo)</t>
  </si>
  <si>
    <t>PASI90 week 16: 73% vs. 50% (Humira) vs. 3% (placebo)</t>
  </si>
  <si>
    <t>PE: # of visits at which IGA score &gt;= 1 with &gt;= 2 grade improvement from week 16</t>
  </si>
  <si>
    <t>1.5 guselkumab vs. 0.7 Stelara</t>
  </si>
  <si>
    <t>Stelara ACR20: 53.6%, guselkumab ACR20: 41.3%, placebo: 40.0%</t>
  </si>
  <si>
    <t>Phase II rheumatoid arthritis vs. Stelara vs. placebo - NCT01645280</t>
  </si>
  <si>
    <t>Psoriasis, Ulcerative Colitis</t>
  </si>
  <si>
    <t>Phase III Crohn's</t>
  </si>
  <si>
    <t>Phase III "PROTOSTAR" pediatric plaque psoriasis</t>
  </si>
  <si>
    <t>Phase III "DISCOVER 1" PsA</t>
  </si>
  <si>
    <t>Phase III "DISCOVER 2" PsA</t>
  </si>
  <si>
    <t>Immunodermatology: Liza O'Dowd</t>
  </si>
  <si>
    <t>11/22/24: Files sBLA for Tremfya subcutaneous for UC</t>
  </si>
  <si>
    <t>Phase III "ASTRO" 400mg subcutaneous induction UC - NCT05528510</t>
  </si>
  <si>
    <t>Phase III "GRAVITI" 400mg subcutaneous induction Crohn's Disease - NCT05197049</t>
  </si>
  <si>
    <t>Phase III "QUASAR" induction+maintenance UC - NCT04033445</t>
  </si>
  <si>
    <t>p19 mab, expressed on IL-23. Also binds CD64?</t>
  </si>
  <si>
    <t>GI/Immunology: Esi Lamouse-Smith</t>
  </si>
  <si>
    <t>11/19/24: ASH preview</t>
  </si>
  <si>
    <t>Phase III "AQUILA" Faspro vs. active monitoring high-risk smoldering MM</t>
  </si>
  <si>
    <t>talquetamab</t>
  </si>
  <si>
    <t>FDA approval 8/9/2023</t>
  </si>
  <si>
    <t>GPRCD5xCD3</t>
  </si>
  <si>
    <t>73% ORR, DOR 9.5 months</t>
  </si>
  <si>
    <t>Phase I/II "MonumenTAL-1" n=187 4L+ MM</t>
  </si>
  <si>
    <t>57% g1 CRS, 17% g2, 1.5% g3</t>
  </si>
  <si>
    <t>Talvey, fka JNJ-64407564</t>
  </si>
  <si>
    <t>Phase II aMMbition - cilta-cel, talquetamab, daratumumab, teclistamab combinations</t>
  </si>
  <si>
    <t>Phase II "MonumenTAL-8" high-risk MM</t>
  </si>
  <si>
    <t>Phase III "MonumenTAL-6" tal+pom vs. tal+tec vs. elo+pom+dex vs. pom+velcade+dex n=795 2L/3L MM</t>
  </si>
  <si>
    <t>Phase III "MajesTEC-7" tec+dara+rev vs. tal+dara+len n=1590 1L MM</t>
  </si>
  <si>
    <t>Phase III "MonumenTAL-3" tal+dara or tal+dara+pom vs. dara+pom+dex n=810 MM</t>
  </si>
  <si>
    <t>FDA approval 2/28/2022</t>
  </si>
  <si>
    <t>bleximenib</t>
  </si>
  <si>
    <t>KMT2Ar/NPM1 AML</t>
  </si>
  <si>
    <t>menin</t>
  </si>
  <si>
    <t>Phase III "FREESIA-3" vs IVIG FNAIT</t>
  </si>
  <si>
    <t>FNAIT - fetal neonatal alloimmune thrombocytopenia</t>
  </si>
  <si>
    <t>Generalized Myasthenia Gravis, wAIHA, HDFN, CIDP</t>
  </si>
  <si>
    <t>icotrokinra</t>
  </si>
  <si>
    <t>JNJ, double-digit tiered royalties</t>
  </si>
  <si>
    <t>IL-23 receptor antagonist, 7pm</t>
  </si>
  <si>
    <t>oral</t>
  </si>
  <si>
    <t>Peptidic, 2000 MW</t>
  </si>
  <si>
    <t>Stelara (p40 IL-12/IL-23 ustekinumab mab) $10.9B 2023</t>
  </si>
  <si>
    <t>Tremfya (p19 IL-23 mab guselkumab) $3.1B 2023</t>
  </si>
  <si>
    <t>Skyrizi (p19 IL-23 mab risankizumab) $7.8B 2023</t>
  </si>
  <si>
    <t>JNJ-77242113, a highly potent, selective peptide targeting the IL-23 receptor, provides robust IL-23 pathway inhibition upon oral dosing in rats and humans</t>
  </si>
  <si>
    <t>https://pubmed.ncbi.nlm.nih.gov/27881076/</t>
  </si>
  <si>
    <t>9-16 hour T1/2</t>
  </si>
  <si>
    <t>Phase IIb "FRONTIER 1" - NCT05223868</t>
  </si>
  <si>
    <t>Phase III PHOENIX 12-week</t>
  </si>
  <si>
    <t>Phase III "ESTEEM" PASI75</t>
  </si>
  <si>
    <t>PE: PASI75</t>
  </si>
  <si>
    <t>Results 7/4/23</t>
  </si>
  <si>
    <t>30mg BID: 33%</t>
  </si>
  <si>
    <t>placebo: 9%</t>
  </si>
  <si>
    <t>Placebo: 5%</t>
  </si>
  <si>
    <t>25mg qd: 37%</t>
  </si>
  <si>
    <t>25mg bid: 51%</t>
  </si>
  <si>
    <t>50mg qd: 58%</t>
  </si>
  <si>
    <t>100mg qd: 65%</t>
  </si>
  <si>
    <t>100mg bid: 79%</t>
  </si>
  <si>
    <t>PE: PASI90</t>
  </si>
  <si>
    <t>placebo: 2%</t>
  </si>
  <si>
    <t>25mg qd: 26%</t>
  </si>
  <si>
    <t>25mg bid: 27%</t>
  </si>
  <si>
    <t>50mg: 51%</t>
  </si>
  <si>
    <t>100mg: 47%</t>
  </si>
  <si>
    <t>100mg bid: 60%</t>
  </si>
  <si>
    <t>37-42%</t>
  </si>
  <si>
    <t>PE: PASI100</t>
  </si>
  <si>
    <t>placebo: 0%</t>
  </si>
  <si>
    <t>25mg qd: 12%</t>
  </si>
  <si>
    <t>25mg bid: 10%</t>
  </si>
  <si>
    <t>50mg: 26%</t>
  </si>
  <si>
    <t>100mg qd: 23%</t>
  </si>
  <si>
    <t>100mg bid: 41%</t>
  </si>
  <si>
    <t>Phase IIb "ANTHEM" UC</t>
  </si>
  <si>
    <t>icotrokinra (JNJ-2113)</t>
  </si>
  <si>
    <t>49.6% PASI90 vs. 4.4% for placebo</t>
  </si>
  <si>
    <t>Phase II "FRONTIER II"</t>
  </si>
  <si>
    <t>Phase III "ICONIC-PsA"</t>
  </si>
  <si>
    <t>Phase III "ICONIC-LEAD" psoriasis - NCT06095115</t>
  </si>
  <si>
    <t>Phase III "ICONIC-TOTAL" psoriasis - NCT06095102</t>
  </si>
  <si>
    <t>Phase III "ICONIC-ADVANCE 1" psoriasis vs. deucravacitinib? - NCT06143878</t>
  </si>
  <si>
    <t>Phase III "ICONIC-ADVANCE 2" psoriasis - NCT06220604</t>
  </si>
  <si>
    <t>11/15/24: CHMP recommends Rybrevant+Lazcluze on MARIPOSA results</t>
  </si>
  <si>
    <t>EGFR/met</t>
  </si>
  <si>
    <t>BLA approved 5/21/21, CHMP recommends approval 11/15/2024</t>
  </si>
  <si>
    <t>Phase III "MARIPOSA" amivantamab+lazertinib vs. osimertinib - NCT04487080</t>
  </si>
  <si>
    <t>11/18/24: icotrokinra Phase III results in psoriasis</t>
  </si>
  <si>
    <t>11/14/24: nipocalimab Sjogren's results</t>
  </si>
  <si>
    <t>Phase II "DAHLIAS" Sjogren's - NCT04968912</t>
  </si>
  <si>
    <t>5mg/kg: -0.34, p=0.681</t>
  </si>
  <si>
    <t>15mg/kg: -2.65, p=0.002</t>
  </si>
  <si>
    <t>improved ClinESSDAI score at 24 weeks</t>
  </si>
  <si>
    <t>IPO: 1944</t>
  </si>
  <si>
    <t>Founded: 1886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</si>
</sst>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8">
    <numFmt numFmtId="6" formatCode="&quot;$&quot;#,##0_);[Red]\(&quot;$&quot;#,##0\)"/>
    <numFmt numFmtId="164" formatCode="_(\$* #,##0.00_);_(\$* \(#,##0.00\);_(\$* \-??_);_(@_)"/>
    <numFmt numFmtId="165" formatCode="\$#,##0.00_);[Red]&quot;($&quot;#,##0.00\)"/>
    <numFmt numFmtId="166" formatCode="_(* #,##0_);_(* \(#,##0\);_(* \-??_);_(@_)"/>
    <numFmt numFmtId="167" formatCode="\$#,##0_);&quot;($&quot;#,##0\)"/>
    <numFmt numFmtId="168" formatCode="\$#,##0;&quot;($&quot;#,##0\)"/>
    <numFmt numFmtId="169" formatCode="\+0%;\(0%\)"/>
    <numFmt numFmtId="170" formatCode="\+0%;\(0%\);&quot;- -&quot;"/>
    <numFmt numFmtId="171" formatCode="&quot;- - &quot;"/>
    <numFmt numFmtId="172" formatCode="&quot;--&quot;"/>
    <numFmt numFmtId="173" formatCode="\+0.0%;\(0.0%\)"/>
    <numFmt numFmtId="174" formatCode="&quot;-- &quot;"/>
    <numFmt numFmtId="175" formatCode="00000"/>
    <numFmt numFmtId="176" formatCode="0.000000000000%"/>
    <numFmt numFmtId="177" formatCode="0.0%"/>
    <numFmt numFmtId="178" formatCode="\+0%"/>
    <numFmt numFmtId="179" formatCode="\$#,##0.00_);&quot;($&quot;#,##0.00\)"/>
    <numFmt numFmtId="180" formatCode="#,##0_);&quot;($&quot;#,##0\)"/>
    <numFmt numFmtId="181" formatCode="\$#,##0_);\(#,##0\)"/>
    <numFmt numFmtId="182" formatCode="#,##0.00_);&quot;($&quot;#,##0.00\)"/>
    <numFmt numFmtId="183" formatCode="\$#,##0.00;&quot;($&quot;#,##0.00\)"/>
    <numFmt numFmtId="184" formatCode="0.0"/>
    <numFmt numFmtId="185" formatCode="#,##0;\(#,##0\)"/>
    <numFmt numFmtId="186" formatCode="#,##0.00;&quot;($&quot;#,##0.00\)"/>
    <numFmt numFmtId="187" formatCode="\$#,##0&quot;    &quot;;\(#,##0\)"/>
    <numFmt numFmtId="188" formatCode="\$#,##0.0_);&quot;($&quot;#,##0.0\)"/>
    <numFmt numFmtId="189" formatCode="0.0\x"/>
    <numFmt numFmtId="190" formatCode="\$#,##0_);[Red]&quot;($&quot;#,##0\)"/>
    <numFmt numFmtId="191" formatCode="0%;\(0%\)"/>
    <numFmt numFmtId="192" formatCode="\$#,##0;[Red]&quot;($&quot;#,##0\)"/>
    <numFmt numFmtId="193" formatCode="\$#,##0.0;[Red]&quot;($&quot;#,##0.0\)"/>
    <numFmt numFmtId="194" formatCode="\$#,##0.00;[Red]&quot;($&quot;#,##0.00\)"/>
    <numFmt numFmtId="195" formatCode="\'"/>
    <numFmt numFmtId="196" formatCode="#,##0;\(#,##0\);&quot;- -&quot;"/>
    <numFmt numFmtId="197" formatCode="\$#,##0"/>
    <numFmt numFmtId="198" formatCode="#,##0.0_);\(#,000.0_);&quot;- -&quot;"/>
    <numFmt numFmtId="199" formatCode="&quot;- -&quot;"/>
    <numFmt numFmtId="200" formatCode="\+0%;\(0%\);&quot;--&quot;"/>
    <numFmt numFmtId="201" formatCode="#,##0\ ;\(#,##0\)"/>
    <numFmt numFmtId="202" formatCode="\$#,##0;\(#,##0\)"/>
    <numFmt numFmtId="203" formatCode="_(* #,##0_);_(* \(#,##0\);_(* &quot;--&quot;_);_(@_)"/>
    <numFmt numFmtId="204" formatCode="&quot;- &quot;"/>
    <numFmt numFmtId="205" formatCode="_(* #,##0_);_(* \(#,##0\);_(* \-_);_(@_)"/>
    <numFmt numFmtId="206" formatCode="\$#,##0.0;&quot;($&quot;#,##0.0\)"/>
    <numFmt numFmtId="207" formatCode="\$#,##0.0;\(#,##0.0\)"/>
    <numFmt numFmtId="208" formatCode="\$#,##0.00;\(#,##0.00\)"/>
    <numFmt numFmtId="209" formatCode="\$#,##0.0_);[Red]&quot;($&quot;#,##0.0\)"/>
    <numFmt numFmtId="210" formatCode="_(\$#,##0.00_);_(&quot;($&quot;#,##0.00\);_(&quot;--&quot;_);_(@_)"/>
    <numFmt numFmtId="211" formatCode="\$#,##0.000_);&quot;($&quot;#,##0.000\)"/>
    <numFmt numFmtId="212" formatCode="[Blue]\$#,##0\ ;[Blue]&quot;($&quot;#,##0\)"/>
    <numFmt numFmtId="213" formatCode="_(\$#,##0.000_);_(&quot;($&quot;#,##0.000\);_(&quot;--&quot;_);_(@_)"/>
    <numFmt numFmtId="214" formatCode="[Blue]0.0"/>
    <numFmt numFmtId="215" formatCode="[Blue]\$#,##0.0\ ;[Blue]&quot;($&quot;#,##0.0\)"/>
    <numFmt numFmtId="216" formatCode="[Blue]#,##0\ ;[Blue]\(#,##0\)"/>
    <numFmt numFmtId="217" formatCode="[Blue]0.0%"/>
    <numFmt numFmtId="218" formatCode="#,##0.0_);\(#,##0.0\)"/>
    <numFmt numFmtId="219" formatCode="0\x"/>
    <numFmt numFmtId="220" formatCode="_(* #,##0.00_);_(* \(#,##0.00\);_(* \-??_);_(@_)"/>
  </numFmts>
  <fonts count="35" x14ac:knownFonts="1">
    <font>
      <sz val="10"/>
      <name val="Arial"/>
      <family val="2"/>
    </font>
    <font>
      <sz val="10"/>
      <name val="Times New Roman"/>
      <family val="1"/>
    </font>
    <font>
      <b/>
      <sz val="10"/>
      <name val="Tms Rmn"/>
      <family val="1"/>
    </font>
    <font>
      <b/>
      <sz val="10"/>
      <name val="Arial"/>
      <family val="2"/>
    </font>
    <font>
      <u/>
      <sz val="10"/>
      <color indexed="12"/>
      <name val="Arial"/>
      <family val="2"/>
    </font>
    <font>
      <sz val="10"/>
      <color indexed="8"/>
      <name val="Arial"/>
      <family val="2"/>
    </font>
    <font>
      <b/>
      <sz val="8"/>
      <color indexed="8"/>
      <name val="Times New Roman"/>
      <family val="1"/>
    </font>
    <font>
      <sz val="8"/>
      <color indexed="8"/>
      <name val="Times New Roman"/>
      <family val="1"/>
    </font>
    <font>
      <i/>
      <sz val="10"/>
      <name val="Arial"/>
      <family val="2"/>
    </font>
    <font>
      <u/>
      <sz val="10"/>
      <name val="Arial"/>
      <family val="2"/>
    </font>
    <font>
      <sz val="10"/>
      <name val="Arial Narrow"/>
      <family val="2"/>
    </font>
    <font>
      <sz val="8"/>
      <name val="Arial"/>
      <family val="2"/>
    </font>
    <font>
      <b/>
      <sz val="8"/>
      <name val="Times New Roman"/>
      <family val="1"/>
    </font>
    <font>
      <sz val="10"/>
      <color indexed="12"/>
      <name val="Arial Narrow"/>
      <family val="2"/>
    </font>
    <font>
      <b/>
      <sz val="10"/>
      <name val="Arial Narrow"/>
      <family val="2"/>
    </font>
    <font>
      <b/>
      <u/>
      <sz val="10"/>
      <name val="Arial"/>
      <family val="2"/>
    </font>
    <font>
      <b/>
      <u/>
      <sz val="10"/>
      <color indexed="8"/>
      <name val="Arial"/>
      <family val="2"/>
    </font>
    <font>
      <b/>
      <sz val="10"/>
      <color indexed="8"/>
      <name val="Arial"/>
      <family val="2"/>
    </font>
    <font>
      <sz val="10"/>
      <color indexed="10"/>
      <name val="Arial"/>
      <family val="2"/>
    </font>
    <font>
      <sz val="10"/>
      <color indexed="12"/>
      <name val="Arial"/>
      <family val="2"/>
    </font>
    <font>
      <u/>
      <sz val="10"/>
      <color indexed="10"/>
      <name val="Arial"/>
      <family val="2"/>
    </font>
    <font>
      <sz val="8"/>
      <name val="Times New Roman"/>
      <family val="1"/>
    </font>
    <font>
      <sz val="10"/>
      <color indexed="22"/>
      <name val="Arial"/>
      <family val="2"/>
    </font>
    <font>
      <sz val="10"/>
      <name val="Arial"/>
      <family val="2"/>
    </font>
    <font>
      <b/>
      <sz val="8"/>
      <color indexed="81"/>
      <name val="Tahoma"/>
      <family val="2"/>
    </font>
    <font>
      <sz val="8"/>
      <color indexed="81"/>
      <name val="Tahoma"/>
      <family val="2"/>
    </font>
    <font>
      <b/>
      <sz val="8"/>
      <color indexed="8"/>
      <name val="Arial"/>
      <family val="2"/>
    </font>
    <font>
      <sz val="8"/>
      <color indexed="8"/>
      <name val="Arial"/>
      <family val="2"/>
    </font>
    <font>
      <u/>
      <sz val="10"/>
      <color indexed="8"/>
      <name val="Arial"/>
      <family val="2"/>
    </font>
    <font>
      <sz val="9"/>
      <color indexed="81"/>
      <name val="Tahoma"/>
      <family val="2"/>
    </font>
    <font>
      <b/>
      <sz val="9"/>
      <color indexed="81"/>
      <name val="Tahoma"/>
      <family val="2"/>
    </font>
    <font>
      <b/>
      <i/>
      <sz val="10"/>
      <name val="Arial"/>
      <family val="2"/>
    </font>
    <font>
      <b/>
      <sz val="10"/>
      <color theme="1"/>
      <name val="Arial"/>
      <family val="2"/>
    </font>
    <font>
      <b/>
      <u/>
      <sz val="10"/>
      <color theme="1"/>
      <name val="Arial"/>
      <family val="2"/>
    </font>
    <font>
      <u/>
      <sz val="10"/>
      <color theme="1"/>
      <name val="Arial"/>
      <family val="2"/>
    </font>
  </fonts>
  <fills count="12">
    <fill>
      <patternFill patternType="none"/>
    </fill>
    <fill>
      <patternFill patternType="gray125"/>
    </fill>
    <fill>
      <patternFill patternType="solid">
        <fgColor indexed="26"/>
        <bgColor indexed="9"/>
      </patternFill>
    </fill>
    <fill>
      <patternFill patternType="solid">
        <fgColor indexed="9"/>
        <bgColor indexed="26"/>
      </patternFill>
    </fill>
    <fill>
      <patternFill patternType="solid">
        <fgColor indexed="13"/>
        <bgColor indexed="34"/>
      </patternFill>
    </fill>
    <fill>
      <patternFill patternType="solid">
        <fgColor indexed="22"/>
        <bgColor indexed="31"/>
      </patternFill>
    </fill>
    <fill>
      <patternFill patternType="solid">
        <fgColor indexed="9"/>
        <bgColor indexed="64"/>
      </patternFill>
    </fill>
    <fill>
      <patternFill patternType="solid">
        <fgColor indexed="43"/>
        <bgColor indexed="64"/>
      </patternFill>
    </fill>
    <fill>
      <patternFill patternType="solid">
        <fgColor indexed="13"/>
        <bgColor indexed="64"/>
      </patternFill>
    </fill>
    <fill>
      <patternFill patternType="solid">
        <fgColor indexed="9"/>
        <bgColor indexed="34"/>
      </patternFill>
    </fill>
    <fill>
      <patternFill patternType="solid">
        <fgColor rgb="FFFFFF00"/>
        <bgColor indexed="64"/>
      </patternFill>
    </fill>
    <fill>
      <patternFill patternType="solid">
        <fgColor theme="0" tint="-4.9989318521683403E-2"/>
        <bgColor indexed="64"/>
      </patternFill>
    </fill>
  </fills>
  <borders count="18">
    <border>
      <left/>
      <right/>
      <top/>
      <bottom/>
      <diagonal/>
    </border>
    <border>
      <left/>
      <right/>
      <top/>
      <bottom style="thin">
        <color indexed="8"/>
      </bottom>
      <diagonal/>
    </border>
    <border>
      <left style="thin">
        <color indexed="8"/>
      </left>
      <right/>
      <top/>
      <bottom/>
      <diagonal/>
    </border>
    <border>
      <left/>
      <right style="thin">
        <color indexed="8"/>
      </right>
      <top/>
      <bottom style="thin">
        <color indexed="8"/>
      </bottom>
      <diagonal/>
    </border>
    <border>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bottom style="thin">
        <color indexed="64"/>
      </bottom>
      <diagonal/>
    </border>
    <border>
      <left style="thin">
        <color indexed="64"/>
      </left>
      <right/>
      <top style="thin">
        <color indexed="8"/>
      </top>
      <bottom/>
      <diagonal/>
    </border>
    <border>
      <left/>
      <right style="thin">
        <color indexed="64"/>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3">
    <xf numFmtId="0" fontId="0" fillId="0" borderId="0"/>
    <xf numFmtId="0" fontId="23" fillId="0" borderId="0"/>
    <xf numFmtId="220" fontId="23" fillId="0" borderId="0" applyFill="0" applyBorder="0" applyAlignment="0" applyProtection="0"/>
    <xf numFmtId="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0" fontId="23" fillId="0" borderId="0" applyFill="0" applyBorder="0" applyAlignment="0" applyProtection="0"/>
    <xf numFmtId="166" fontId="23" fillId="0" borderId="0" applyFill="0" applyBorder="0" applyAlignment="0" applyProtection="0"/>
    <xf numFmtId="167" fontId="23" fillId="0" borderId="0" applyFill="0" applyBorder="0" applyAlignment="0" applyProtection="0"/>
    <xf numFmtId="168" fontId="23" fillId="0" borderId="0" applyFill="0" applyBorder="0" applyAlignment="0" applyProtection="0"/>
    <xf numFmtId="9" fontId="23" fillId="0" borderId="0" applyFill="0" applyBorder="0" applyAlignment="0" applyProtection="0"/>
    <xf numFmtId="169" fontId="23" fillId="0" borderId="0" applyFill="0" applyBorder="0" applyAlignment="0" applyProtection="0"/>
    <xf numFmtId="170" fontId="23" fillId="0" borderId="0" applyFill="0" applyBorder="0" applyAlignment="0" applyProtection="0"/>
    <xf numFmtId="171" fontId="23" fillId="0" borderId="0" applyFill="0" applyBorder="0" applyAlignment="0" applyProtection="0"/>
    <xf numFmtId="172" fontId="23" fillId="0" borderId="0" applyFill="0" applyBorder="0" applyAlignment="0" applyProtection="0"/>
    <xf numFmtId="173" fontId="23" fillId="0" borderId="0" applyFill="0" applyBorder="0" applyAlignment="0" applyProtection="0"/>
    <xf numFmtId="174" fontId="23" fillId="0" borderId="0" applyFill="0" applyBorder="0" applyAlignment="0" applyProtection="0"/>
    <xf numFmtId="175" fontId="23" fillId="0" borderId="0" applyFill="0" applyBorder="0" applyAlignment="0" applyProtection="0"/>
    <xf numFmtId="176" fontId="23" fillId="0" borderId="0" applyFill="0" applyBorder="0" applyAlignment="0" applyProtection="0"/>
    <xf numFmtId="165" fontId="23" fillId="0" borderId="0" applyFill="0" applyBorder="0" applyAlignment="0" applyProtection="0"/>
    <xf numFmtId="177" fontId="23" fillId="0" borderId="0" applyFill="0" applyBorder="0" applyAlignment="0" applyProtection="0"/>
    <xf numFmtId="178" fontId="23" fillId="0" borderId="0" applyFill="0" applyBorder="0" applyAlignment="0" applyProtection="0"/>
    <xf numFmtId="179" fontId="23" fillId="0" borderId="0" applyFill="0" applyBorder="0" applyAlignment="0" applyProtection="0"/>
    <xf numFmtId="1" fontId="23" fillId="0" borderId="0" applyFill="0" applyBorder="0" applyAlignment="0" applyProtection="0"/>
    <xf numFmtId="180" fontId="23" fillId="0" borderId="0" applyFill="0" applyBorder="0" applyAlignment="0" applyProtection="0"/>
    <xf numFmtId="181" fontId="23" fillId="0" borderId="0" applyFill="0" applyBorder="0" applyAlignment="0" applyProtection="0"/>
    <xf numFmtId="182" fontId="23" fillId="0" borderId="0" applyFill="0" applyBorder="0" applyAlignment="0" applyProtection="0"/>
    <xf numFmtId="183" fontId="23" fillId="0" borderId="0" applyFill="0" applyBorder="0" applyAlignment="0" applyProtection="0"/>
    <xf numFmtId="184" fontId="23" fillId="0" borderId="0" applyFill="0" applyBorder="0" applyAlignment="0" applyProtection="0"/>
    <xf numFmtId="185" fontId="23" fillId="0" borderId="0" applyFill="0" applyBorder="0" applyAlignment="0" applyProtection="0"/>
    <xf numFmtId="186" fontId="23" fillId="0" borderId="0" applyFill="0" applyBorder="0" applyAlignment="0" applyProtection="0"/>
    <xf numFmtId="187" fontId="23" fillId="0" borderId="0" applyFill="0" applyBorder="0" applyAlignment="0" applyProtection="0"/>
    <xf numFmtId="188" fontId="23" fillId="0" borderId="0" applyFill="0" applyBorder="0" applyAlignment="0" applyProtection="0"/>
    <xf numFmtId="189" fontId="23" fillId="0" borderId="0" applyFill="0" applyBorder="0" applyAlignment="0" applyProtection="0"/>
    <xf numFmtId="190" fontId="23" fillId="0" borderId="0" applyFill="0" applyBorder="0" applyAlignment="0" applyProtection="0"/>
    <xf numFmtId="191" fontId="23" fillId="0" borderId="0" applyFill="0" applyBorder="0" applyAlignment="0" applyProtection="0"/>
    <xf numFmtId="192" fontId="23" fillId="0" borderId="0" applyFill="0" applyBorder="0" applyAlignment="0" applyProtection="0"/>
    <xf numFmtId="193" fontId="23" fillId="0" borderId="0" applyFill="0" applyBorder="0" applyAlignment="0" applyProtection="0"/>
    <xf numFmtId="194" fontId="23" fillId="0" borderId="0" applyFill="0" applyBorder="0" applyAlignment="0" applyProtection="0"/>
    <xf numFmtId="49" fontId="23" fillId="0" borderId="0" applyFill="0" applyBorder="0" applyAlignment="0" applyProtection="0"/>
    <xf numFmtId="16" fontId="23" fillId="0" borderId="0" applyFill="0" applyBorder="0" applyAlignment="0" applyProtection="0"/>
    <xf numFmtId="17" fontId="23" fillId="0" borderId="0" applyFill="0" applyBorder="0" applyAlignment="0" applyProtection="0"/>
    <xf numFmtId="195" fontId="23" fillId="0" borderId="0" applyFill="0" applyBorder="0" applyAlignment="0" applyProtection="0"/>
    <xf numFmtId="196" fontId="23" fillId="0" borderId="0" applyFill="0" applyBorder="0" applyAlignment="0" applyProtection="0"/>
    <xf numFmtId="197" fontId="23" fillId="0" borderId="0" applyFill="0" applyBorder="0" applyAlignment="0" applyProtection="0"/>
    <xf numFmtId="198" fontId="23" fillId="0" borderId="0" applyFill="0" applyBorder="0" applyAlignment="0" applyProtection="0"/>
    <xf numFmtId="199" fontId="23" fillId="0" borderId="0" applyFill="0" applyBorder="0" applyAlignment="0" applyProtection="0"/>
    <xf numFmtId="200" fontId="23" fillId="0" borderId="0" applyFill="0" applyBorder="0" applyAlignment="0" applyProtection="0"/>
    <xf numFmtId="201" fontId="23" fillId="0" borderId="0" applyFill="0" applyBorder="0" applyAlignment="0" applyProtection="0"/>
    <xf numFmtId="202" fontId="23" fillId="0" borderId="0" applyFill="0" applyBorder="0" applyAlignment="0" applyProtection="0"/>
    <xf numFmtId="37" fontId="23" fillId="0" borderId="0" applyFill="0" applyBorder="0" applyAlignment="0" applyProtection="0"/>
    <xf numFmtId="203" fontId="23" fillId="0" borderId="0" applyFill="0" applyBorder="0" applyAlignment="0" applyProtection="0"/>
    <xf numFmtId="204" fontId="23" fillId="0" borderId="0" applyFill="0" applyBorder="0" applyAlignment="0" applyProtection="0"/>
    <xf numFmtId="205" fontId="23" fillId="0" borderId="0" applyFill="0" applyBorder="0" applyAlignment="0" applyProtection="0"/>
    <xf numFmtId="46" fontId="23" fillId="0" borderId="0" applyFill="0" applyBorder="0" applyAlignment="0" applyProtection="0"/>
    <xf numFmtId="4" fontId="23" fillId="0" borderId="0" applyFill="0" applyBorder="0" applyAlignment="0" applyProtection="0"/>
    <xf numFmtId="206" fontId="23" fillId="0" borderId="0" applyFill="0" applyBorder="0" applyAlignment="0" applyProtection="0"/>
    <xf numFmtId="207" fontId="23" fillId="0" borderId="0" applyFill="0" applyBorder="0" applyAlignment="0" applyProtection="0"/>
    <xf numFmtId="208" fontId="23" fillId="0" borderId="0" applyFill="0" applyBorder="0" applyAlignment="0" applyProtection="0"/>
    <xf numFmtId="209" fontId="23" fillId="0" borderId="0" applyFill="0" applyBorder="0" applyAlignment="0" applyProtection="0"/>
    <xf numFmtId="2" fontId="23" fillId="0" borderId="0" applyFill="0" applyBorder="0" applyAlignment="0" applyProtection="0"/>
    <xf numFmtId="15" fontId="23" fillId="0" borderId="0" applyFill="0" applyBorder="0" applyAlignment="0" applyProtection="0"/>
    <xf numFmtId="210" fontId="23" fillId="0" borderId="0" applyFill="0" applyBorder="0" applyAlignment="0" applyProtection="0"/>
    <xf numFmtId="211" fontId="23" fillId="0" borderId="0" applyFill="0" applyBorder="0" applyAlignment="0" applyProtection="0"/>
    <xf numFmtId="212" fontId="23" fillId="0" borderId="0" applyFill="0" applyBorder="0" applyAlignment="0" applyProtection="0"/>
    <xf numFmtId="172" fontId="23" fillId="0" borderId="0" applyFill="0" applyBorder="0" applyAlignment="0" applyProtection="0"/>
    <xf numFmtId="213" fontId="23" fillId="0" borderId="0" applyFill="0" applyBorder="0" applyAlignment="0" applyProtection="0"/>
    <xf numFmtId="214" fontId="23" fillId="0" borderId="0" applyFill="0" applyBorder="0" applyAlignment="0" applyProtection="0"/>
    <xf numFmtId="215" fontId="23" fillId="0" borderId="0" applyFill="0" applyBorder="0" applyAlignment="0" applyProtection="0"/>
    <xf numFmtId="216" fontId="23" fillId="0" borderId="0" applyFill="0" applyBorder="0" applyAlignment="0" applyProtection="0"/>
    <xf numFmtId="217" fontId="23" fillId="0" borderId="0" applyFill="0" applyBorder="0" applyAlignment="0" applyProtection="0"/>
    <xf numFmtId="39" fontId="23" fillId="0" borderId="0" applyFill="0" applyBorder="0" applyAlignment="0" applyProtection="0"/>
    <xf numFmtId="3" fontId="23" fillId="0" borderId="0" applyFill="0" applyBorder="0" applyAlignment="0" applyProtection="0"/>
    <xf numFmtId="218" fontId="23" fillId="0" borderId="0" applyFill="0" applyBorder="0" applyAlignment="0" applyProtection="0"/>
    <xf numFmtId="0" fontId="4" fillId="0" borderId="0" applyNumberFormat="0" applyFill="0" applyBorder="0" applyAlignment="0" applyProtection="0"/>
    <xf numFmtId="0" fontId="23" fillId="0" borderId="0"/>
    <xf numFmtId="0" fontId="23" fillId="0" borderId="0"/>
    <xf numFmtId="0" fontId="1" fillId="0" borderId="0"/>
    <xf numFmtId="9" fontId="23" fillId="0" borderId="0" applyFill="0" applyBorder="0" applyAlignment="0" applyProtection="0"/>
    <xf numFmtId="0" fontId="23" fillId="2" borderId="0" applyNumberFormat="0" applyAlignment="0"/>
    <xf numFmtId="0" fontId="2" fillId="0" borderId="0">
      <alignment horizontal="center"/>
    </xf>
    <xf numFmtId="0" fontId="23" fillId="0" borderId="0" applyNumberFormat="0" applyAlignment="0"/>
  </cellStyleXfs>
  <cellXfs count="353">
    <xf numFmtId="0" fontId="0" fillId="0" borderId="0" xfId="0"/>
    <xf numFmtId="0" fontId="3" fillId="0" borderId="0" xfId="0" applyFont="1"/>
    <xf numFmtId="0" fontId="4" fillId="0" borderId="0" xfId="75" applyNumberFormat="1" applyFill="1" applyBorder="1" applyAlignment="1" applyProtection="1"/>
    <xf numFmtId="9" fontId="0" fillId="0" borderId="0" xfId="0" applyNumberFormat="1"/>
    <xf numFmtId="0" fontId="0" fillId="3" borderId="0" xfId="0" applyFill="1"/>
    <xf numFmtId="0" fontId="4" fillId="3" borderId="0" xfId="75" applyNumberFormat="1" applyFill="1" applyBorder="1" applyAlignment="1" applyProtection="1"/>
    <xf numFmtId="0" fontId="0" fillId="3" borderId="0" xfId="0" applyFill="1" applyAlignment="1">
      <alignment horizontal="center"/>
    </xf>
    <xf numFmtId="3" fontId="0" fillId="3" borderId="0" xfId="0" applyNumberFormat="1" applyFill="1" applyAlignment="1">
      <alignment horizontal="center"/>
    </xf>
    <xf numFmtId="9" fontId="0" fillId="3" borderId="0" xfId="0" applyNumberFormat="1" applyFill="1" applyAlignment="1">
      <alignment horizontal="center"/>
    </xf>
    <xf numFmtId="0" fontId="3" fillId="3" borderId="0" xfId="0" applyFont="1" applyFill="1"/>
    <xf numFmtId="9" fontId="3" fillId="3" borderId="0" xfId="0" applyNumberFormat="1" applyFont="1" applyFill="1" applyAlignment="1">
      <alignment horizontal="center"/>
    </xf>
    <xf numFmtId="0" fontId="0" fillId="3" borderId="1" xfId="0" applyFill="1" applyBorder="1" applyAlignment="1">
      <alignment horizontal="center"/>
    </xf>
    <xf numFmtId="0" fontId="4" fillId="3" borderId="0" xfId="75" applyNumberFormat="1" applyFill="1" applyBorder="1" applyAlignment="1" applyProtection="1">
      <alignment horizontal="center"/>
    </xf>
    <xf numFmtId="0" fontId="8" fillId="3" borderId="0" xfId="0" applyFont="1" applyFill="1"/>
    <xf numFmtId="3" fontId="0" fillId="3" borderId="0" xfId="0" applyNumberFormat="1" applyFill="1"/>
    <xf numFmtId="9" fontId="0" fillId="3" borderId="0" xfId="0" applyNumberFormat="1" applyFill="1"/>
    <xf numFmtId="0" fontId="0" fillId="3" borderId="0" xfId="77" applyFont="1" applyFill="1" applyAlignment="1">
      <alignment horizontal="right"/>
    </xf>
    <xf numFmtId="0" fontId="3" fillId="3" borderId="1" xfId="77" applyFont="1" applyFill="1" applyBorder="1" applyAlignment="1">
      <alignment horizontal="center"/>
    </xf>
    <xf numFmtId="0" fontId="3" fillId="3" borderId="0" xfId="77" applyFont="1" applyFill="1" applyAlignment="1">
      <alignment horizontal="center"/>
    </xf>
    <xf numFmtId="3" fontId="0" fillId="3" borderId="0" xfId="6" applyNumberFormat="1" applyFont="1" applyFill="1" applyBorder="1" applyAlignment="1" applyProtection="1">
      <alignment horizontal="center"/>
    </xf>
    <xf numFmtId="0" fontId="0" fillId="3" borderId="0" xfId="0" applyFill="1" applyAlignment="1">
      <alignment horizontal="right"/>
    </xf>
    <xf numFmtId="3" fontId="0" fillId="3" borderId="0" xfId="2" applyNumberFormat="1" applyFont="1" applyFill="1" applyBorder="1" applyAlignment="1" applyProtection="1">
      <alignment horizontal="center"/>
    </xf>
    <xf numFmtId="177" fontId="0" fillId="3" borderId="0" xfId="0" applyNumberFormat="1" applyFill="1" applyAlignment="1">
      <alignment horizontal="center"/>
    </xf>
    <xf numFmtId="3" fontId="11" fillId="3" borderId="0" xfId="0" applyNumberFormat="1" applyFont="1" applyFill="1" applyAlignment="1">
      <alignment horizontal="center"/>
    </xf>
    <xf numFmtId="16" fontId="0" fillId="3" borderId="0" xfId="0" applyNumberFormat="1" applyFill="1"/>
    <xf numFmtId="1" fontId="0" fillId="3" borderId="0" xfId="0" applyNumberFormat="1" applyFill="1" applyAlignment="1">
      <alignment horizontal="center"/>
    </xf>
    <xf numFmtId="0" fontId="10" fillId="3" borderId="0" xfId="78" applyFont="1" applyFill="1"/>
    <xf numFmtId="0" fontId="0" fillId="4" borderId="0" xfId="0" applyFill="1"/>
    <xf numFmtId="15" fontId="0" fillId="3" borderId="0" xfId="0" applyNumberFormat="1" applyFill="1"/>
    <xf numFmtId="3" fontId="0" fillId="3" borderId="0" xfId="78" applyNumberFormat="1" applyFont="1" applyFill="1" applyAlignment="1">
      <alignment horizontal="center"/>
    </xf>
    <xf numFmtId="0" fontId="15" fillId="3" borderId="0" xfId="0" applyFont="1" applyFill="1"/>
    <xf numFmtId="0" fontId="8" fillId="3" borderId="0" xfId="0" applyFont="1" applyFill="1" applyAlignment="1">
      <alignment horizontal="left"/>
    </xf>
    <xf numFmtId="0" fontId="15" fillId="3" borderId="0" xfId="0" applyFont="1" applyFill="1" applyAlignment="1">
      <alignment horizontal="left"/>
    </xf>
    <xf numFmtId="185" fontId="0" fillId="3" borderId="0" xfId="78" applyNumberFormat="1" applyFont="1" applyFill="1" applyAlignment="1">
      <alignment horizontal="center"/>
    </xf>
    <xf numFmtId="185" fontId="0" fillId="3" borderId="0" xfId="0" applyNumberFormat="1" applyFill="1" applyAlignment="1">
      <alignment horizontal="center"/>
    </xf>
    <xf numFmtId="17" fontId="0" fillId="3" borderId="0" xfId="0" applyNumberFormat="1" applyFill="1"/>
    <xf numFmtId="9" fontId="0" fillId="3" borderId="0" xfId="0" applyNumberFormat="1" applyFill="1" applyAlignment="1">
      <alignment horizontal="left"/>
    </xf>
    <xf numFmtId="14" fontId="0" fillId="3" borderId="0" xfId="0" applyNumberFormat="1" applyFill="1"/>
    <xf numFmtId="0" fontId="0" fillId="3" borderId="0" xfId="78" applyFont="1" applyFill="1"/>
    <xf numFmtId="0" fontId="3" fillId="3" borderId="0" xfId="78" applyFont="1" applyFill="1"/>
    <xf numFmtId="168" fontId="10" fillId="3" borderId="0" xfId="6" applyNumberFormat="1" applyFont="1" applyFill="1" applyBorder="1" applyAlignment="1" applyProtection="1">
      <alignment horizontal="center"/>
    </xf>
    <xf numFmtId="168" fontId="10" fillId="3" borderId="2" xfId="6" applyNumberFormat="1" applyFont="1" applyFill="1" applyBorder="1" applyAlignment="1" applyProtection="1">
      <alignment horizontal="center"/>
    </xf>
    <xf numFmtId="168" fontId="13" fillId="3" borderId="0" xfId="6" applyNumberFormat="1" applyFont="1" applyFill="1" applyBorder="1" applyAlignment="1" applyProtection="1">
      <alignment horizontal="center"/>
    </xf>
    <xf numFmtId="3" fontId="8" fillId="3" borderId="0" xfId="0" applyNumberFormat="1" applyFont="1" applyFill="1" applyAlignment="1">
      <alignment horizontal="center"/>
    </xf>
    <xf numFmtId="9" fontId="8" fillId="3" borderId="0" xfId="0" applyNumberFormat="1" applyFont="1" applyFill="1" applyAlignment="1">
      <alignment horizontal="center"/>
    </xf>
    <xf numFmtId="0" fontId="14" fillId="0" borderId="1" xfId="78" applyFont="1" applyBorder="1"/>
    <xf numFmtId="0" fontId="14" fillId="0" borderId="1" xfId="78" applyFont="1" applyBorder="1" applyAlignment="1">
      <alignment horizontal="right"/>
    </xf>
    <xf numFmtId="0" fontId="14" fillId="0" borderId="3" xfId="78" applyFont="1" applyBorder="1" applyAlignment="1">
      <alignment horizontal="right"/>
    </xf>
    <xf numFmtId="0" fontId="0" fillId="3" borderId="0" xfId="77" applyFont="1" applyFill="1"/>
    <xf numFmtId="0" fontId="9" fillId="3" borderId="0" xfId="77" applyFont="1" applyFill="1" applyAlignment="1">
      <alignment horizontal="center"/>
    </xf>
    <xf numFmtId="0" fontId="3" fillId="3" borderId="0" xfId="77" applyFont="1" applyFill="1"/>
    <xf numFmtId="0" fontId="3" fillId="3" borderId="0" xfId="77" applyFont="1" applyFill="1" applyAlignment="1">
      <alignment horizontal="left"/>
    </xf>
    <xf numFmtId="0" fontId="0" fillId="3" borderId="0" xfId="77" applyFont="1" applyFill="1" applyAlignment="1">
      <alignment horizontal="left"/>
    </xf>
    <xf numFmtId="0" fontId="8" fillId="3" borderId="0" xfId="77" applyFont="1" applyFill="1"/>
    <xf numFmtId="0" fontId="3" fillId="0" borderId="1" xfId="78" applyFont="1" applyBorder="1"/>
    <xf numFmtId="0" fontId="0" fillId="0" borderId="0" xfId="78" applyFont="1"/>
    <xf numFmtId="0" fontId="0" fillId="0" borderId="0" xfId="77" applyFont="1"/>
    <xf numFmtId="0" fontId="0" fillId="0" borderId="0" xfId="77" applyFont="1" applyAlignment="1">
      <alignment horizontal="center"/>
    </xf>
    <xf numFmtId="0" fontId="3" fillId="0" borderId="0" xfId="77" applyFont="1" applyAlignment="1">
      <alignment horizontal="left"/>
    </xf>
    <xf numFmtId="0" fontId="16" fillId="0" borderId="0" xfId="77" applyFont="1" applyAlignment="1">
      <alignment horizontal="center"/>
    </xf>
    <xf numFmtId="9" fontId="0" fillId="0" borderId="0" xfId="79" applyFont="1" applyFill="1" applyBorder="1" applyAlignment="1" applyProtection="1">
      <alignment horizontal="center"/>
    </xf>
    <xf numFmtId="0" fontId="3" fillId="0" borderId="1" xfId="77" applyFont="1" applyBorder="1"/>
    <xf numFmtId="169" fontId="3" fillId="0" borderId="1" xfId="77" applyNumberFormat="1" applyFont="1" applyBorder="1" applyAlignment="1">
      <alignment horizontal="right"/>
    </xf>
    <xf numFmtId="0" fontId="3" fillId="0" borderId="1" xfId="77" applyFont="1" applyBorder="1" applyAlignment="1">
      <alignment horizontal="right"/>
    </xf>
    <xf numFmtId="0" fontId="0" fillId="0" borderId="0" xfId="77" applyFont="1" applyAlignment="1">
      <alignment horizontal="left"/>
    </xf>
    <xf numFmtId="0" fontId="3" fillId="0" borderId="0" xfId="77" applyFont="1"/>
    <xf numFmtId="0" fontId="17" fillId="0" borderId="0" xfId="77" applyFont="1" applyAlignment="1">
      <alignment horizontal="left"/>
    </xf>
    <xf numFmtId="0" fontId="17" fillId="0" borderId="0" xfId="77" applyFont="1"/>
    <xf numFmtId="0" fontId="20" fillId="0" borderId="0" xfId="77" applyFont="1" applyAlignment="1">
      <alignment horizontal="center"/>
    </xf>
    <xf numFmtId="0" fontId="0" fillId="0" borderId="1" xfId="77" applyFont="1" applyBorder="1" applyAlignment="1">
      <alignment horizontal="left"/>
    </xf>
    <xf numFmtId="0" fontId="3" fillId="0" borderId="0" xfId="78" applyFont="1"/>
    <xf numFmtId="0" fontId="3" fillId="0" borderId="5" xfId="77" applyFont="1" applyBorder="1" applyAlignment="1">
      <alignment horizontal="left"/>
    </xf>
    <xf numFmtId="0" fontId="3" fillId="0" borderId="6" xfId="77" applyFont="1" applyBorder="1"/>
    <xf numFmtId="0" fontId="0" fillId="0" borderId="2" xfId="77" applyFont="1" applyBorder="1"/>
    <xf numFmtId="0" fontId="0" fillId="0" borderId="0" xfId="78" applyFont="1" applyAlignment="1">
      <alignment horizontal="center"/>
    </xf>
    <xf numFmtId="4" fontId="0" fillId="0" borderId="0" xfId="77" applyNumberFormat="1" applyFont="1"/>
    <xf numFmtId="0" fontId="0" fillId="0" borderId="0" xfId="0" applyAlignment="1">
      <alignment horizontal="right"/>
    </xf>
    <xf numFmtId="0" fontId="21" fillId="0" borderId="0" xfId="0" applyFont="1"/>
    <xf numFmtId="1" fontId="0" fillId="0" borderId="0" xfId="0" applyNumberFormat="1"/>
    <xf numFmtId="3" fontId="0" fillId="0" borderId="0" xfId="0" applyNumberFormat="1"/>
    <xf numFmtId="0" fontId="12" fillId="0" borderId="0" xfId="0" applyFont="1"/>
    <xf numFmtId="177" fontId="0" fillId="0" borderId="0" xfId="0" applyNumberFormat="1"/>
    <xf numFmtId="3" fontId="0" fillId="3" borderId="0" xfId="78" applyNumberFormat="1" applyFont="1" applyFill="1"/>
    <xf numFmtId="0" fontId="0" fillId="3" borderId="0" xfId="78" applyFont="1" applyFill="1" applyAlignment="1">
      <alignment horizontal="center"/>
    </xf>
    <xf numFmtId="9" fontId="0" fillId="3" borderId="0" xfId="78" applyNumberFormat="1" applyFont="1" applyFill="1"/>
    <xf numFmtId="9" fontId="0" fillId="3" borderId="0" xfId="79" applyFont="1" applyFill="1" applyBorder="1" applyAlignment="1" applyProtection="1">
      <alignment horizontal="center"/>
    </xf>
    <xf numFmtId="3" fontId="0" fillId="3" borderId="0" xfId="79" applyNumberFormat="1" applyFont="1" applyFill="1" applyBorder="1" applyAlignment="1" applyProtection="1">
      <alignment horizontal="center"/>
    </xf>
    <xf numFmtId="0" fontId="12" fillId="5" borderId="0" xfId="0" applyFont="1" applyFill="1"/>
    <xf numFmtId="197" fontId="12" fillId="5" borderId="0" xfId="4" applyNumberFormat="1" applyFont="1" applyFill="1" applyBorder="1" applyAlignment="1" applyProtection="1">
      <alignment horizontal="right"/>
    </xf>
    <xf numFmtId="0" fontId="12" fillId="5" borderId="1" xfId="0" applyFont="1" applyFill="1" applyBorder="1"/>
    <xf numFmtId="197" fontId="12" fillId="5" borderId="1" xfId="4" applyNumberFormat="1" applyFont="1" applyFill="1" applyBorder="1" applyAlignment="1" applyProtection="1">
      <alignment horizontal="right"/>
    </xf>
    <xf numFmtId="3" fontId="0" fillId="0" borderId="0" xfId="4" applyNumberFormat="1" applyFont="1" applyFill="1" applyBorder="1" applyAlignment="1" applyProtection="1">
      <alignment horizontal="right"/>
    </xf>
    <xf numFmtId="3" fontId="21" fillId="0" borderId="0" xfId="0" applyNumberFormat="1" applyFont="1"/>
    <xf numFmtId="0" fontId="23" fillId="3" borderId="0" xfId="0" applyFont="1" applyFill="1"/>
    <xf numFmtId="0" fontId="23" fillId="3" borderId="0" xfId="0" applyFont="1" applyFill="1" applyAlignment="1">
      <alignment horizontal="left"/>
    </xf>
    <xf numFmtId="0" fontId="23" fillId="3" borderId="0" xfId="0" applyFont="1" applyFill="1" applyAlignment="1">
      <alignment horizontal="center"/>
    </xf>
    <xf numFmtId="0" fontId="23" fillId="3" borderId="0" xfId="78" applyFont="1" applyFill="1"/>
    <xf numFmtId="185" fontId="23" fillId="3" borderId="0" xfId="78" applyNumberFormat="1" applyFont="1" applyFill="1" applyAlignment="1">
      <alignment horizontal="center"/>
    </xf>
    <xf numFmtId="0" fontId="23" fillId="3" borderId="0" xfId="78" applyFont="1" applyFill="1" applyAlignment="1">
      <alignment horizontal="center"/>
    </xf>
    <xf numFmtId="0" fontId="3" fillId="3" borderId="7" xfId="78" applyFont="1" applyFill="1" applyBorder="1" applyAlignment="1">
      <alignment horizontal="center"/>
    </xf>
    <xf numFmtId="3" fontId="3" fillId="3" borderId="0" xfId="0" applyNumberFormat="1" applyFont="1" applyFill="1" applyAlignment="1">
      <alignment horizontal="center"/>
    </xf>
    <xf numFmtId="0" fontId="8" fillId="3" borderId="7" xfId="78" applyFont="1" applyFill="1" applyBorder="1" applyAlignment="1">
      <alignment horizontal="left"/>
    </xf>
    <xf numFmtId="1" fontId="3" fillId="3" borderId="7" xfId="0" applyNumberFormat="1" applyFont="1" applyFill="1" applyBorder="1" applyAlignment="1">
      <alignment horizontal="center"/>
    </xf>
    <xf numFmtId="3" fontId="0" fillId="3" borderId="0" xfId="0" applyNumberFormat="1" applyFill="1" applyAlignment="1">
      <alignment horizontal="right"/>
    </xf>
    <xf numFmtId="9" fontId="23" fillId="3" borderId="0" xfId="79" applyFill="1" applyBorder="1" applyAlignment="1">
      <alignment horizontal="center"/>
    </xf>
    <xf numFmtId="166" fontId="23" fillId="3" borderId="0" xfId="2" applyNumberFormat="1" applyFill="1" applyBorder="1" applyAlignment="1">
      <alignment horizontal="center"/>
    </xf>
    <xf numFmtId="166" fontId="23" fillId="3" borderId="0" xfId="2" applyNumberFormat="1" applyFill="1" applyBorder="1"/>
    <xf numFmtId="0" fontId="4" fillId="6" borderId="0" xfId="75" applyNumberFormat="1" applyFill="1" applyBorder="1" applyAlignment="1" applyProtection="1"/>
    <xf numFmtId="0" fontId="23" fillId="6" borderId="0" xfId="0" applyFont="1" applyFill="1"/>
    <xf numFmtId="0" fontId="4" fillId="6" borderId="0" xfId="75" applyFill="1"/>
    <xf numFmtId="0" fontId="23" fillId="0" borderId="0" xfId="0" applyFont="1"/>
    <xf numFmtId="0" fontId="15" fillId="6" borderId="0" xfId="0" applyFont="1" applyFill="1"/>
    <xf numFmtId="0" fontId="18" fillId="6" borderId="0" xfId="0" applyFont="1" applyFill="1"/>
    <xf numFmtId="0" fontId="23" fillId="6" borderId="0" xfId="78" applyFont="1" applyFill="1"/>
    <xf numFmtId="0" fontId="23" fillId="6" borderId="4" xfId="78" applyFont="1" applyFill="1" applyBorder="1"/>
    <xf numFmtId="0" fontId="0" fillId="3" borderId="0" xfId="0" applyFill="1" applyAlignment="1">
      <alignment horizontal="left"/>
    </xf>
    <xf numFmtId="0" fontId="4" fillId="0" borderId="0" xfId="75"/>
    <xf numFmtId="168" fontId="10" fillId="3" borderId="0" xfId="6" applyNumberFormat="1" applyFont="1" applyFill="1" applyBorder="1" applyAlignment="1" applyProtection="1">
      <alignment horizontal="left"/>
    </xf>
    <xf numFmtId="0" fontId="4" fillId="6" borderId="0" xfId="75" applyNumberFormat="1" applyFill="1" applyBorder="1" applyAlignment="1" applyProtection="1">
      <alignment horizontal="left"/>
    </xf>
    <xf numFmtId="0" fontId="23" fillId="6" borderId="0" xfId="0" applyFont="1" applyFill="1" applyAlignment="1">
      <alignment horizontal="left"/>
    </xf>
    <xf numFmtId="0" fontId="5" fillId="6" borderId="0" xfId="0" applyFont="1" applyFill="1" applyAlignment="1">
      <alignment horizontal="left"/>
    </xf>
    <xf numFmtId="0" fontId="5" fillId="6" borderId="0" xfId="0" applyFont="1" applyFill="1"/>
    <xf numFmtId="0" fontId="23" fillId="6" borderId="0" xfId="78" applyFont="1" applyFill="1" applyAlignment="1">
      <alignment horizontal="left"/>
    </xf>
    <xf numFmtId="0" fontId="3" fillId="6" borderId="1" xfId="78" applyFont="1" applyFill="1" applyBorder="1" applyAlignment="1">
      <alignment horizontal="center"/>
    </xf>
    <xf numFmtId="0" fontId="3" fillId="6" borderId="7" xfId="78" applyFont="1" applyFill="1" applyBorder="1" applyAlignment="1">
      <alignment horizontal="center"/>
    </xf>
    <xf numFmtId="0" fontId="3" fillId="6" borderId="0" xfId="78" applyFont="1" applyFill="1" applyAlignment="1">
      <alignment horizontal="center"/>
    </xf>
    <xf numFmtId="3" fontId="23" fillId="7" borderId="0" xfId="3" applyNumberFormat="1" applyFill="1" applyBorder="1" applyAlignment="1" applyProtection="1">
      <alignment horizontal="center"/>
    </xf>
    <xf numFmtId="3" fontId="23" fillId="6" borderId="0" xfId="3" applyNumberFormat="1" applyFill="1" applyBorder="1" applyAlignment="1" applyProtection="1">
      <alignment horizontal="center"/>
    </xf>
    <xf numFmtId="0" fontId="23" fillId="6" borderId="0" xfId="78" applyFont="1" applyFill="1" applyAlignment="1">
      <alignment horizontal="center"/>
    </xf>
    <xf numFmtId="3" fontId="23" fillId="7" borderId="7" xfId="3" applyNumberFormat="1" applyFill="1" applyBorder="1" applyAlignment="1" applyProtection="1">
      <alignment horizontal="center"/>
    </xf>
    <xf numFmtId="3" fontId="23" fillId="6" borderId="7" xfId="3" applyNumberFormat="1" applyFill="1" applyBorder="1" applyAlignment="1" applyProtection="1">
      <alignment horizontal="center"/>
    </xf>
    <xf numFmtId="0" fontId="23" fillId="6" borderId="0" xfId="0" applyFont="1" applyFill="1" applyAlignment="1">
      <alignment horizontal="center"/>
    </xf>
    <xf numFmtId="3" fontId="23" fillId="7" borderId="0" xfId="0" applyNumberFormat="1" applyFont="1" applyFill="1" applyAlignment="1">
      <alignment horizontal="center"/>
    </xf>
    <xf numFmtId="3" fontId="23" fillId="6" borderId="0" xfId="0" applyNumberFormat="1" applyFont="1" applyFill="1" applyAlignment="1">
      <alignment horizontal="center"/>
    </xf>
    <xf numFmtId="0" fontId="0" fillId="6" borderId="0" xfId="0" applyFill="1"/>
    <xf numFmtId="0" fontId="0" fillId="7" borderId="0" xfId="0" applyFill="1"/>
    <xf numFmtId="0" fontId="23" fillId="6" borderId="0" xfId="77" applyFill="1"/>
    <xf numFmtId="0" fontId="3" fillId="6" borderId="1" xfId="0" applyFont="1" applyFill="1" applyBorder="1" applyAlignment="1">
      <alignment horizontal="center"/>
    </xf>
    <xf numFmtId="0" fontId="23" fillId="6" borderId="0" xfId="77" applyFill="1" applyAlignment="1">
      <alignment horizontal="center"/>
    </xf>
    <xf numFmtId="3" fontId="23" fillId="6" borderId="0" xfId="77" applyNumberFormat="1" applyFill="1"/>
    <xf numFmtId="3" fontId="23" fillId="6" borderId="8" xfId="2" applyNumberFormat="1" applyFill="1" applyBorder="1" applyAlignment="1" applyProtection="1">
      <alignment horizontal="center"/>
    </xf>
    <xf numFmtId="3" fontId="23" fillId="6" borderId="0" xfId="2" applyNumberFormat="1" applyFill="1" applyBorder="1" applyAlignment="1" applyProtection="1">
      <alignment horizontal="center"/>
    </xf>
    <xf numFmtId="1" fontId="23" fillId="6" borderId="0" xfId="2" applyNumberFormat="1" applyFill="1" applyBorder="1" applyAlignment="1" applyProtection="1">
      <alignment horizontal="center"/>
    </xf>
    <xf numFmtId="1" fontId="23" fillId="6" borderId="9" xfId="2" applyNumberFormat="1" applyFill="1" applyBorder="1" applyAlignment="1" applyProtection="1">
      <alignment horizontal="center"/>
    </xf>
    <xf numFmtId="3" fontId="23" fillId="6" borderId="10" xfId="2" applyNumberFormat="1" applyFill="1" applyBorder="1" applyAlignment="1" applyProtection="1">
      <alignment horizontal="center"/>
    </xf>
    <xf numFmtId="1" fontId="23" fillId="6" borderId="11" xfId="2" applyNumberFormat="1" applyFill="1" applyBorder="1" applyAlignment="1" applyProtection="1">
      <alignment horizontal="center"/>
    </xf>
    <xf numFmtId="3" fontId="23" fillId="6" borderId="11" xfId="2" applyNumberFormat="1" applyFill="1" applyBorder="1" applyAlignment="1" applyProtection="1">
      <alignment horizontal="center"/>
    </xf>
    <xf numFmtId="0" fontId="3" fillId="6" borderId="7" xfId="0" applyFont="1" applyFill="1" applyBorder="1" applyAlignment="1">
      <alignment horizontal="center"/>
    </xf>
    <xf numFmtId="166" fontId="23" fillId="6" borderId="0" xfId="0" applyNumberFormat="1" applyFont="1" applyFill="1" applyAlignment="1">
      <alignment horizontal="center"/>
    </xf>
    <xf numFmtId="1" fontId="23" fillId="6" borderId="0" xfId="0" applyNumberFormat="1" applyFont="1" applyFill="1" applyAlignment="1">
      <alignment horizontal="center"/>
    </xf>
    <xf numFmtId="0" fontId="23" fillId="8" borderId="0" xfId="0" applyFont="1" applyFill="1" applyAlignment="1">
      <alignment horizontal="center"/>
    </xf>
    <xf numFmtId="9" fontId="23" fillId="6" borderId="0" xfId="79" applyFill="1" applyBorder="1" applyAlignment="1">
      <alignment horizontal="center"/>
    </xf>
    <xf numFmtId="9" fontId="23" fillId="3" borderId="0" xfId="0" applyNumberFormat="1" applyFont="1" applyFill="1" applyAlignment="1">
      <alignment horizontal="center"/>
    </xf>
    <xf numFmtId="9" fontId="23" fillId="3" borderId="0" xfId="0" applyNumberFormat="1" applyFont="1" applyFill="1"/>
    <xf numFmtId="0" fontId="3" fillId="3" borderId="1" xfId="0" applyFont="1" applyFill="1" applyBorder="1"/>
    <xf numFmtId="0" fontId="3" fillId="3" borderId="1" xfId="0" applyFont="1" applyFill="1" applyBorder="1" applyAlignment="1">
      <alignment horizontal="center"/>
    </xf>
    <xf numFmtId="3" fontId="23" fillId="3" borderId="0" xfId="0" applyNumberFormat="1" applyFont="1" applyFill="1"/>
    <xf numFmtId="0" fontId="0" fillId="3" borderId="0" xfId="0" quotePrefix="1" applyFill="1"/>
    <xf numFmtId="0" fontId="3" fillId="0" borderId="0" xfId="78" applyFont="1" applyAlignment="1">
      <alignment horizontal="center"/>
    </xf>
    <xf numFmtId="3" fontId="4" fillId="3" borderId="0" xfId="75" applyNumberFormat="1" applyFill="1" applyBorder="1"/>
    <xf numFmtId="14" fontId="0" fillId="6" borderId="0" xfId="0" applyNumberFormat="1" applyFill="1" applyAlignment="1">
      <alignment horizontal="left"/>
    </xf>
    <xf numFmtId="14" fontId="0" fillId="6" borderId="0" xfId="0" applyNumberFormat="1" applyFill="1"/>
    <xf numFmtId="14" fontId="0" fillId="3" borderId="0" xfId="0" applyNumberFormat="1" applyFill="1" applyAlignment="1">
      <alignment horizontal="right"/>
    </xf>
    <xf numFmtId="14" fontId="0" fillId="0" borderId="0" xfId="0" applyNumberFormat="1" applyAlignment="1">
      <alignment horizontal="right"/>
    </xf>
    <xf numFmtId="17" fontId="0" fillId="0" borderId="0" xfId="0" applyNumberFormat="1" applyAlignment="1">
      <alignment horizontal="right"/>
    </xf>
    <xf numFmtId="14" fontId="3" fillId="0" borderId="0" xfId="0" applyNumberFormat="1" applyFont="1" applyAlignment="1">
      <alignment horizontal="right"/>
    </xf>
    <xf numFmtId="0" fontId="3" fillId="0" borderId="0" xfId="0" applyFont="1" applyAlignment="1">
      <alignment horizontal="right"/>
    </xf>
    <xf numFmtId="0" fontId="0" fillId="9" borderId="0" xfId="0" applyFill="1"/>
    <xf numFmtId="0" fontId="23" fillId="0" borderId="1" xfId="78" applyFont="1" applyBorder="1"/>
    <xf numFmtId="0" fontId="4" fillId="3" borderId="0" xfId="75" applyFill="1" applyBorder="1" applyAlignment="1">
      <alignment horizontal="left"/>
    </xf>
    <xf numFmtId="14" fontId="0" fillId="6" borderId="0" xfId="0" applyNumberFormat="1" applyFill="1" applyAlignment="1">
      <alignment horizontal="right"/>
    </xf>
    <xf numFmtId="0" fontId="0" fillId="6" borderId="0" xfId="0" applyFill="1" applyAlignment="1">
      <alignment horizontal="right"/>
    </xf>
    <xf numFmtId="0" fontId="4" fillId="0" borderId="0" xfId="75" applyFill="1"/>
    <xf numFmtId="0" fontId="23" fillId="3" borderId="0" xfId="77" applyFill="1"/>
    <xf numFmtId="169" fontId="3" fillId="3" borderId="0" xfId="77" applyNumberFormat="1" applyFont="1" applyFill="1" applyAlignment="1">
      <alignment horizontal="right"/>
    </xf>
    <xf numFmtId="3" fontId="3" fillId="3" borderId="0" xfId="6" applyNumberFormat="1" applyFont="1" applyFill="1" applyBorder="1" applyAlignment="1" applyProtection="1">
      <alignment horizontal="right"/>
    </xf>
    <xf numFmtId="3" fontId="0" fillId="3" borderId="0" xfId="6" applyNumberFormat="1" applyFont="1" applyFill="1" applyBorder="1" applyAlignment="1" applyProtection="1">
      <alignment horizontal="right"/>
    </xf>
    <xf numFmtId="0" fontId="23" fillId="3" borderId="0" xfId="78" applyFont="1" applyFill="1" applyAlignment="1">
      <alignment horizontal="right"/>
    </xf>
    <xf numFmtId="9" fontId="23" fillId="3" borderId="0" xfId="77" applyNumberFormat="1" applyFill="1" applyAlignment="1">
      <alignment horizontal="right"/>
    </xf>
    <xf numFmtId="9" fontId="8" fillId="3" borderId="0" xfId="77" applyNumberFormat="1" applyFont="1" applyFill="1" applyAlignment="1">
      <alignment horizontal="right"/>
    </xf>
    <xf numFmtId="9" fontId="3" fillId="3" borderId="0" xfId="77" applyNumberFormat="1" applyFont="1" applyFill="1" applyAlignment="1">
      <alignment horizontal="right"/>
    </xf>
    <xf numFmtId="177" fontId="3" fillId="3" borderId="0" xfId="77" applyNumberFormat="1" applyFont="1" applyFill="1" applyAlignment="1">
      <alignment horizontal="right"/>
    </xf>
    <xf numFmtId="9" fontId="0" fillId="3" borderId="0" xfId="77" applyNumberFormat="1" applyFont="1" applyFill="1" applyAlignment="1">
      <alignment horizontal="right"/>
    </xf>
    <xf numFmtId="177" fontId="0" fillId="3" borderId="0" xfId="77" applyNumberFormat="1" applyFont="1" applyFill="1" applyAlignment="1">
      <alignment horizontal="right"/>
    </xf>
    <xf numFmtId="0" fontId="15" fillId="0" borderId="0" xfId="0" applyFont="1"/>
    <xf numFmtId="0" fontId="9" fillId="3" borderId="0" xfId="77" applyFont="1" applyFill="1" applyAlignment="1">
      <alignment horizontal="right"/>
    </xf>
    <xf numFmtId="0" fontId="3" fillId="3" borderId="0" xfId="77" applyFont="1" applyFill="1" applyAlignment="1">
      <alignment horizontal="right"/>
    </xf>
    <xf numFmtId="0" fontId="15" fillId="3" borderId="0" xfId="77" applyFont="1" applyFill="1" applyAlignment="1">
      <alignment horizontal="right"/>
    </xf>
    <xf numFmtId="192" fontId="3" fillId="3" borderId="0" xfId="6" applyNumberFormat="1" applyFont="1" applyFill="1" applyBorder="1" applyAlignment="1" applyProtection="1">
      <alignment horizontal="right"/>
    </xf>
    <xf numFmtId="168" fontId="0" fillId="3" borderId="0" xfId="6" applyNumberFormat="1" applyFont="1" applyFill="1" applyBorder="1" applyAlignment="1" applyProtection="1">
      <alignment horizontal="right"/>
    </xf>
    <xf numFmtId="3" fontId="23" fillId="3" borderId="0" xfId="6" applyNumberFormat="1" applyFill="1" applyBorder="1" applyAlignment="1" applyProtection="1">
      <alignment horizontal="right"/>
    </xf>
    <xf numFmtId="0" fontId="23" fillId="3" borderId="0" xfId="77" applyFill="1" applyAlignment="1">
      <alignment horizontal="right"/>
    </xf>
    <xf numFmtId="177" fontId="23" fillId="3" borderId="0" xfId="77" applyNumberFormat="1" applyFill="1" applyAlignment="1">
      <alignment horizontal="right"/>
    </xf>
    <xf numFmtId="0" fontId="8" fillId="3" borderId="0" xfId="77" applyFont="1" applyFill="1" applyAlignment="1">
      <alignment horizontal="right"/>
    </xf>
    <xf numFmtId="177" fontId="8" fillId="3" borderId="0" xfId="77" applyNumberFormat="1" applyFont="1" applyFill="1" applyAlignment="1">
      <alignment horizontal="right"/>
    </xf>
    <xf numFmtId="0" fontId="3" fillId="0" borderId="1" xfId="78" applyFont="1" applyBorder="1" applyAlignment="1">
      <alignment horizontal="right"/>
    </xf>
    <xf numFmtId="0" fontId="3" fillId="0" borderId="3" xfId="78" applyFont="1" applyBorder="1" applyAlignment="1">
      <alignment horizontal="right"/>
    </xf>
    <xf numFmtId="177" fontId="23" fillId="0" borderId="0" xfId="0" applyNumberFormat="1" applyFont="1"/>
    <xf numFmtId="3" fontId="23" fillId="0" borderId="0" xfId="0" applyNumberFormat="1" applyFont="1"/>
    <xf numFmtId="3" fontId="23" fillId="0" borderId="0" xfId="4" applyNumberFormat="1" applyFill="1" applyBorder="1" applyAlignment="1" applyProtection="1">
      <alignment horizontal="right"/>
    </xf>
    <xf numFmtId="202" fontId="23" fillId="0" borderId="0" xfId="5" applyNumberFormat="1" applyFill="1" applyBorder="1" applyAlignment="1" applyProtection="1"/>
    <xf numFmtId="0" fontId="23" fillId="0" borderId="0" xfId="76" applyAlignment="1">
      <alignment horizontal="left" indent="1"/>
    </xf>
    <xf numFmtId="202" fontId="19" fillId="0" borderId="0" xfId="5" applyNumberFormat="1" applyFont="1" applyFill="1" applyBorder="1" applyAlignment="1" applyProtection="1"/>
    <xf numFmtId="202" fontId="19" fillId="0" borderId="4" xfId="5" applyNumberFormat="1" applyFont="1" applyFill="1" applyBorder="1" applyAlignment="1" applyProtection="1"/>
    <xf numFmtId="3" fontId="23" fillId="0" borderId="0" xfId="76" applyNumberFormat="1"/>
    <xf numFmtId="3" fontId="19" fillId="0" borderId="0" xfId="76" applyNumberFormat="1" applyFont="1"/>
    <xf numFmtId="3" fontId="19" fillId="0" borderId="4" xfId="76" applyNumberFormat="1" applyFont="1" applyBorder="1"/>
    <xf numFmtId="3" fontId="5" fillId="0" borderId="0" xfId="76" applyNumberFormat="1" applyFont="1"/>
    <xf numFmtId="3" fontId="9" fillId="0" borderId="0" xfId="76" applyNumberFormat="1" applyFont="1"/>
    <xf numFmtId="3" fontId="28" fillId="0" borderId="0" xfId="76" applyNumberFormat="1" applyFont="1"/>
    <xf numFmtId="3" fontId="4" fillId="0" borderId="0" xfId="76" applyNumberFormat="1" applyFont="1"/>
    <xf numFmtId="3" fontId="4" fillId="0" borderId="4" xfId="76" applyNumberFormat="1" applyFont="1" applyBorder="1"/>
    <xf numFmtId="0" fontId="23" fillId="0" borderId="0" xfId="76" applyAlignment="1">
      <alignment horizontal="left"/>
    </xf>
    <xf numFmtId="202" fontId="23" fillId="0" borderId="0" xfId="76" applyNumberFormat="1"/>
    <xf numFmtId="202" fontId="23" fillId="0" borderId="4" xfId="76" applyNumberFormat="1" applyBorder="1"/>
    <xf numFmtId="0" fontId="3" fillId="0" borderId="1" xfId="76" applyFont="1" applyBorder="1" applyAlignment="1">
      <alignment horizontal="left"/>
    </xf>
    <xf numFmtId="202" fontId="3" fillId="0" borderId="1" xfId="76" applyNumberFormat="1" applyFont="1" applyBorder="1"/>
    <xf numFmtId="202" fontId="3" fillId="0" borderId="3" xfId="76" applyNumberFormat="1" applyFont="1" applyBorder="1"/>
    <xf numFmtId="0" fontId="23" fillId="0" borderId="0" xfId="76"/>
    <xf numFmtId="9" fontId="23" fillId="0" borderId="0" xfId="79" applyFill="1" applyBorder="1" applyAlignment="1" applyProtection="1">
      <alignment horizontal="right"/>
    </xf>
    <xf numFmtId="3" fontId="18" fillId="0" borderId="0" xfId="4" applyNumberFormat="1" applyFont="1" applyFill="1" applyBorder="1" applyAlignment="1" applyProtection="1">
      <alignment horizontal="right"/>
    </xf>
    <xf numFmtId="3" fontId="18" fillId="0" borderId="0" xfId="0" applyNumberFormat="1" applyFont="1"/>
    <xf numFmtId="3" fontId="3" fillId="0" borderId="0" xfId="0" applyNumberFormat="1" applyFont="1"/>
    <xf numFmtId="177" fontId="3" fillId="0" borderId="0" xfId="0" applyNumberFormat="1" applyFont="1"/>
    <xf numFmtId="0" fontId="0" fillId="0" borderId="0" xfId="77" applyFont="1" applyAlignment="1">
      <alignment horizontal="right"/>
    </xf>
    <xf numFmtId="0" fontId="17" fillId="0" borderId="1" xfId="77" applyFont="1" applyBorder="1" applyAlignment="1">
      <alignment horizontal="right"/>
    </xf>
    <xf numFmtId="0" fontId="3" fillId="0" borderId="0" xfId="77" applyFont="1" applyAlignment="1">
      <alignment horizontal="right"/>
    </xf>
    <xf numFmtId="3" fontId="0" fillId="0" borderId="0" xfId="6" applyNumberFormat="1" applyFont="1" applyFill="1" applyBorder="1" applyAlignment="1" applyProtection="1">
      <alignment horizontal="right"/>
    </xf>
    <xf numFmtId="3" fontId="5" fillId="0" borderId="0" xfId="6" applyNumberFormat="1" applyFont="1" applyFill="1" applyBorder="1" applyAlignment="1" applyProtection="1">
      <alignment horizontal="right"/>
    </xf>
    <xf numFmtId="0" fontId="0" fillId="0" borderId="0" xfId="78" applyFont="1" applyAlignment="1">
      <alignment horizontal="right"/>
    </xf>
    <xf numFmtId="3" fontId="0" fillId="0" borderId="1" xfId="6" applyNumberFormat="1" applyFont="1" applyFill="1" applyBorder="1" applyAlignment="1" applyProtection="1">
      <alignment horizontal="right"/>
    </xf>
    <xf numFmtId="3" fontId="3" fillId="0" borderId="6" xfId="6" applyNumberFormat="1" applyFont="1" applyFill="1" applyBorder="1" applyAlignment="1" applyProtection="1">
      <alignment horizontal="right"/>
    </xf>
    <xf numFmtId="0" fontId="3" fillId="0" borderId="0" xfId="78" applyFont="1" applyAlignment="1">
      <alignment horizontal="right"/>
    </xf>
    <xf numFmtId="177" fontId="0" fillId="3" borderId="0" xfId="0" applyNumberFormat="1" applyFill="1" applyAlignment="1">
      <alignment horizontal="right"/>
    </xf>
    <xf numFmtId="6" fontId="0" fillId="0" borderId="0" xfId="0" applyNumberFormat="1" applyAlignment="1">
      <alignment horizontal="right"/>
    </xf>
    <xf numFmtId="3" fontId="23" fillId="0" borderId="0" xfId="6" applyNumberFormat="1" applyFill="1" applyBorder="1" applyAlignment="1" applyProtection="1">
      <alignment horizontal="right"/>
    </xf>
    <xf numFmtId="0" fontId="0" fillId="0" borderId="0" xfId="0" quotePrefix="1" applyAlignment="1">
      <alignment horizontal="right"/>
    </xf>
    <xf numFmtId="3" fontId="0" fillId="0" borderId="0" xfId="0" quotePrefix="1" applyNumberFormat="1" applyAlignment="1">
      <alignment horizontal="right"/>
    </xf>
    <xf numFmtId="205" fontId="0" fillId="0" borderId="0" xfId="0" quotePrefix="1" applyNumberFormat="1" applyAlignment="1">
      <alignment horizontal="right"/>
    </xf>
    <xf numFmtId="3" fontId="3" fillId="0" borderId="0" xfId="6" applyNumberFormat="1" applyFont="1" applyFill="1" applyBorder="1" applyAlignment="1" applyProtection="1">
      <alignment horizontal="right"/>
    </xf>
    <xf numFmtId="177" fontId="23" fillId="0" borderId="0" xfId="79" applyNumberFormat="1" applyFill="1" applyBorder="1" applyAlignment="1" applyProtection="1">
      <alignment horizontal="right"/>
    </xf>
    <xf numFmtId="177" fontId="3" fillId="0" borderId="0" xfId="79" applyNumberFormat="1" applyFont="1" applyFill="1" applyBorder="1" applyAlignment="1" applyProtection="1">
      <alignment horizontal="right"/>
    </xf>
    <xf numFmtId="177" fontId="23" fillId="0" borderId="1" xfId="79" applyNumberFormat="1" applyFill="1" applyBorder="1" applyAlignment="1" applyProtection="1">
      <alignment horizontal="right"/>
    </xf>
    <xf numFmtId="3" fontId="0" fillId="0" borderId="0" xfId="0" applyNumberFormat="1" applyAlignment="1">
      <alignment horizontal="right"/>
    </xf>
    <xf numFmtId="3" fontId="23" fillId="0" borderId="0" xfId="6" quotePrefix="1" applyNumberFormat="1" applyFill="1" applyBorder="1" applyAlignment="1" applyProtection="1">
      <alignment horizontal="right"/>
    </xf>
    <xf numFmtId="9" fontId="3" fillId="0" borderId="0" xfId="6" applyNumberFormat="1" applyFont="1" applyFill="1" applyBorder="1" applyAlignment="1" applyProtection="1">
      <alignment horizontal="right"/>
    </xf>
    <xf numFmtId="9" fontId="23" fillId="0" borderId="0" xfId="6" applyNumberFormat="1" applyFill="1" applyBorder="1" applyAlignment="1" applyProtection="1">
      <alignment horizontal="right"/>
    </xf>
    <xf numFmtId="3" fontId="23" fillId="0" borderId="0" xfId="0" applyNumberFormat="1" applyFont="1" applyAlignment="1">
      <alignment horizontal="right"/>
    </xf>
    <xf numFmtId="0" fontId="8" fillId="0" borderId="0" xfId="0" applyFont="1"/>
    <xf numFmtId="0" fontId="3" fillId="3" borderId="0" xfId="78" applyFont="1" applyFill="1" applyAlignment="1">
      <alignment horizontal="right"/>
    </xf>
    <xf numFmtId="3" fontId="23" fillId="3" borderId="0" xfId="78" applyNumberFormat="1" applyFont="1" applyFill="1" applyAlignment="1">
      <alignment horizontal="right"/>
    </xf>
    <xf numFmtId="9" fontId="23" fillId="3" borderId="0" xfId="78" applyNumberFormat="1" applyFont="1" applyFill="1" applyAlignment="1">
      <alignment horizontal="right"/>
    </xf>
    <xf numFmtId="0" fontId="23" fillId="3" borderId="0" xfId="0" applyFont="1" applyFill="1" applyAlignment="1">
      <alignment horizontal="right"/>
    </xf>
    <xf numFmtId="0" fontId="9" fillId="0" borderId="0" xfId="0" applyFont="1"/>
    <xf numFmtId="0" fontId="0" fillId="0" borderId="0" xfId="0" applyAlignment="1">
      <alignment horizontal="center"/>
    </xf>
    <xf numFmtId="10" fontId="0" fillId="0" borderId="0" xfId="0" applyNumberFormat="1" applyAlignment="1">
      <alignment horizontal="right"/>
    </xf>
    <xf numFmtId="0" fontId="0" fillId="0" borderId="0" xfId="0" applyAlignment="1">
      <alignment horizontal="left"/>
    </xf>
    <xf numFmtId="0" fontId="15" fillId="0" borderId="0" xfId="0" applyFont="1" applyAlignment="1">
      <alignment horizontal="left"/>
    </xf>
    <xf numFmtId="0" fontId="3" fillId="3" borderId="1" xfId="0" applyFont="1" applyFill="1" applyBorder="1" applyAlignment="1">
      <alignment horizontal="right"/>
    </xf>
    <xf numFmtId="3" fontId="23" fillId="3" borderId="0" xfId="0" applyNumberFormat="1" applyFont="1" applyFill="1" applyAlignment="1">
      <alignment horizontal="right"/>
    </xf>
    <xf numFmtId="9" fontId="23" fillId="3" borderId="0" xfId="0" applyNumberFormat="1" applyFont="1" applyFill="1" applyAlignment="1">
      <alignment horizontal="right"/>
    </xf>
    <xf numFmtId="3" fontId="3" fillId="3" borderId="0" xfId="0" applyNumberFormat="1" applyFont="1" applyFill="1"/>
    <xf numFmtId="3" fontId="3" fillId="3" borderId="0" xfId="0" applyNumberFormat="1" applyFont="1" applyFill="1" applyAlignment="1">
      <alignment horizontal="right"/>
    </xf>
    <xf numFmtId="0" fontId="3" fillId="3" borderId="0" xfId="0" applyFont="1" applyFill="1" applyAlignment="1">
      <alignment horizontal="right"/>
    </xf>
    <xf numFmtId="0" fontId="0" fillId="10" borderId="0" xfId="0" applyFill="1"/>
    <xf numFmtId="9" fontId="0" fillId="0" borderId="0" xfId="6" applyNumberFormat="1" applyFont="1" applyFill="1" applyBorder="1" applyAlignment="1" applyProtection="1">
      <alignment horizontal="right"/>
    </xf>
    <xf numFmtId="0" fontId="3" fillId="0" borderId="1" xfId="0" applyFont="1" applyBorder="1"/>
    <xf numFmtId="0" fontId="3" fillId="0" borderId="1" xfId="0" applyFont="1" applyBorder="1" applyAlignment="1">
      <alignment horizontal="right"/>
    </xf>
    <xf numFmtId="0" fontId="22" fillId="0" borderId="0" xfId="0" applyFont="1" applyAlignment="1">
      <alignment horizontal="right"/>
    </xf>
    <xf numFmtId="3" fontId="22" fillId="0" borderId="0" xfId="0" applyNumberFormat="1" applyFont="1" applyAlignment="1">
      <alignment horizontal="right"/>
    </xf>
    <xf numFmtId="38" fontId="23" fillId="0" borderId="0" xfId="0" quotePrefix="1" applyNumberFormat="1" applyFont="1" applyAlignment="1">
      <alignment horizontal="right"/>
    </xf>
    <xf numFmtId="38" fontId="9" fillId="0" borderId="0" xfId="0" applyNumberFormat="1" applyFont="1" applyAlignment="1">
      <alignment horizontal="right"/>
    </xf>
    <xf numFmtId="3" fontId="0" fillId="0" borderId="0" xfId="6" quotePrefix="1" applyNumberFormat="1" applyFont="1" applyFill="1" applyBorder="1" applyAlignment="1" applyProtection="1">
      <alignment horizontal="right"/>
    </xf>
    <xf numFmtId="205" fontId="0" fillId="0" borderId="0" xfId="0" applyNumberFormat="1" applyAlignment="1">
      <alignment horizontal="right"/>
    </xf>
    <xf numFmtId="38" fontId="9" fillId="0" borderId="0" xfId="0" quotePrefix="1" applyNumberFormat="1" applyFont="1" applyAlignment="1">
      <alignment horizontal="right"/>
    </xf>
    <xf numFmtId="38" fontId="0" fillId="0" borderId="0" xfId="0" applyNumberFormat="1" applyAlignment="1">
      <alignment horizontal="center"/>
    </xf>
    <xf numFmtId="38" fontId="0" fillId="0" borderId="0" xfId="0" applyNumberFormat="1" applyAlignment="1">
      <alignment horizontal="right"/>
    </xf>
    <xf numFmtId="9" fontId="0" fillId="0" borderId="0" xfId="0" applyNumberFormat="1" applyAlignment="1">
      <alignment horizontal="center"/>
    </xf>
    <xf numFmtId="3" fontId="3" fillId="0" borderId="0" xfId="0" applyNumberFormat="1" applyFont="1" applyAlignment="1">
      <alignment horizontal="right"/>
    </xf>
    <xf numFmtId="38" fontId="3" fillId="0" borderId="0" xfId="0" applyNumberFormat="1" applyFont="1" applyAlignment="1">
      <alignment horizontal="center"/>
    </xf>
    <xf numFmtId="9" fontId="3" fillId="0" borderId="0" xfId="0" applyNumberFormat="1" applyFont="1" applyAlignment="1">
      <alignment horizontal="center"/>
    </xf>
    <xf numFmtId="0" fontId="3" fillId="0" borderId="0" xfId="0" applyFont="1" applyAlignment="1">
      <alignment horizontal="center"/>
    </xf>
    <xf numFmtId="4" fontId="3" fillId="0" borderId="0" xfId="0" applyNumberFormat="1" applyFont="1" applyAlignment="1">
      <alignment horizontal="right"/>
    </xf>
    <xf numFmtId="4" fontId="0" fillId="0" borderId="0" xfId="0" applyNumberFormat="1" applyAlignment="1">
      <alignment horizontal="right"/>
    </xf>
    <xf numFmtId="165" fontId="0" fillId="0" borderId="0" xfId="0" applyNumberFormat="1" applyAlignment="1">
      <alignment horizontal="right"/>
    </xf>
    <xf numFmtId="0" fontId="15" fillId="0" borderId="0" xfId="0" applyFont="1" applyAlignment="1">
      <alignment horizontal="center"/>
    </xf>
    <xf numFmtId="165" fontId="3" fillId="0" borderId="0" xfId="0" applyNumberFormat="1" applyFont="1" applyAlignment="1">
      <alignment horizontal="right"/>
    </xf>
    <xf numFmtId="9" fontId="3" fillId="0" borderId="0" xfId="0" applyNumberFormat="1" applyFont="1" applyAlignment="1">
      <alignment horizontal="right"/>
    </xf>
    <xf numFmtId="177" fontId="0" fillId="0" borderId="0" xfId="0" applyNumberFormat="1" applyAlignment="1">
      <alignment horizontal="right"/>
    </xf>
    <xf numFmtId="177" fontId="3" fillId="0" borderId="0" xfId="0" applyNumberFormat="1" applyFont="1" applyAlignment="1">
      <alignment horizontal="right"/>
    </xf>
    <xf numFmtId="38" fontId="3" fillId="0" borderId="0" xfId="0" applyNumberFormat="1" applyFont="1"/>
    <xf numFmtId="38" fontId="0" fillId="0" borderId="0" xfId="0" applyNumberFormat="1"/>
    <xf numFmtId="4" fontId="0" fillId="0" borderId="0" xfId="0" applyNumberFormat="1"/>
    <xf numFmtId="38" fontId="3" fillId="0" borderId="0" xfId="0" applyNumberFormat="1" applyFont="1" applyAlignment="1">
      <alignment horizontal="right"/>
    </xf>
    <xf numFmtId="9" fontId="0" fillId="0" borderId="0" xfId="0" applyNumberFormat="1" applyAlignment="1">
      <alignment horizontal="right"/>
    </xf>
    <xf numFmtId="4" fontId="3" fillId="0" borderId="0" xfId="0" applyNumberFormat="1" applyFont="1"/>
    <xf numFmtId="177" fontId="0" fillId="0" borderId="0" xfId="0" applyNumberFormat="1" applyAlignment="1">
      <alignment horizontal="center"/>
    </xf>
    <xf numFmtId="9" fontId="23" fillId="0" borderId="0" xfId="0" applyNumberFormat="1" applyFont="1" applyAlignment="1">
      <alignment horizontal="right"/>
    </xf>
    <xf numFmtId="38" fontId="23" fillId="0" borderId="0" xfId="2" applyNumberFormat="1" applyFill="1" applyBorder="1" applyAlignment="1" applyProtection="1">
      <alignment horizontal="right"/>
    </xf>
    <xf numFmtId="0" fontId="0" fillId="0" borderId="1" xfId="0" applyBorder="1"/>
    <xf numFmtId="3" fontId="0" fillId="0" borderId="0" xfId="0" applyNumberFormat="1" applyAlignment="1">
      <alignment horizontal="center"/>
    </xf>
    <xf numFmtId="3" fontId="3" fillId="0" borderId="0" xfId="0" applyNumberFormat="1" applyFont="1" applyAlignment="1">
      <alignment horizontal="center"/>
    </xf>
    <xf numFmtId="2" fontId="0" fillId="0" borderId="0" xfId="0" applyNumberFormat="1"/>
    <xf numFmtId="2" fontId="0" fillId="0" borderId="0" xfId="0" applyNumberFormat="1" applyAlignment="1">
      <alignment horizontal="right"/>
    </xf>
    <xf numFmtId="219" fontId="0" fillId="0" borderId="0" xfId="0" applyNumberFormat="1" applyAlignment="1">
      <alignment horizontal="right"/>
    </xf>
    <xf numFmtId="14" fontId="0" fillId="0" borderId="0" xfId="0" applyNumberFormat="1"/>
    <xf numFmtId="0" fontId="0" fillId="0" borderId="15" xfId="0" applyBorder="1"/>
    <xf numFmtId="0" fontId="0" fillId="0" borderId="16" xfId="0" applyBorder="1" applyAlignment="1">
      <alignment horizontal="center"/>
    </xf>
    <xf numFmtId="0" fontId="4" fillId="0" borderId="14" xfId="75" applyFill="1" applyBorder="1"/>
    <xf numFmtId="0" fontId="0" fillId="0" borderId="11" xfId="0" applyBorder="1"/>
    <xf numFmtId="0" fontId="0" fillId="0" borderId="14" xfId="0" applyBorder="1"/>
    <xf numFmtId="0" fontId="4" fillId="0" borderId="14" xfId="75" applyNumberFormat="1" applyFill="1" applyBorder="1" applyAlignment="1" applyProtection="1"/>
    <xf numFmtId="0" fontId="0" fillId="0" borderId="11" xfId="0" applyBorder="1" applyAlignment="1">
      <alignment horizontal="center"/>
    </xf>
    <xf numFmtId="17" fontId="0" fillId="0" borderId="0" xfId="0" applyNumberFormat="1" applyAlignment="1">
      <alignment horizontal="center"/>
    </xf>
    <xf numFmtId="0" fontId="0" fillId="0" borderId="14" xfId="75" applyNumberFormat="1" applyFont="1" applyFill="1" applyBorder="1" applyAlignment="1" applyProtection="1"/>
    <xf numFmtId="0" fontId="0" fillId="0" borderId="7" xfId="0" applyBorder="1"/>
    <xf numFmtId="0" fontId="0" fillId="0" borderId="7" xfId="0" applyBorder="1" applyAlignment="1">
      <alignment horizontal="center"/>
    </xf>
    <xf numFmtId="9" fontId="0" fillId="0" borderId="7" xfId="0" applyNumberFormat="1" applyBorder="1" applyAlignment="1">
      <alignment horizontal="center"/>
    </xf>
    <xf numFmtId="0" fontId="0" fillId="0" borderId="12" xfId="0" applyBorder="1"/>
    <xf numFmtId="0" fontId="0" fillId="0" borderId="13" xfId="0" applyBorder="1"/>
    <xf numFmtId="0" fontId="0" fillId="0" borderId="0" xfId="0" quotePrefix="1"/>
    <xf numFmtId="0" fontId="4" fillId="0" borderId="0" xfId="75" applyFill="1" applyBorder="1"/>
    <xf numFmtId="0" fontId="23" fillId="0" borderId="0" xfId="75" applyNumberFormat="1" applyFont="1" applyFill="1" applyBorder="1" applyAlignment="1" applyProtection="1"/>
    <xf numFmtId="0" fontId="0" fillId="0" borderId="16" xfId="0" applyBorder="1"/>
    <xf numFmtId="17" fontId="0" fillId="0" borderId="11" xfId="0" applyNumberFormat="1" applyBorder="1" applyAlignment="1">
      <alignment horizontal="center"/>
    </xf>
    <xf numFmtId="0" fontId="23" fillId="0" borderId="14" xfId="75" applyNumberFormat="1" applyFont="1" applyFill="1" applyBorder="1" applyAlignment="1" applyProtection="1"/>
    <xf numFmtId="0" fontId="0" fillId="0" borderId="13" xfId="0" applyBorder="1" applyAlignment="1">
      <alignment horizontal="center"/>
    </xf>
    <xf numFmtId="0" fontId="0" fillId="0" borderId="17" xfId="0" applyBorder="1" applyAlignment="1">
      <alignment horizontal="center"/>
    </xf>
    <xf numFmtId="0" fontId="23" fillId="0" borderId="14" xfId="75" applyFont="1" applyFill="1" applyBorder="1"/>
    <xf numFmtId="9" fontId="0" fillId="0" borderId="11" xfId="0" applyNumberFormat="1" applyBorder="1" applyAlignment="1">
      <alignment horizontal="center"/>
    </xf>
    <xf numFmtId="9" fontId="8" fillId="0" borderId="11" xfId="0" applyNumberFormat="1" applyFont="1" applyBorder="1" applyAlignment="1">
      <alignment horizontal="center"/>
    </xf>
    <xf numFmtId="9" fontId="31" fillId="0" borderId="11" xfId="0" applyNumberFormat="1" applyFont="1" applyBorder="1" applyAlignment="1">
      <alignment horizontal="center"/>
    </xf>
    <xf numFmtId="0" fontId="0" fillId="0" borderId="16" xfId="0" applyBorder="1" applyAlignment="1">
      <alignment horizontal="right"/>
    </xf>
    <xf numFmtId="0" fontId="0" fillId="0" borderId="7" xfId="0" applyBorder="1" applyAlignment="1">
      <alignment horizontal="right"/>
    </xf>
    <xf numFmtId="9" fontId="23" fillId="0" borderId="0" xfId="79" applyFill="1" applyBorder="1" applyAlignment="1" applyProtection="1"/>
    <xf numFmtId="1" fontId="0" fillId="0" borderId="0" xfId="0" applyNumberFormat="1" applyAlignment="1">
      <alignment horizontal="right"/>
    </xf>
    <xf numFmtId="0" fontId="8" fillId="0" borderId="0" xfId="0" applyFont="1" applyAlignment="1">
      <alignment horizontal="center"/>
    </xf>
    <xf numFmtId="0" fontId="31" fillId="0" borderId="0" xfId="0" applyFont="1" applyAlignment="1">
      <alignment horizontal="center"/>
    </xf>
    <xf numFmtId="0" fontId="0" fillId="11" borderId="0" xfId="0" applyFill="1" applyAlignment="1">
      <alignment horizontal="right"/>
    </xf>
    <xf numFmtId="3" fontId="0" fillId="11" borderId="0" xfId="0" applyNumberFormat="1" applyFill="1" applyAlignment="1">
      <alignment horizontal="right"/>
    </xf>
    <xf numFmtId="0" fontId="0" fillId="11" borderId="0" xfId="0" quotePrefix="1" applyFill="1" applyAlignment="1">
      <alignment horizontal="right"/>
    </xf>
    <xf numFmtId="0" fontId="22" fillId="11" borderId="0" xfId="0" applyFont="1" applyFill="1" applyAlignment="1">
      <alignment horizontal="right"/>
    </xf>
    <xf numFmtId="3" fontId="22" fillId="11" borderId="0" xfId="0" applyNumberFormat="1" applyFont="1" applyFill="1" applyAlignment="1">
      <alignment horizontal="right"/>
    </xf>
    <xf numFmtId="0" fontId="4" fillId="0" borderId="14" xfId="75" applyBorder="1"/>
    <xf numFmtId="3" fontId="23" fillId="11" borderId="0" xfId="6" applyNumberFormat="1" applyFill="1" applyBorder="1" applyAlignment="1" applyProtection="1">
      <alignment horizontal="right"/>
    </xf>
    <xf numFmtId="0" fontId="0" fillId="11" borderId="0" xfId="0" applyFill="1" applyAlignment="1">
      <alignment horizontal="center"/>
    </xf>
    <xf numFmtId="0" fontId="0" fillId="11" borderId="0" xfId="0" applyFill="1"/>
    <xf numFmtId="0" fontId="33" fillId="0" borderId="0" xfId="0" applyFont="1"/>
    <xf numFmtId="0" fontId="34" fillId="0" borderId="0" xfId="0" applyFont="1"/>
    <xf numFmtId="0" fontId="32" fillId="0" borderId="0" xfId="0" applyFont="1"/>
    <xf numFmtId="0" fontId="4" fillId="0" borderId="12" xfId="75" applyNumberFormat="1" applyFill="1" applyBorder="1" applyAlignment="1" applyProtection="1"/>
    <xf numFmtId="0" fontId="23" fillId="3" borderId="7" xfId="0" applyFont="1" applyFill="1" applyBorder="1" applyAlignment="1">
      <alignment horizontal="center"/>
    </xf>
    <xf numFmtId="0" fontId="0" fillId="3" borderId="0" xfId="0" applyFill="1" applyAlignment="1">
      <alignment horizontal="right"/>
    </xf>
  </cellXfs>
  <cellStyles count="83">
    <cellStyle name="AFE" xfId="1" xr:uid="{00000000-0005-0000-0000-000000000000}"/>
    <cellStyle name="Comma" xfId="2" builtinId="3"/>
    <cellStyle name="Comma_JNJ merrill model" xfId="3" xr:uid="{00000000-0005-0000-0000-000002000000}"/>
    <cellStyle name="Currency" xfId="4" builtinId="4"/>
    <cellStyle name="Currency_Dx Trends" xfId="5" xr:uid="{00000000-0005-0000-0000-000004000000}"/>
    <cellStyle name="Currency_JNJ KEY TRENDS" xfId="6" xr:uid="{00000000-0005-0000-0000-000005000000}"/>
    <cellStyle name="CustomStyle1" xfId="7" xr:uid="{00000000-0005-0000-0000-000006000000}"/>
    <cellStyle name="CustomStyle10" xfId="8" xr:uid="{00000000-0005-0000-0000-000007000000}"/>
    <cellStyle name="CustomStyle11" xfId="9" xr:uid="{00000000-0005-0000-0000-000008000000}"/>
    <cellStyle name="CustomStyle12" xfId="10" xr:uid="{00000000-0005-0000-0000-000009000000}"/>
    <cellStyle name="CustomStyle13" xfId="11" xr:uid="{00000000-0005-0000-0000-00000A000000}"/>
    <cellStyle name="CustomStyle14" xfId="12" xr:uid="{00000000-0005-0000-0000-00000B000000}"/>
    <cellStyle name="CustomStyle15" xfId="13" xr:uid="{00000000-0005-0000-0000-00000C000000}"/>
    <cellStyle name="CustomStyle16" xfId="14" xr:uid="{00000000-0005-0000-0000-00000D000000}"/>
    <cellStyle name="CustomStyle17" xfId="15" xr:uid="{00000000-0005-0000-0000-00000E000000}"/>
    <cellStyle name="CustomStyle18" xfId="16" xr:uid="{00000000-0005-0000-0000-00000F000000}"/>
    <cellStyle name="CustomStyle19" xfId="17" xr:uid="{00000000-0005-0000-0000-000010000000}"/>
    <cellStyle name="CustomStyle2" xfId="18" xr:uid="{00000000-0005-0000-0000-000011000000}"/>
    <cellStyle name="CustomStyle20" xfId="19" xr:uid="{00000000-0005-0000-0000-000012000000}"/>
    <cellStyle name="CustomStyle21" xfId="20" xr:uid="{00000000-0005-0000-0000-000013000000}"/>
    <cellStyle name="CustomStyle22" xfId="21" xr:uid="{00000000-0005-0000-0000-000014000000}"/>
    <cellStyle name="CustomStyle23" xfId="22" xr:uid="{00000000-0005-0000-0000-000015000000}"/>
    <cellStyle name="CustomStyle24" xfId="23" xr:uid="{00000000-0005-0000-0000-000016000000}"/>
    <cellStyle name="CustomStyle25" xfId="24" xr:uid="{00000000-0005-0000-0000-000017000000}"/>
    <cellStyle name="CustomStyle26" xfId="25" xr:uid="{00000000-0005-0000-0000-000018000000}"/>
    <cellStyle name="CustomStyle27" xfId="26" xr:uid="{00000000-0005-0000-0000-000019000000}"/>
    <cellStyle name="CustomStyle28" xfId="27" xr:uid="{00000000-0005-0000-0000-00001A000000}"/>
    <cellStyle name="CustomStyle29" xfId="28" xr:uid="{00000000-0005-0000-0000-00001B000000}"/>
    <cellStyle name="CustomStyle3" xfId="29" xr:uid="{00000000-0005-0000-0000-00001C000000}"/>
    <cellStyle name="CustomStyle30" xfId="30" xr:uid="{00000000-0005-0000-0000-00001D000000}"/>
    <cellStyle name="CustomStyle31" xfId="31" xr:uid="{00000000-0005-0000-0000-00001E000000}"/>
    <cellStyle name="CustomStyle32" xfId="32" xr:uid="{00000000-0005-0000-0000-00001F000000}"/>
    <cellStyle name="CustomStyle33" xfId="33" xr:uid="{00000000-0005-0000-0000-000020000000}"/>
    <cellStyle name="CustomStyle34" xfId="34" xr:uid="{00000000-0005-0000-0000-000021000000}"/>
    <cellStyle name="CustomStyle35" xfId="35" xr:uid="{00000000-0005-0000-0000-000022000000}"/>
    <cellStyle name="CustomStyle36" xfId="36" xr:uid="{00000000-0005-0000-0000-000023000000}"/>
    <cellStyle name="CustomStyle37" xfId="37" xr:uid="{00000000-0005-0000-0000-000024000000}"/>
    <cellStyle name="CustomStyle38" xfId="38" xr:uid="{00000000-0005-0000-0000-000025000000}"/>
    <cellStyle name="CustomStyle39" xfId="39" xr:uid="{00000000-0005-0000-0000-000026000000}"/>
    <cellStyle name="CustomStyle4" xfId="40" xr:uid="{00000000-0005-0000-0000-000027000000}"/>
    <cellStyle name="CustomStyle40" xfId="41" xr:uid="{00000000-0005-0000-0000-000028000000}"/>
    <cellStyle name="CustomStyle41" xfId="42" xr:uid="{00000000-0005-0000-0000-000029000000}"/>
    <cellStyle name="CustomStyle42" xfId="43" xr:uid="{00000000-0005-0000-0000-00002A000000}"/>
    <cellStyle name="CustomStyle43" xfId="44" xr:uid="{00000000-0005-0000-0000-00002B000000}"/>
    <cellStyle name="CustomStyle44" xfId="45" xr:uid="{00000000-0005-0000-0000-00002C000000}"/>
    <cellStyle name="CustomStyle45" xfId="46" xr:uid="{00000000-0005-0000-0000-00002D000000}"/>
    <cellStyle name="CustomStyle46" xfId="47" xr:uid="{00000000-0005-0000-0000-00002E000000}"/>
    <cellStyle name="CustomStyle47" xfId="48" xr:uid="{00000000-0005-0000-0000-00002F000000}"/>
    <cellStyle name="CustomStyle48" xfId="49" xr:uid="{00000000-0005-0000-0000-000030000000}"/>
    <cellStyle name="CustomStyle49" xfId="50" xr:uid="{00000000-0005-0000-0000-000031000000}"/>
    <cellStyle name="CustomStyle5" xfId="51" xr:uid="{00000000-0005-0000-0000-000032000000}"/>
    <cellStyle name="CustomStyle50" xfId="52" xr:uid="{00000000-0005-0000-0000-000033000000}"/>
    <cellStyle name="CustomStyle51" xfId="53" xr:uid="{00000000-0005-0000-0000-000034000000}"/>
    <cellStyle name="CustomStyle52" xfId="54" xr:uid="{00000000-0005-0000-0000-000035000000}"/>
    <cellStyle name="CustomStyle53" xfId="55" xr:uid="{00000000-0005-0000-0000-000036000000}"/>
    <cellStyle name="CustomStyle54" xfId="56" xr:uid="{00000000-0005-0000-0000-000037000000}"/>
    <cellStyle name="CustomStyle55" xfId="57" xr:uid="{00000000-0005-0000-0000-000038000000}"/>
    <cellStyle name="CustomStyle56" xfId="58" xr:uid="{00000000-0005-0000-0000-000039000000}"/>
    <cellStyle name="CustomStyle57" xfId="59" xr:uid="{00000000-0005-0000-0000-00003A000000}"/>
    <cellStyle name="CustomStyle58" xfId="60" xr:uid="{00000000-0005-0000-0000-00003B000000}"/>
    <cellStyle name="CustomStyle59" xfId="61" xr:uid="{00000000-0005-0000-0000-00003C000000}"/>
    <cellStyle name="CustomStyle6" xfId="62" xr:uid="{00000000-0005-0000-0000-00003D000000}"/>
    <cellStyle name="CustomStyle60" xfId="63" xr:uid="{00000000-0005-0000-0000-00003E000000}"/>
    <cellStyle name="CustomStyle61" xfId="64" xr:uid="{00000000-0005-0000-0000-00003F000000}"/>
    <cellStyle name="CustomStyle62" xfId="65" xr:uid="{00000000-0005-0000-0000-000040000000}"/>
    <cellStyle name="CustomStyle63" xfId="66" xr:uid="{00000000-0005-0000-0000-000041000000}"/>
    <cellStyle name="CustomStyle64" xfId="67" xr:uid="{00000000-0005-0000-0000-000042000000}"/>
    <cellStyle name="CustomStyle65" xfId="68" xr:uid="{00000000-0005-0000-0000-000043000000}"/>
    <cellStyle name="CustomStyle66" xfId="69" xr:uid="{00000000-0005-0000-0000-000044000000}"/>
    <cellStyle name="CustomStyle67" xfId="70" xr:uid="{00000000-0005-0000-0000-000045000000}"/>
    <cellStyle name="CustomStyle68" xfId="71" xr:uid="{00000000-0005-0000-0000-000046000000}"/>
    <cellStyle name="CustomStyle7" xfId="72" xr:uid="{00000000-0005-0000-0000-000047000000}"/>
    <cellStyle name="CustomStyle8" xfId="73" xr:uid="{00000000-0005-0000-0000-000048000000}"/>
    <cellStyle name="CustomStyle9" xfId="74" xr:uid="{00000000-0005-0000-0000-000049000000}"/>
    <cellStyle name="Hyperlink" xfId="75" builtinId="8"/>
    <cellStyle name="Normal" xfId="0" builtinId="0"/>
    <cellStyle name="Normal_Dx Trends" xfId="76" xr:uid="{00000000-0005-0000-0000-00004C000000}"/>
    <cellStyle name="Normal_JNJ KEY TRENDS" xfId="77" xr:uid="{00000000-0005-0000-0000-00004D000000}"/>
    <cellStyle name="Normal_JNJ merrill model" xfId="78" xr:uid="{00000000-0005-0000-0000-00004E000000}"/>
    <cellStyle name="Percent" xfId="79" builtinId="5"/>
    <cellStyle name="Shaded" xfId="80" xr:uid="{00000000-0005-0000-0000-000050000000}"/>
    <cellStyle name="Share" xfId="81" xr:uid="{00000000-0005-0000-0000-000051000000}"/>
    <cellStyle name="Unshaded" xfId="82" xr:uid="{00000000-0005-0000-0000-000052000000}"/>
  </cellStyles>
  <dxfs count="0"/>
  <tableStyles count="1" defaultTableStyle="TableStyleMedium9" defaultPivotStyle="PivotStyleLight16">
    <tableStyle name="Invisible" pivot="0" table="0" count="0" xr9:uid="{CCD5B4E8-7CB2-468F-B430-14DD1D5831E5}"/>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BFBFB"/>
      <rgbColor rgb="00CCFFFF"/>
      <rgbColor rgb="00660066"/>
      <rgbColor rgb="00FF8080"/>
      <rgbColor rgb="000066CC"/>
      <rgbColor rgb="00B3B3B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5.xml"/><Relationship Id="rId68" Type="http://schemas.microsoft.com/office/2017/10/relationships/person" Target="persons/person.xml"/><Relationship Id="rId7" Type="http://schemas.openxmlformats.org/officeDocument/2006/relationships/worksheet" Target="worksheets/sheet7.xml"/><Relationship Id="rId71"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externalLink" Target="externalLinks/externalLink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6.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1.xml"/><Relationship Id="rId6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externalLink" Target="externalLinks/externalLink4.xml"/><Relationship Id="rId7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externalLink" Target="externalLinks/externalLink2.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gif"/><Relationship Id="rId1" Type="http://schemas.openxmlformats.org/officeDocument/2006/relationships/image" Target="../media/image3.jpe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154</xdr:col>
      <xdr:colOff>50465</xdr:colOff>
      <xdr:row>0</xdr:row>
      <xdr:rowOff>0</xdr:rowOff>
    </xdr:from>
    <xdr:to>
      <xdr:col>154</xdr:col>
      <xdr:colOff>51260</xdr:colOff>
      <xdr:row>260</xdr:row>
      <xdr:rowOff>0</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bwMode="auto">
        <a:xfrm rot="5400000">
          <a:off x="45204805" y="20818531"/>
          <a:ext cx="41637857" cy="79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114</xdr:col>
      <xdr:colOff>46376</xdr:colOff>
      <xdr:row>0</xdr:row>
      <xdr:rowOff>0</xdr:rowOff>
    </xdr:from>
    <xdr:to>
      <xdr:col>114</xdr:col>
      <xdr:colOff>46376</xdr:colOff>
      <xdr:row>270</xdr:row>
      <xdr:rowOff>151493</xdr:rowOff>
    </xdr:to>
    <xdr:cxnSp macro="">
      <xdr:nvCxnSpPr>
        <xdr:cNvPr id="3" name="Straight Connector 2">
          <a:extLst>
            <a:ext uri="{FF2B5EF4-FFF2-40B4-BE49-F238E27FC236}">
              <a16:creationId xmlns:a16="http://schemas.microsoft.com/office/drawing/2014/main" id="{0FABA11F-3753-91E7-6CD6-E41166749C9D}"/>
            </a:ext>
          </a:extLst>
        </xdr:cNvPr>
        <xdr:cNvCxnSpPr/>
      </xdr:nvCxnSpPr>
      <xdr:spPr bwMode="auto">
        <a:xfrm>
          <a:off x="55839064" y="0"/>
          <a:ext cx="0" cy="42359149"/>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63</xdr:col>
      <xdr:colOff>19050</xdr:colOff>
      <xdr:row>42</xdr:row>
      <xdr:rowOff>152400</xdr:rowOff>
    </xdr:from>
    <xdr:to>
      <xdr:col>63</xdr:col>
      <xdr:colOff>19050</xdr:colOff>
      <xdr:row>69</xdr:row>
      <xdr:rowOff>133350</xdr:rowOff>
    </xdr:to>
    <xdr:sp macro="" textlink="">
      <xdr:nvSpPr>
        <xdr:cNvPr id="9277" name="Line 2">
          <a:extLst>
            <a:ext uri="{FF2B5EF4-FFF2-40B4-BE49-F238E27FC236}">
              <a16:creationId xmlns:a16="http://schemas.microsoft.com/office/drawing/2014/main" id="{00000000-0008-0000-0800-00003D240000}"/>
            </a:ext>
          </a:extLst>
        </xdr:cNvPr>
        <xdr:cNvSpPr>
          <a:spLocks noChangeShapeType="1"/>
        </xdr:cNvSpPr>
      </xdr:nvSpPr>
      <xdr:spPr bwMode="auto">
        <a:xfrm>
          <a:off x="24631650" y="6791325"/>
          <a:ext cx="0" cy="4352925"/>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179800</xdr:colOff>
      <xdr:row>1</xdr:row>
      <xdr:rowOff>12157</xdr:rowOff>
    </xdr:from>
    <xdr:to>
      <xdr:col>10</xdr:col>
      <xdr:colOff>433692</xdr:colOff>
      <xdr:row>13</xdr:row>
      <xdr:rowOff>123250</xdr:rowOff>
    </xdr:to>
    <xdr:pic>
      <xdr:nvPicPr>
        <xdr:cNvPr id="2" name="Picture 1">
          <a:extLst>
            <a:ext uri="{FF2B5EF4-FFF2-40B4-BE49-F238E27FC236}">
              <a16:creationId xmlns:a16="http://schemas.microsoft.com/office/drawing/2014/main" id="{0DE1C9BB-391F-4B70-B299-C40E5D222D06}"/>
            </a:ext>
          </a:extLst>
        </xdr:cNvPr>
        <xdr:cNvPicPr>
          <a:picLocks noChangeAspect="1"/>
        </xdr:cNvPicPr>
      </xdr:nvPicPr>
      <xdr:blipFill>
        <a:blip xmlns:r="http://schemas.openxmlformats.org/officeDocument/2006/relationships" r:embed="rId1"/>
        <a:stretch>
          <a:fillRect/>
        </a:stretch>
      </xdr:blipFill>
      <xdr:spPr>
        <a:xfrm>
          <a:off x="4427950" y="174082"/>
          <a:ext cx="2082692" cy="2054193"/>
        </a:xfrm>
        <a:prstGeom prst="rect">
          <a:avLst/>
        </a:prstGeom>
      </xdr:spPr>
    </xdr:pic>
    <xdr:clientData/>
  </xdr:twoCellAnchor>
  <xdr:twoCellAnchor editAs="oneCell">
    <xdr:from>
      <xdr:col>6</xdr:col>
      <xdr:colOff>267510</xdr:colOff>
      <xdr:row>23</xdr:row>
      <xdr:rowOff>138977</xdr:rowOff>
    </xdr:from>
    <xdr:to>
      <xdr:col>11</xdr:col>
      <xdr:colOff>381560</xdr:colOff>
      <xdr:row>33</xdr:row>
      <xdr:rowOff>109624</xdr:rowOff>
    </xdr:to>
    <xdr:pic>
      <xdr:nvPicPr>
        <xdr:cNvPr id="3" name="Picture 2">
          <a:extLst>
            <a:ext uri="{FF2B5EF4-FFF2-40B4-BE49-F238E27FC236}">
              <a16:creationId xmlns:a16="http://schemas.microsoft.com/office/drawing/2014/main" id="{A7A39697-F42A-4D31-B247-55637226CF42}"/>
            </a:ext>
          </a:extLst>
        </xdr:cNvPr>
        <xdr:cNvPicPr>
          <a:picLocks noChangeAspect="1"/>
        </xdr:cNvPicPr>
      </xdr:nvPicPr>
      <xdr:blipFill>
        <a:blip xmlns:r="http://schemas.openxmlformats.org/officeDocument/2006/relationships" r:embed="rId2"/>
        <a:stretch>
          <a:fillRect/>
        </a:stretch>
      </xdr:blipFill>
      <xdr:spPr>
        <a:xfrm>
          <a:off x="3906060" y="3701327"/>
          <a:ext cx="3162050" cy="158989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179262</xdr:colOff>
      <xdr:row>4</xdr:row>
      <xdr:rowOff>109859</xdr:rowOff>
    </xdr:from>
    <xdr:to>
      <xdr:col>25</xdr:col>
      <xdr:colOff>109733</xdr:colOff>
      <xdr:row>32</xdr:row>
      <xdr:rowOff>140317</xdr:rowOff>
    </xdr:to>
    <xdr:pic>
      <xdr:nvPicPr>
        <xdr:cNvPr id="2" name="Picture 1">
          <a:extLst>
            <a:ext uri="{FF2B5EF4-FFF2-40B4-BE49-F238E27FC236}">
              <a16:creationId xmlns:a16="http://schemas.microsoft.com/office/drawing/2014/main" id="{643CB06F-BB3D-4EB4-9BFE-FCB65CD09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36300" y="593436"/>
          <a:ext cx="7228087" cy="45438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310980</xdr:colOff>
      <xdr:row>34</xdr:row>
      <xdr:rowOff>6568</xdr:rowOff>
    </xdr:from>
    <xdr:to>
      <xdr:col>23</xdr:col>
      <xdr:colOff>134358</xdr:colOff>
      <xdr:row>48</xdr:row>
      <xdr:rowOff>1641</xdr:rowOff>
    </xdr:to>
    <xdr:pic>
      <xdr:nvPicPr>
        <xdr:cNvPr id="3" name="Picture 2" descr="Icotrokinra Structure">
          <a:extLst>
            <a:ext uri="{FF2B5EF4-FFF2-40B4-BE49-F238E27FC236}">
              <a16:creationId xmlns:a16="http://schemas.microsoft.com/office/drawing/2014/main" id="{C8E4C844-DA82-4D47-88BE-ED5516EF9BD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864805" y="5350093"/>
          <a:ext cx="2261780" cy="22620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310636</xdr:colOff>
      <xdr:row>34</xdr:row>
      <xdr:rowOff>54198</xdr:rowOff>
    </xdr:from>
    <xdr:to>
      <xdr:col>19</xdr:col>
      <xdr:colOff>537373</xdr:colOff>
      <xdr:row>46</xdr:row>
      <xdr:rowOff>109904</xdr:rowOff>
    </xdr:to>
    <xdr:pic>
      <xdr:nvPicPr>
        <xdr:cNvPr id="4" name="Picture 3">
          <a:extLst>
            <a:ext uri="{FF2B5EF4-FFF2-40B4-BE49-F238E27FC236}">
              <a16:creationId xmlns:a16="http://schemas.microsoft.com/office/drawing/2014/main" id="{496B2ED6-1D63-4BE3-A6C0-54D74FDA4A9F}"/>
            </a:ext>
          </a:extLst>
        </xdr:cNvPr>
        <xdr:cNvPicPr>
          <a:picLocks noChangeAspect="1"/>
        </xdr:cNvPicPr>
      </xdr:nvPicPr>
      <xdr:blipFill>
        <a:blip xmlns:r="http://schemas.openxmlformats.org/officeDocument/2006/relationships" r:embed="rId3"/>
        <a:stretch>
          <a:fillRect/>
        </a:stretch>
      </xdr:blipFill>
      <xdr:spPr>
        <a:xfrm>
          <a:off x="5835136" y="5373544"/>
          <a:ext cx="6308083" cy="1990014"/>
        </a:xfrm>
        <a:prstGeom prst="rect">
          <a:avLst/>
        </a:prstGeom>
      </xdr:spPr>
    </xdr:pic>
    <xdr:clientData/>
  </xdr:twoCellAnchor>
  <xdr:twoCellAnchor editAs="oneCell">
    <xdr:from>
      <xdr:col>25</xdr:col>
      <xdr:colOff>78120</xdr:colOff>
      <xdr:row>4</xdr:row>
      <xdr:rowOff>29275</xdr:rowOff>
    </xdr:from>
    <xdr:to>
      <xdr:col>33</xdr:col>
      <xdr:colOff>524734</xdr:colOff>
      <xdr:row>30</xdr:row>
      <xdr:rowOff>94906</xdr:rowOff>
    </xdr:to>
    <xdr:pic>
      <xdr:nvPicPr>
        <xdr:cNvPr id="5" name="Picture 4">
          <a:extLst>
            <a:ext uri="{FF2B5EF4-FFF2-40B4-BE49-F238E27FC236}">
              <a16:creationId xmlns:a16="http://schemas.microsoft.com/office/drawing/2014/main" id="{75B83B60-0C37-4747-9312-AE780AA00C9C}"/>
            </a:ext>
          </a:extLst>
        </xdr:cNvPr>
        <xdr:cNvPicPr>
          <a:picLocks noChangeAspect="1"/>
        </xdr:cNvPicPr>
      </xdr:nvPicPr>
      <xdr:blipFill>
        <a:blip xmlns:r="http://schemas.openxmlformats.org/officeDocument/2006/relationships" r:embed="rId4"/>
        <a:stretch>
          <a:fillRect/>
        </a:stretch>
      </xdr:blipFill>
      <xdr:spPr>
        <a:xfrm>
          <a:off x="15442359" y="526232"/>
          <a:ext cx="5349918" cy="437258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314325</xdr:colOff>
      <xdr:row>3</xdr:row>
      <xdr:rowOff>133349</xdr:rowOff>
    </xdr:from>
    <xdr:to>
      <xdr:col>13</xdr:col>
      <xdr:colOff>314324</xdr:colOff>
      <xdr:row>16</xdr:row>
      <xdr:rowOff>66673</xdr:rowOff>
    </xdr:to>
    <xdr:pic>
      <xdr:nvPicPr>
        <xdr:cNvPr id="2" name="Picture 1">
          <a:extLst>
            <a:ext uri="{FF2B5EF4-FFF2-40B4-BE49-F238E27FC236}">
              <a16:creationId xmlns:a16="http://schemas.microsoft.com/office/drawing/2014/main" id="{F7640B28-33FF-860B-969B-A7CBB6E975E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0" y="619124"/>
          <a:ext cx="2438399" cy="2038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23</xdr:col>
      <xdr:colOff>0</xdr:colOff>
      <xdr:row>1</xdr:row>
      <xdr:rowOff>19050</xdr:rowOff>
    </xdr:from>
    <xdr:to>
      <xdr:col>23</xdr:col>
      <xdr:colOff>0</xdr:colOff>
      <xdr:row>38</xdr:row>
      <xdr:rowOff>66675</xdr:rowOff>
    </xdr:to>
    <xdr:sp macro="" textlink="">
      <xdr:nvSpPr>
        <xdr:cNvPr id="20534" name="Line 1">
          <a:extLst>
            <a:ext uri="{FF2B5EF4-FFF2-40B4-BE49-F238E27FC236}">
              <a16:creationId xmlns:a16="http://schemas.microsoft.com/office/drawing/2014/main" id="{00000000-0008-0000-0B00-000036500000}"/>
            </a:ext>
          </a:extLst>
        </xdr:cNvPr>
        <xdr:cNvSpPr>
          <a:spLocks noChangeShapeType="1"/>
        </xdr:cNvSpPr>
      </xdr:nvSpPr>
      <xdr:spPr bwMode="auto">
        <a:xfrm>
          <a:off x="9896475" y="180975"/>
          <a:ext cx="0" cy="6038850"/>
        </a:xfrm>
        <a:prstGeom prst="line">
          <a:avLst/>
        </a:prstGeom>
        <a:noFill/>
        <a:ln w="9360">
          <a:solidFill>
            <a:srgbClr val="000000"/>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45</xdr:col>
      <xdr:colOff>57150</xdr:colOff>
      <xdr:row>0</xdr:row>
      <xdr:rowOff>9525</xdr:rowOff>
    </xdr:from>
    <xdr:to>
      <xdr:col>45</xdr:col>
      <xdr:colOff>57150</xdr:colOff>
      <xdr:row>40</xdr:row>
      <xdr:rowOff>47625</xdr:rowOff>
    </xdr:to>
    <xdr:sp macro="" textlink="">
      <xdr:nvSpPr>
        <xdr:cNvPr id="22606" name="Line 5">
          <a:extLst>
            <a:ext uri="{FF2B5EF4-FFF2-40B4-BE49-F238E27FC236}">
              <a16:creationId xmlns:a16="http://schemas.microsoft.com/office/drawing/2014/main" id="{00000000-0008-0000-2400-00004E580000}"/>
            </a:ext>
          </a:extLst>
        </xdr:cNvPr>
        <xdr:cNvSpPr>
          <a:spLocks noChangeShapeType="1"/>
        </xdr:cNvSpPr>
      </xdr:nvSpPr>
      <xdr:spPr bwMode="auto">
        <a:xfrm>
          <a:off x="19459575" y="9525"/>
          <a:ext cx="0" cy="6515100"/>
        </a:xfrm>
        <a:prstGeom prst="line">
          <a:avLst/>
        </a:prstGeom>
        <a:noFill/>
        <a:ln w="9360">
          <a:solidFill>
            <a:srgbClr val="000000"/>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95250</xdr:colOff>
      <xdr:row>35</xdr:row>
      <xdr:rowOff>66675</xdr:rowOff>
    </xdr:from>
    <xdr:to>
      <xdr:col>8</xdr:col>
      <xdr:colOff>266700</xdr:colOff>
      <xdr:row>53</xdr:row>
      <xdr:rowOff>38100</xdr:rowOff>
    </xdr:to>
    <xdr:pic>
      <xdr:nvPicPr>
        <xdr:cNvPr id="26678" name="Picture 1">
          <a:extLst>
            <a:ext uri="{FF2B5EF4-FFF2-40B4-BE49-F238E27FC236}">
              <a16:creationId xmlns:a16="http://schemas.microsoft.com/office/drawing/2014/main" id="{00000000-0008-0000-2200-0000366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62075" y="5734050"/>
          <a:ext cx="3829050" cy="2886075"/>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31</xdr:col>
      <xdr:colOff>9525</xdr:colOff>
      <xdr:row>15</xdr:row>
      <xdr:rowOff>85725</xdr:rowOff>
    </xdr:from>
    <xdr:to>
      <xdr:col>31</xdr:col>
      <xdr:colOff>9525</xdr:colOff>
      <xdr:row>22</xdr:row>
      <xdr:rowOff>104775</xdr:rowOff>
    </xdr:to>
    <xdr:sp macro="" textlink="">
      <xdr:nvSpPr>
        <xdr:cNvPr id="6198" name="Line 1">
          <a:extLst>
            <a:ext uri="{FF2B5EF4-FFF2-40B4-BE49-F238E27FC236}">
              <a16:creationId xmlns:a16="http://schemas.microsoft.com/office/drawing/2014/main" id="{00000000-0008-0000-1100-000036180000}"/>
            </a:ext>
          </a:extLst>
        </xdr:cNvPr>
        <xdr:cNvSpPr>
          <a:spLocks noChangeShapeType="1"/>
        </xdr:cNvSpPr>
      </xdr:nvSpPr>
      <xdr:spPr bwMode="auto">
        <a:xfrm>
          <a:off x="12477750" y="2514600"/>
          <a:ext cx="0" cy="1152525"/>
        </a:xfrm>
        <a:prstGeom prst="line">
          <a:avLst/>
        </a:prstGeom>
        <a:noFill/>
        <a:ln w="9360">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CM1/elea_folder/TEMP/LEB/Excel/Models/BE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CM1/elea_folder/MGMEXCEL/Mod_CMP/HDT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CM1/elea_folder/Alcon/Model/MODELS/ELN/2000/ELAN001019-3Q.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Rbosmfs002/MEDTECH1/SVL%20Drive/COMPANY/IDEXX/SD_TRIP/RESP.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CM1/elea_folder/EXCEL/MODELS/RES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CM1/elea_folder/MGMEXCEL/Mod_CMP/AVE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enue"/>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DTC __ Rev"/>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LDwork"/>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_L"/>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B1B0F6F1-FCBF-4ADA-B0C2-E6331D9AF452}"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99" dT="2022-07-17T17:32:38.98" personId="{B1B0F6F1-FCBF-4ADA-B0C2-E6331D9AF452}" id="{375D979C-5CD6-484F-ACE5-CBB0EC4CC96F}">
    <text>licensed from IDIA</text>
  </threadedComment>
</ThreadedComments>
</file>

<file path=xl/threadedComments/threadedComment2.xml><?xml version="1.0" encoding="utf-8"?>
<ThreadedComments xmlns="http://schemas.microsoft.com/office/spreadsheetml/2018/threadedcomments" xmlns:x="http://schemas.openxmlformats.org/spreadsheetml/2006/main">
  <threadedComment ref="I3" dT="2024-10-04T19:16:04.73" personId="{B1B0F6F1-FCBF-4ADA-B0C2-E6331D9AF452}" id="{8B1BB5B4-96BA-41A3-8049-B55FA378A497}">
    <text>8/24/1998 FDA approval</text>
  </threadedComment>
  <threadedComment ref="DX3" dT="2022-07-30T15:51:29.16" personId="{B1B0F6F1-FCBF-4ADA-B0C2-E6331D9AF452}" id="{87F7743F-B7B2-484F-9ABD-F302B651F898}">
    <text>Filed</text>
  </threadedComment>
  <threadedComment ref="CG5" dT="2024-10-04T19:18:49.15" personId="{B1B0F6F1-FCBF-4ADA-B0C2-E6331D9AF452}" id="{34DF051C-31EC-4409-B559-ECF7BE9695E2}">
    <text>7/13/17 FDA approval</text>
  </threadedComment>
  <threadedComment ref="EZ6" dT="2024-10-23T19:27:36.99" personId="{B1B0F6F1-FCBF-4ADA-B0C2-E6331D9AF452}" id="{09415B71-5A1E-457F-90C5-2E69EE8C7031}">
    <text>Biosimilar in January!</text>
  </threadedComment>
  <threadedComment ref="ED11" dT="2022-07-30T15:51:53.21" personId="{B1B0F6F1-FCBF-4ADA-B0C2-E6331D9AF452}" id="{01972993-60CD-4A33-A5E6-796102B7B8F4}">
    <text>Phase 3</text>
  </threadedComment>
  <threadedComment ref="EE11" dT="2022-07-30T15:51:59.79" personId="{B1B0F6F1-FCBF-4ADA-B0C2-E6331D9AF452}" id="{6E621430-D336-4CDD-B049-05C621427378}">
    <text>Phase 3</text>
  </threadedComment>
  <threadedComment ref="EF11" dT="2022-07-30T15:52:05.97" personId="{B1B0F6F1-FCBF-4ADA-B0C2-E6331D9AF452}" id="{F129B24E-0080-493A-983B-7A528450F0B2}">
    <text>Filed</text>
  </threadedComment>
  <threadedComment ref="CU14" dT="2022-06-17T01:13:02.90" personId="{B1B0F6F1-FCBF-4ADA-B0C2-E6331D9AF452}" id="{CDD2B99A-00BA-4EA8-B675-536C08C434B4}">
    <text>Q121: 428m</text>
  </threadedComment>
  <threadedComment ref="CV14" dT="2022-07-22T14:07:41.24" personId="{B1B0F6F1-FCBF-4ADA-B0C2-E6331D9AF452}" id="{499E966A-6B85-4512-A7AB-E65284C32D4B}">
    <text>had 468?</text>
  </threadedComment>
  <threadedComment ref="CU26" dT="2022-06-17T01:11:02.48" personId="{B1B0F6F1-FCBF-4ADA-B0C2-E6331D9AF452}" id="{E7F0D7A6-EE22-43A1-B4A6-C9D75BE5A1EB}">
    <text>Q121: 117m</text>
  </threadedComment>
  <threadedComment ref="EG47" dT="2022-07-30T15:52:21.07" personId="{B1B0F6F1-FCBF-4ADA-B0C2-E6331D9AF452}" id="{A3206388-7B58-4567-90FD-49B826FAE6FB}">
    <text>Phase III</text>
  </threadedComment>
  <threadedComment ref="EH47" dT="2022-07-30T15:52:25.24" personId="{B1B0F6F1-FCBF-4ADA-B0C2-E6331D9AF452}" id="{C96DF80E-DB02-49F1-A10F-FA660591CCDB}">
    <text>Phase III</text>
  </threadedComment>
  <threadedComment ref="EI47" dT="2022-07-30T15:52:28.51" personId="{B1B0F6F1-FCBF-4ADA-B0C2-E6331D9AF452}" id="{D4E15153-68A6-45BA-A7A9-B7478B48B6DE}">
    <text>Filed</text>
  </threadedComment>
  <threadedComment ref="CV49" dT="2022-07-22T14:56:33.21" personId="{B1B0F6F1-FCBF-4ADA-B0C2-E6331D9AF452}" id="{4DB783BB-D4CA-476A-8111-7E0E945FB149}">
    <text>had 271?</text>
  </threadedComment>
  <threadedComment ref="CJ63" dT="2022-07-30T15:43:25.26" personId="{B1B0F6F1-FCBF-4ADA-B0C2-E6331D9AF452}" id="{8DFE66A4-8ABE-4D82-9EB1-696F5E7D611D}">
    <text>3504 actual</text>
  </threadedComment>
  <threadedComment ref="CN63" dT="2022-07-30T15:37:35.18" personId="{B1B0F6F1-FCBF-4ADA-B0C2-E6331D9AF452}" id="{3494F573-46D4-4E53-A253-04C304315026}">
    <text>actual: 3544</text>
  </threadedComment>
  <threadedComment ref="CU63" dT="2022-06-17T01:08:52.72" personId="{B1B0F6F1-FCBF-4ADA-B0C2-E6331D9AF452}" id="{D4AB6CA5-1D56-4651-98CE-4220E7D81D4C}">
    <text>Q121 report: 3543m</text>
  </threadedComment>
  <threadedComment ref="CV63" dT="2022-07-22T14:43:04.87" personId="{B1B0F6F1-FCBF-4ADA-B0C2-E6331D9AF452}" id="{D8FE38F6-D7D6-460E-9D87-73CEBFFA1B4E}">
    <text>was 3735, now 3854?</text>
  </threadedComment>
  <threadedComment ref="CX63" dT="2023-01-24T18:45:55.75" personId="{B1B0F6F1-FCBF-4ADA-B0C2-E6331D9AF452}" id="{B0274F3D-4C01-427B-BAEB-F305023327D6}">
    <text>Was 3657</text>
  </threadedComment>
  <threadedComment ref="CN64" dT="2022-07-30T15:43:00.35" personId="{B1B0F6F1-FCBF-4ADA-B0C2-E6331D9AF452}" id="{4074C536-E10D-4126-A24D-0AAC46FA4222}">
    <text>20562 actual</text>
  </threadedComment>
  <threadedComment ref="CV64" dT="2022-07-22T14:57:45.74" personId="{B1B0F6F1-FCBF-4ADA-B0C2-E6331D9AF452}" id="{3B857DD8-37A9-4E26-BCDD-046757882E93}">
    <text>23312 offcial in Q222 release</text>
  </threadedComment>
  <threadedComment ref="DE64" dT="2024-12-12T00:28:40.75" personId="{B1B0F6F1-FCBF-4ADA-B0C2-E6331D9AF452}" id="{B7BA8C1E-B644-44F8-9BA7-BB394878E543}">
    <text>21351 actual</text>
  </threadedComment>
  <threadedComment ref="DI64" dT="2024-12-12T00:28:24.77" personId="{B1B0F6F1-FCBF-4ADA-B0C2-E6331D9AF452}" id="{63A708B9-BA0C-4642-96F6-C56EB7E6BA48}">
    <text>22471 actual</text>
  </threadedComment>
  <threadedComment ref="EU64" dT="2023-04-23T22:11:55.89" personId="{B1B0F6F1-FCBF-4ADA-B0C2-E6331D9AF452}" id="{81B591DD-1FF9-411C-BAA6-4375EF42A02A}">
    <text>2022 10-K 82584</text>
  </threadedComment>
  <threadedComment ref="EV64" dT="2023-04-23T22:12:02.84" personId="{B1B0F6F1-FCBF-4ADA-B0C2-E6331D9AF452}" id="{17B6C408-6627-42FF-9ADC-D78B6E22BBFE}">
    <text>2022 10-K: 93775</text>
  </threadedComment>
  <threadedComment ref="EW64" dT="2023-04-23T22:12:08.95" personId="{B1B0F6F1-FCBF-4ADA-B0C2-E6331D9AF452}" id="{2B6993CA-2FE9-424C-A2AB-7F7A198D76A3}">
    <text>2022 10-K 94943</text>
  </threadedComment>
  <threadedComment ref="EZ64" dT="2024-10-23T19:27:05.43" personId="{B1B0F6F1-FCBF-4ADA-B0C2-E6331D9AF452}" id="{7C8EB3EA-9F68-4382-B912-52A378943493}">
    <text>Guided to &gt;57B pharma</text>
  </threadedComment>
  <threadedComment ref="DC65" dT="2024-07-03T02:26:47.10" personId="{B1B0F6F1-FCBF-4ADA-B0C2-E6331D9AF452}" id="{97C52B0D-8BC9-4BBC-9350-037D6E02FA16}">
    <text xml:space="preserve">8,395 with consumer </text>
  </threadedComment>
  <threadedComment ref="DC67" dT="2024-07-03T02:31:32.16" personId="{B1B0F6F1-FCBF-4ADA-B0C2-E6331D9AF452}" id="{A6B1AE65-7C0C-4941-91EE-ACEB2687BFB0}">
    <text>6,138 with consumer</text>
  </threadedComment>
  <threadedComment ref="DC68" dT="2024-07-03T02:31:57.67" personId="{B1B0F6F1-FCBF-4ADA-B0C2-E6331D9AF452}" id="{6D6FCDAD-D5A2-4FD0-B2FF-F3F42C14E7F2}">
    <text>3,563 with consumer</text>
  </threadedComment>
  <threadedComment ref="CI73" dT="2022-07-30T15:47:37.74" personId="{B1B0F6F1-FCBF-4ADA-B0C2-E6331D9AF452}" id="{F70AD04F-B9D4-4CB9-B097-57425D52099B}">
    <text>6858 actual adjusted</text>
  </threadedComment>
  <threadedComment ref="CJ73" dT="2022-07-30T15:45:11.81" personId="{B1B0F6F1-FCBF-4ADA-B0C2-E6331D9AF452}" id="{20726B22-689A-4361-A90E-379BEBA561A2}">
    <text>7014 actual adjusted</text>
  </threadedComment>
  <threadedComment ref="CL73" dT="2022-07-28T04:41:08.94" personId="{B1B0F6F1-FCBF-4ADA-B0C2-E6331D9AF452}" id="{BC3D4B04-C7B0-4F80-80CD-57FBE3F8501B}">
    <text>6046 actual adj</text>
  </threadedComment>
  <threadedComment ref="CM73" dT="2022-07-30T15:46:39.66" personId="{B1B0F6F1-FCBF-4ADA-B0C2-E6331D9AF452}" id="{E6348EFC-440C-4293-AB93-3C9CF0C1D22D}">
    <text>actual adjusted 6867</text>
  </threadedComment>
  <threadedComment ref="CN73" dT="2022-07-30T15:44:23.55" personId="{B1B0F6F1-FCBF-4ADA-B0C2-E6331D9AF452}" id="{E2E41AA0-40DB-4996-B9AC-68C5F5B416A4}">
    <text>8614 actual adjusted</text>
  </threadedComment>
  <threadedComment ref="CP73" dT="2022-07-28T04:41:01.40" personId="{B1B0F6F1-FCBF-4ADA-B0C2-E6331D9AF452}" id="{3914D8D0-C1CC-4713-8C4B-D6B4902A1DB5}">
    <text>5628 actual adj</text>
  </threadedComment>
  <threadedComment ref="DB73" dT="2023-01-24T18:48:45.18" personId="{B1B0F6F1-FCBF-4ADA-B0C2-E6331D9AF452}" id="{57A98D57-1151-4549-BB71-45A70090615A}">
    <text>7418 nongaap</text>
  </threadedComment>
  <threadedComment ref="CI75" dT="2022-07-30T15:47:43.76" personId="{B1B0F6F1-FCBF-4ADA-B0C2-E6331D9AF452}" id="{D7D0FEAC-BD98-4AF1-AF71-FD17A1AD0FC2}">
    <text>5635 actual adjusted</text>
  </threadedComment>
  <threadedComment ref="CJ75" dT="2022-07-30T15:45:18.54" personId="{B1B0F6F1-FCBF-4ADA-B0C2-E6331D9AF452}" id="{1EB83523-8F14-4259-A556-7AEDAE7F7981}">
    <text>5718 actual adjusted</text>
  </threadedComment>
  <threadedComment ref="CK75" dT="2022-07-28T02:46:40.56" personId="{B1B0F6F1-FCBF-4ADA-B0C2-E6331D9AF452}" id="{D6788F96-B571-4606-A723-15B6B28134D7}">
    <text>5590 actual</text>
  </threadedComment>
  <threadedComment ref="CL75" dT="2022-07-28T04:41:33.24" personId="{B1B0F6F1-FCBF-4ADA-B0C2-E6331D9AF452}" id="{D831ACBC-24BA-48CB-B852-D2FD856C1AA9}">
    <text>5372 actual adj</text>
  </threadedComment>
  <threadedComment ref="CM75" dT="2022-07-30T15:46:59.28" personId="{B1B0F6F1-FCBF-4ADA-B0C2-E6331D9AF452}" id="{FB29B332-ABE4-40F3-9424-4509BB9707B1}">
    <text>5661 actual adjusted</text>
  </threadedComment>
  <threadedComment ref="CN75" dT="2022-07-30T15:44:29.70" personId="{B1B0F6F1-FCBF-4ADA-B0C2-E6331D9AF452}" id="{AB2FD171-4878-4785-9CC6-E5E6981B40E8}">
    <text>6950 actual adjusted</text>
  </threadedComment>
  <threadedComment ref="CO75" dT="2022-07-28T02:46:49.33" personId="{B1B0F6F1-FCBF-4ADA-B0C2-E6331D9AF452}" id="{DF9141A9-C917-4FCC-ACAB-81BC3B8FBDC3}">
    <text>5672 actual adjusted</text>
  </threadedComment>
  <threadedComment ref="CP75" dT="2022-07-28T04:41:25.40" personId="{B1B0F6F1-FCBF-4ADA-B0C2-E6331D9AF452}" id="{38B02D27-96B4-4C61-A1A4-2D8D3DA05C55}">
    <text>5027 actual adj</text>
  </threadedComment>
  <threadedComment ref="DB75" dT="2023-01-24T18:48:50.87" personId="{B1B0F6F1-FCBF-4ADA-B0C2-E6331D9AF452}" id="{14B8FD79-CE1E-46F9-9F8A-B2BFC85FF655}">
    <text>6218 nongaap</text>
  </threadedComment>
  <threadedComment ref="DB80" dT="2023-01-24T18:46:48.72" personId="{B1B0F6F1-FCBF-4ADA-B0C2-E6331D9AF452}" id="{47E31BE2-838E-4EBA-9A38-C2759A423A09}">
    <text>+4.6% excluding COVID</text>
  </threadedComment>
  <threadedComment ref="EZ80" dT="2025-01-25T23:25:33.32" personId="{B1B0F6F1-FCBF-4ADA-B0C2-E6331D9AF452}" id="{F334ADFF-6994-46CA-BD6D-7E5F03FAEE05}">
    <text>Excluding impact of consumer divestiture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5.bin"/><Relationship Id="rId1" Type="http://schemas.openxmlformats.org/officeDocument/2006/relationships/hyperlink" Target="http://velcade.com/full_prescrib_velcade.pdf" TargetMode="External"/><Relationship Id="rId4" Type="http://schemas.openxmlformats.org/officeDocument/2006/relationships/comments" Target="../comments6.xm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fda.gov/ohrms/DOCKETS/" TargetMode="Externa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21.bin"/><Relationship Id="rId4" Type="http://schemas.openxmlformats.org/officeDocument/2006/relationships/comments" Target="../comments7.xml"/></Relationships>
</file>

<file path=xl/worksheets/_rels/sheet4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2.bin"/></Relationships>
</file>

<file path=xl/worksheets/_rels/sheet4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6.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7.bin"/></Relationships>
</file>

<file path=xl/worksheets/_rels/sheet4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50.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http://www.levaquin.com/levaquin/shared/pi/levaquin.pdf" TargetMode="External"/></Relationships>
</file>

<file path=xl/worksheets/_rels/sheet5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2.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4.bin"/></Relationships>
</file>

<file path=xl/worksheets/_rels/sheet55.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drug-injury.com/druginjurycom/2005/05/natrecor_linked.html"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4"/>
  <sheetViews>
    <sheetView workbookViewId="0">
      <selection activeCell="B12" sqref="B12"/>
    </sheetView>
  </sheetViews>
  <sheetFormatPr defaultColWidth="8.85546875" defaultRowHeight="12.75" x14ac:dyDescent="0.2"/>
  <cols>
    <col min="1" max="1" width="5" bestFit="1" customWidth="1"/>
    <col min="2" max="2" width="14.42578125" customWidth="1"/>
  </cols>
  <sheetData>
    <row r="1" spans="1:15" x14ac:dyDescent="0.2">
      <c r="A1" s="116" t="s">
        <v>154</v>
      </c>
    </row>
    <row r="2" spans="1:15" x14ac:dyDescent="0.2">
      <c r="A2" s="116"/>
      <c r="B2" t="s">
        <v>1847</v>
      </c>
    </row>
    <row r="3" spans="1:15" x14ac:dyDescent="0.2">
      <c r="A3" s="116"/>
      <c r="B3" t="s">
        <v>1851</v>
      </c>
    </row>
    <row r="4" spans="1:15" x14ac:dyDescent="0.2">
      <c r="A4" s="116"/>
    </row>
    <row r="5" spans="1:15" x14ac:dyDescent="0.2">
      <c r="B5" t="s">
        <v>1844</v>
      </c>
      <c r="O5" s="3"/>
    </row>
    <row r="6" spans="1:15" x14ac:dyDescent="0.2">
      <c r="B6" t="s">
        <v>1850</v>
      </c>
      <c r="O6" s="3"/>
    </row>
    <row r="7" spans="1:15" x14ac:dyDescent="0.2">
      <c r="B7" t="s">
        <v>1845</v>
      </c>
      <c r="O7" s="3"/>
    </row>
    <row r="8" spans="1:15" x14ac:dyDescent="0.2">
      <c r="B8" t="s">
        <v>1799</v>
      </c>
      <c r="O8" s="3"/>
    </row>
    <row r="9" spans="1:15" x14ac:dyDescent="0.2">
      <c r="B9" t="s">
        <v>1800</v>
      </c>
      <c r="O9" s="3"/>
    </row>
    <row r="10" spans="1:15" x14ac:dyDescent="0.2">
      <c r="B10" t="s">
        <v>1843</v>
      </c>
      <c r="O10" s="3"/>
    </row>
    <row r="11" spans="1:15" x14ac:dyDescent="0.2">
      <c r="B11" t="s">
        <v>1862</v>
      </c>
      <c r="O11" s="3"/>
    </row>
    <row r="12" spans="1:15" x14ac:dyDescent="0.2">
      <c r="O12" s="3"/>
    </row>
    <row r="13" spans="1:15" x14ac:dyDescent="0.2">
      <c r="B13" t="s">
        <v>1848</v>
      </c>
      <c r="O13" s="3"/>
    </row>
    <row r="14" spans="1:15" x14ac:dyDescent="0.2">
      <c r="B14" t="s">
        <v>1401</v>
      </c>
      <c r="O14" s="3"/>
    </row>
    <row r="15" spans="1:15" x14ac:dyDescent="0.2">
      <c r="B15" t="s">
        <v>1279</v>
      </c>
    </row>
    <row r="16" spans="1:15" x14ac:dyDescent="0.2">
      <c r="B16" t="s">
        <v>133</v>
      </c>
    </row>
    <row r="17" spans="2:15" x14ac:dyDescent="0.2">
      <c r="B17" t="s">
        <v>1409</v>
      </c>
    </row>
    <row r="18" spans="2:15" x14ac:dyDescent="0.2">
      <c r="B18" t="s">
        <v>1413</v>
      </c>
    </row>
    <row r="19" spans="2:15" x14ac:dyDescent="0.2">
      <c r="B19" t="s">
        <v>1417</v>
      </c>
    </row>
    <row r="20" spans="2:15" x14ac:dyDescent="0.2">
      <c r="B20" t="s">
        <v>1849</v>
      </c>
      <c r="O20" s="3"/>
    </row>
    <row r="21" spans="2:15" x14ac:dyDescent="0.2">
      <c r="B21" t="s">
        <v>1009</v>
      </c>
    </row>
    <row r="22" spans="2:15" x14ac:dyDescent="0.2">
      <c r="B22" t="s">
        <v>1191</v>
      </c>
    </row>
    <row r="24" spans="2:15" x14ac:dyDescent="0.2">
      <c r="B24" t="s">
        <v>1410</v>
      </c>
    </row>
    <row r="25" spans="2:15" x14ac:dyDescent="0.2">
      <c r="B25" t="s">
        <v>1846</v>
      </c>
    </row>
    <row r="27" spans="2:15" x14ac:dyDescent="0.2">
      <c r="B27" t="s">
        <v>1740</v>
      </c>
    </row>
    <row r="28" spans="2:15" x14ac:dyDescent="0.2">
      <c r="B28" s="248" t="s">
        <v>628</v>
      </c>
    </row>
    <row r="29" spans="2:15" x14ac:dyDescent="0.2">
      <c r="B29" s="248" t="s">
        <v>436</v>
      </c>
    </row>
    <row r="30" spans="2:15" x14ac:dyDescent="0.2">
      <c r="B30" t="s">
        <v>1310</v>
      </c>
    </row>
    <row r="31" spans="2:15" x14ac:dyDescent="0.2">
      <c r="B31" t="s">
        <v>1396</v>
      </c>
    </row>
    <row r="32" spans="2:15" x14ac:dyDescent="0.2">
      <c r="B32" t="s">
        <v>1397</v>
      </c>
    </row>
    <row r="33" spans="2:16" x14ac:dyDescent="0.2">
      <c r="B33" t="s">
        <v>1400</v>
      </c>
    </row>
    <row r="34" spans="2:16" x14ac:dyDescent="0.2">
      <c r="B34" t="s">
        <v>1406</v>
      </c>
    </row>
    <row r="36" spans="2:16" x14ac:dyDescent="0.2">
      <c r="B36" s="184" t="s">
        <v>1503</v>
      </c>
      <c r="J36" s="184" t="s">
        <v>1513</v>
      </c>
      <c r="P36" s="184" t="s">
        <v>1514</v>
      </c>
    </row>
    <row r="37" spans="2:16" x14ac:dyDescent="0.2">
      <c r="B37" t="s">
        <v>1504</v>
      </c>
      <c r="J37" t="s">
        <v>1739</v>
      </c>
      <c r="P37" t="s">
        <v>1515</v>
      </c>
    </row>
    <row r="38" spans="2:16" x14ac:dyDescent="0.2">
      <c r="B38" t="s">
        <v>1738</v>
      </c>
      <c r="P38" t="s">
        <v>1516</v>
      </c>
    </row>
    <row r="39" spans="2:16" x14ac:dyDescent="0.2">
      <c r="B39" t="s">
        <v>1508</v>
      </c>
      <c r="P39" t="s">
        <v>1517</v>
      </c>
    </row>
    <row r="40" spans="2:16" x14ac:dyDescent="0.2">
      <c r="B40" t="s">
        <v>1507</v>
      </c>
      <c r="P40" t="s">
        <v>1518</v>
      </c>
    </row>
    <row r="41" spans="2:16" x14ac:dyDescent="0.2">
      <c r="B41" t="s">
        <v>1505</v>
      </c>
      <c r="P41" t="s">
        <v>1519</v>
      </c>
    </row>
    <row r="42" spans="2:16" x14ac:dyDescent="0.2">
      <c r="B42" t="s">
        <v>1506</v>
      </c>
      <c r="P42" t="s">
        <v>1520</v>
      </c>
    </row>
    <row r="43" spans="2:16" x14ac:dyDescent="0.2">
      <c r="B43" t="s">
        <v>1509</v>
      </c>
      <c r="P43" t="s">
        <v>1521</v>
      </c>
    </row>
    <row r="44" spans="2:16" x14ac:dyDescent="0.2">
      <c r="B44" t="s">
        <v>1510</v>
      </c>
      <c r="P44" t="s">
        <v>1522</v>
      </c>
    </row>
    <row r="45" spans="2:16" x14ac:dyDescent="0.2">
      <c r="B45" t="s">
        <v>1511</v>
      </c>
      <c r="P45" t="s">
        <v>1523</v>
      </c>
    </row>
    <row r="46" spans="2:16" x14ac:dyDescent="0.2">
      <c r="B46" t="s">
        <v>1512</v>
      </c>
      <c r="P46" t="s">
        <v>1524</v>
      </c>
    </row>
    <row r="47" spans="2:16" x14ac:dyDescent="0.2">
      <c r="P47" t="s">
        <v>1525</v>
      </c>
    </row>
    <row r="48" spans="2:16" x14ac:dyDescent="0.2">
      <c r="P48" t="s">
        <v>1526</v>
      </c>
    </row>
    <row r="51" spans="2:3" x14ac:dyDescent="0.2">
      <c r="B51" s="184" t="s">
        <v>1793</v>
      </c>
    </row>
    <row r="52" spans="2:3" x14ac:dyDescent="0.2">
      <c r="B52" t="s">
        <v>1794</v>
      </c>
      <c r="C52" t="s">
        <v>1795</v>
      </c>
    </row>
    <row r="53" spans="2:3" x14ac:dyDescent="0.2">
      <c r="B53" t="s">
        <v>1796</v>
      </c>
      <c r="C53" t="s">
        <v>1795</v>
      </c>
    </row>
    <row r="54" spans="2:3" x14ac:dyDescent="0.2">
      <c r="B54" t="s">
        <v>1797</v>
      </c>
      <c r="C54" t="s">
        <v>1798</v>
      </c>
    </row>
  </sheetData>
  <phoneticPr fontId="11" type="noConversion"/>
  <hyperlinks>
    <hyperlink ref="A1" location="Main!A1" display="Main" xr:uid="{00000000-0004-0000-0300-000000000000}"/>
  </hyperlinks>
  <pageMargins left="0.75" right="0.75" top="1" bottom="1" header="0.5" footer="0.5"/>
  <pageSetup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L76"/>
  <sheetViews>
    <sheetView zoomScaleNormal="100" workbookViewId="0"/>
  </sheetViews>
  <sheetFormatPr defaultColWidth="9.140625" defaultRowHeight="12.75" x14ac:dyDescent="0.2"/>
  <cols>
    <col min="1" max="1" width="5" style="93" bestFit="1" customWidth="1"/>
    <col min="2" max="2" width="16.28515625" style="95" customWidth="1"/>
    <col min="3" max="3" width="10.7109375" style="95" customWidth="1"/>
    <col min="4" max="4" width="5.140625" style="95" customWidth="1"/>
    <col min="5" max="10" width="5.42578125" style="95" customWidth="1"/>
    <col min="11" max="11" width="6.7109375" style="93" customWidth="1"/>
    <col min="12" max="15" width="6.7109375" style="95" customWidth="1"/>
    <col min="16" max="29" width="5.42578125" style="95" customWidth="1"/>
    <col min="30" max="33" width="5.7109375" style="95" bestFit="1" customWidth="1"/>
    <col min="34" max="35" width="5.42578125" style="95" customWidth="1"/>
    <col min="36" max="36" width="5.7109375" style="95" bestFit="1" customWidth="1"/>
    <col min="37" max="43" width="5.42578125" style="95" customWidth="1"/>
    <col min="44" max="45" width="5.42578125" style="93" customWidth="1"/>
    <col min="46" max="52" width="5.42578125" style="93" bestFit="1" customWidth="1"/>
    <col min="53" max="53" width="5.7109375" style="93" bestFit="1" customWidth="1"/>
    <col min="54" max="54" width="5.42578125" style="93" bestFit="1" customWidth="1"/>
    <col min="55" max="63" width="5.42578125" style="93" customWidth="1"/>
    <col min="64" max="64" width="6.28515625" style="93" customWidth="1"/>
    <col min="65" max="16384" width="9.140625" style="93"/>
  </cols>
  <sheetData>
    <row r="1" spans="1:6" x14ac:dyDescent="0.2">
      <c r="A1" s="5" t="s">
        <v>154</v>
      </c>
    </row>
    <row r="2" spans="1:6" x14ac:dyDescent="0.2">
      <c r="B2" s="93" t="s">
        <v>485</v>
      </c>
      <c r="C2" s="93" t="s">
        <v>622</v>
      </c>
      <c r="D2" s="93"/>
      <c r="E2" s="93"/>
      <c r="F2" s="93"/>
    </row>
    <row r="3" spans="1:6" x14ac:dyDescent="0.2">
      <c r="B3" s="93" t="s">
        <v>486</v>
      </c>
      <c r="C3" s="93" t="s">
        <v>731</v>
      </c>
      <c r="D3" s="93"/>
      <c r="E3" s="93"/>
      <c r="F3" s="93"/>
    </row>
    <row r="4" spans="1:6" x14ac:dyDescent="0.2">
      <c r="B4" s="93" t="s">
        <v>495</v>
      </c>
      <c r="C4" s="4" t="s">
        <v>1187</v>
      </c>
      <c r="D4" s="93"/>
      <c r="E4" s="93"/>
      <c r="F4" s="93"/>
    </row>
    <row r="5" spans="1:6" x14ac:dyDescent="0.2">
      <c r="B5" s="93" t="s">
        <v>488</v>
      </c>
      <c r="C5" s="93" t="s">
        <v>26</v>
      </c>
      <c r="D5" s="93"/>
      <c r="E5" s="93"/>
      <c r="F5" s="93"/>
    </row>
    <row r="6" spans="1:6" x14ac:dyDescent="0.2">
      <c r="B6" s="93" t="s">
        <v>163</v>
      </c>
      <c r="C6" s="93" t="s">
        <v>11</v>
      </c>
      <c r="D6" s="93"/>
      <c r="E6" s="93"/>
      <c r="F6" s="93"/>
    </row>
    <row r="7" spans="1:6" x14ac:dyDescent="0.2">
      <c r="B7" s="93"/>
      <c r="C7" s="4" t="s">
        <v>18</v>
      </c>
      <c r="D7" s="93"/>
      <c r="E7" s="93"/>
      <c r="F7" s="93"/>
    </row>
    <row r="8" spans="1:6" x14ac:dyDescent="0.2">
      <c r="B8" s="93"/>
      <c r="C8" s="4" t="s">
        <v>1134</v>
      </c>
      <c r="D8" s="93"/>
      <c r="E8" s="93"/>
      <c r="F8" s="93"/>
    </row>
    <row r="9" spans="1:6" x14ac:dyDescent="0.2">
      <c r="B9" s="93" t="s">
        <v>536</v>
      </c>
      <c r="C9" s="93" t="s">
        <v>27</v>
      </c>
      <c r="D9" s="93"/>
      <c r="E9" s="93"/>
      <c r="F9" s="93"/>
    </row>
    <row r="10" spans="1:6" x14ac:dyDescent="0.2">
      <c r="B10" s="93" t="s">
        <v>489</v>
      </c>
      <c r="C10" s="93" t="s">
        <v>733</v>
      </c>
      <c r="D10" s="93"/>
      <c r="E10" s="93"/>
      <c r="F10" s="93"/>
    </row>
    <row r="11" spans="1:6" x14ac:dyDescent="0.2">
      <c r="B11" s="93"/>
      <c r="C11" s="93" t="s">
        <v>640</v>
      </c>
      <c r="D11" s="93"/>
      <c r="E11" s="93"/>
      <c r="F11" s="93"/>
    </row>
    <row r="12" spans="1:6" x14ac:dyDescent="0.2">
      <c r="B12" s="93"/>
      <c r="C12" s="93" t="s">
        <v>641</v>
      </c>
      <c r="D12" s="93"/>
      <c r="E12" s="93"/>
      <c r="F12" s="93"/>
    </row>
    <row r="13" spans="1:6" x14ac:dyDescent="0.2">
      <c r="B13" s="93"/>
      <c r="C13" s="93" t="s">
        <v>459</v>
      </c>
      <c r="D13" s="93"/>
      <c r="E13" s="93"/>
      <c r="F13" s="93"/>
    </row>
    <row r="14" spans="1:6" x14ac:dyDescent="0.2">
      <c r="B14" s="93" t="s">
        <v>732</v>
      </c>
      <c r="C14" s="93" t="s">
        <v>458</v>
      </c>
      <c r="D14" s="93"/>
      <c r="E14" s="93"/>
      <c r="F14" s="93"/>
    </row>
    <row r="15" spans="1:6" x14ac:dyDescent="0.2">
      <c r="B15" s="93" t="s">
        <v>642</v>
      </c>
      <c r="C15" s="93" t="s">
        <v>643</v>
      </c>
      <c r="D15" s="93"/>
      <c r="E15" s="93"/>
      <c r="F15" s="93"/>
    </row>
    <row r="16" spans="1:6" x14ac:dyDescent="0.2">
      <c r="B16" s="93" t="s">
        <v>768</v>
      </c>
      <c r="C16" s="4" t="s">
        <v>1468</v>
      </c>
      <c r="D16" s="93"/>
      <c r="E16" s="93"/>
      <c r="F16" s="93"/>
    </row>
    <row r="17" spans="2:43" x14ac:dyDescent="0.2">
      <c r="B17" s="93"/>
      <c r="C17" s="4" t="s">
        <v>1469</v>
      </c>
      <c r="D17" s="93"/>
      <c r="E17" s="93"/>
      <c r="F17" s="93"/>
    </row>
    <row r="18" spans="2:43" x14ac:dyDescent="0.2">
      <c r="B18" s="93" t="s">
        <v>165</v>
      </c>
      <c r="C18" s="4" t="s">
        <v>1124</v>
      </c>
      <c r="D18" s="93"/>
      <c r="E18" s="93"/>
      <c r="F18" s="93"/>
    </row>
    <row r="19" spans="2:43" x14ac:dyDescent="0.2">
      <c r="B19" s="93" t="s">
        <v>460</v>
      </c>
      <c r="C19" s="93" t="s">
        <v>461</v>
      </c>
      <c r="D19" s="93"/>
      <c r="E19" s="93"/>
      <c r="F19" s="93"/>
    </row>
    <row r="20" spans="2:43" x14ac:dyDescent="0.2">
      <c r="B20" s="93" t="s">
        <v>124</v>
      </c>
      <c r="C20" s="93" t="s">
        <v>125</v>
      </c>
      <c r="D20" s="93"/>
      <c r="E20" s="93"/>
      <c r="F20" s="93"/>
    </row>
    <row r="21" spans="2:43" x14ac:dyDescent="0.2">
      <c r="B21" s="93" t="s">
        <v>705</v>
      </c>
      <c r="C21" s="93" t="s">
        <v>981</v>
      </c>
      <c r="D21" s="93"/>
      <c r="E21" s="93"/>
      <c r="F21" s="93"/>
    </row>
    <row r="22" spans="2:43" x14ac:dyDescent="0.2">
      <c r="B22" s="93" t="s">
        <v>155</v>
      </c>
      <c r="C22" s="93" t="s">
        <v>462</v>
      </c>
      <c r="D22" s="93"/>
      <c r="E22" s="93"/>
      <c r="F22" s="93"/>
    </row>
    <row r="23" spans="2:43" x14ac:dyDescent="0.2">
      <c r="B23" s="93" t="s">
        <v>531</v>
      </c>
      <c r="C23" s="93"/>
      <c r="D23" s="93"/>
      <c r="E23" s="93"/>
      <c r="F23" s="93"/>
    </row>
    <row r="24" spans="2:43" x14ac:dyDescent="0.2">
      <c r="C24" s="30" t="s">
        <v>734</v>
      </c>
      <c r="E24" s="93"/>
      <c r="F24" s="93"/>
    </row>
    <row r="25" spans="2:43" x14ac:dyDescent="0.2">
      <c r="C25" s="93" t="s">
        <v>736</v>
      </c>
      <c r="D25" s="93"/>
      <c r="F25" s="93"/>
    </row>
    <row r="26" spans="2:43" x14ac:dyDescent="0.2">
      <c r="C26" s="93"/>
      <c r="D26" s="93"/>
      <c r="F26" s="93"/>
    </row>
    <row r="27" spans="2:43" x14ac:dyDescent="0.2">
      <c r="C27" s="30" t="s">
        <v>735</v>
      </c>
      <c r="F27" s="93"/>
    </row>
    <row r="28" spans="2:43" x14ac:dyDescent="0.2">
      <c r="C28" s="93" t="s">
        <v>737</v>
      </c>
      <c r="F28" s="93"/>
    </row>
    <row r="29" spans="2:43" x14ac:dyDescent="0.2">
      <c r="E29" s="93"/>
      <c r="J29" s="93"/>
      <c r="K29" s="95"/>
      <c r="AQ29" s="93"/>
    </row>
    <row r="30" spans="2:43" x14ac:dyDescent="0.2">
      <c r="C30" s="93"/>
      <c r="D30" s="93"/>
      <c r="F30" s="351" t="s">
        <v>738</v>
      </c>
      <c r="G30" s="351"/>
      <c r="H30" s="351"/>
      <c r="I30" s="351"/>
      <c r="J30" s="351"/>
      <c r="K30" s="351"/>
      <c r="L30" s="351"/>
      <c r="M30" s="351"/>
      <c r="N30" s="351"/>
      <c r="P30" s="351" t="s">
        <v>644</v>
      </c>
      <c r="Q30" s="351"/>
      <c r="R30" s="351"/>
      <c r="S30" s="351"/>
      <c r="T30" s="351"/>
      <c r="AP30" s="93"/>
      <c r="AQ30" s="93"/>
    </row>
    <row r="31" spans="2:43" x14ac:dyDescent="0.2">
      <c r="C31" s="93"/>
      <c r="D31" s="93"/>
      <c r="F31" s="95" t="s">
        <v>645</v>
      </c>
      <c r="H31" s="95" t="s">
        <v>646</v>
      </c>
      <c r="I31" s="93"/>
      <c r="J31" s="95" t="s">
        <v>646</v>
      </c>
      <c r="K31" s="95"/>
      <c r="L31" s="95" t="s">
        <v>647</v>
      </c>
      <c r="N31" s="95" t="s">
        <v>647</v>
      </c>
      <c r="P31" s="95" t="s">
        <v>645</v>
      </c>
      <c r="R31" s="95" t="s">
        <v>646</v>
      </c>
      <c r="T31" s="95" t="s">
        <v>648</v>
      </c>
      <c r="AP31" s="93"/>
      <c r="AQ31" s="93"/>
    </row>
    <row r="32" spans="2:43" x14ac:dyDescent="0.2">
      <c r="C32" s="93"/>
      <c r="D32" s="93" t="s">
        <v>649</v>
      </c>
      <c r="H32" s="95" t="s">
        <v>650</v>
      </c>
      <c r="I32" s="93"/>
      <c r="J32" s="95" t="s">
        <v>651</v>
      </c>
      <c r="K32" s="95"/>
      <c r="L32" s="95" t="s">
        <v>650</v>
      </c>
      <c r="N32" s="95" t="s">
        <v>651</v>
      </c>
      <c r="R32" s="95" t="s">
        <v>650</v>
      </c>
      <c r="T32" s="95" t="s">
        <v>650</v>
      </c>
      <c r="AP32" s="93"/>
      <c r="AQ32" s="93"/>
    </row>
    <row r="33" spans="3:43" x14ac:dyDescent="0.2">
      <c r="C33" s="93"/>
      <c r="D33" s="93" t="s">
        <v>652</v>
      </c>
      <c r="F33" s="152">
        <v>0.2</v>
      </c>
      <c r="H33" s="152">
        <v>0.5</v>
      </c>
      <c r="I33" s="93"/>
      <c r="J33" s="152">
        <v>0.5</v>
      </c>
      <c r="K33" s="95"/>
      <c r="L33" s="152">
        <v>0.52</v>
      </c>
      <c r="N33" s="152">
        <v>0.57999999999999996</v>
      </c>
      <c r="AP33" s="93"/>
      <c r="AQ33" s="93"/>
    </row>
    <row r="34" spans="3:43" x14ac:dyDescent="0.2">
      <c r="C34" s="93"/>
      <c r="D34" s="93" t="s">
        <v>653</v>
      </c>
      <c r="F34" s="152">
        <v>0.05</v>
      </c>
      <c r="H34" s="152">
        <v>0.27</v>
      </c>
      <c r="I34" s="93"/>
      <c r="J34" s="152">
        <v>0.28999999999999998</v>
      </c>
      <c r="K34" s="95"/>
      <c r="L34" s="152">
        <v>0.31</v>
      </c>
      <c r="N34" s="152">
        <v>0.26</v>
      </c>
      <c r="AP34" s="93"/>
      <c r="AQ34" s="93"/>
    </row>
    <row r="35" spans="3:43" x14ac:dyDescent="0.2">
      <c r="C35" s="93"/>
      <c r="D35" s="93" t="s">
        <v>654</v>
      </c>
      <c r="F35" s="152">
        <v>0</v>
      </c>
      <c r="H35" s="152">
        <v>0.08</v>
      </c>
      <c r="I35" s="93"/>
      <c r="J35" s="152">
        <v>0.11</v>
      </c>
      <c r="K35" s="95"/>
      <c r="L35" s="152">
        <v>0.18</v>
      </c>
      <c r="N35" s="152">
        <v>0.11</v>
      </c>
      <c r="AP35" s="93"/>
      <c r="AQ35" s="93"/>
    </row>
    <row r="36" spans="3:43" x14ac:dyDescent="0.2">
      <c r="C36" s="93"/>
      <c r="D36" s="93"/>
      <c r="F36" s="152"/>
      <c r="H36" s="152"/>
      <c r="I36" s="93"/>
      <c r="J36" s="152"/>
      <c r="K36" s="95"/>
      <c r="L36" s="152"/>
      <c r="N36" s="152"/>
      <c r="AP36" s="93"/>
      <c r="AQ36" s="93"/>
    </row>
    <row r="37" spans="3:43" x14ac:dyDescent="0.2">
      <c r="C37" s="93"/>
      <c r="D37" s="93" t="s">
        <v>655</v>
      </c>
      <c r="F37" s="152"/>
      <c r="H37" s="152"/>
      <c r="I37" s="93"/>
      <c r="J37" s="152"/>
      <c r="K37" s="95"/>
      <c r="L37" s="152"/>
      <c r="N37" s="152"/>
      <c r="AP37" s="93"/>
      <c r="AQ37" s="93"/>
    </row>
    <row r="38" spans="3:43" x14ac:dyDescent="0.2">
      <c r="C38" s="93"/>
      <c r="D38" s="93" t="s">
        <v>652</v>
      </c>
      <c r="F38" s="152">
        <v>0.17</v>
      </c>
      <c r="H38" s="152">
        <v>0.42</v>
      </c>
      <c r="I38" s="93"/>
      <c r="J38" s="153">
        <v>0.48</v>
      </c>
      <c r="K38" s="95"/>
      <c r="L38" s="152">
        <v>0.59</v>
      </c>
      <c r="N38" s="152">
        <v>0.59</v>
      </c>
      <c r="P38" s="152">
        <v>0.54</v>
      </c>
      <c r="R38" s="152">
        <v>0.62</v>
      </c>
      <c r="T38" s="152">
        <v>0.66</v>
      </c>
      <c r="AP38" s="93"/>
      <c r="AQ38" s="93"/>
    </row>
    <row r="39" spans="3:43" x14ac:dyDescent="0.2">
      <c r="C39" s="93"/>
      <c r="D39" s="93" t="s">
        <v>653</v>
      </c>
      <c r="F39" s="152">
        <v>0.09</v>
      </c>
      <c r="H39" s="152">
        <v>0.21</v>
      </c>
      <c r="I39" s="93"/>
      <c r="J39" s="152">
        <v>0.34</v>
      </c>
      <c r="K39" s="95"/>
      <c r="L39" s="152">
        <v>0.4</v>
      </c>
      <c r="N39" s="152">
        <v>0.38</v>
      </c>
      <c r="P39" s="152">
        <v>0.32</v>
      </c>
      <c r="R39" s="152">
        <v>0.46</v>
      </c>
      <c r="T39" s="152">
        <v>0.5</v>
      </c>
      <c r="AP39" s="93"/>
      <c r="AQ39" s="93"/>
    </row>
    <row r="40" spans="3:43" x14ac:dyDescent="0.2">
      <c r="C40" s="93"/>
      <c r="D40" s="93" t="s">
        <v>654</v>
      </c>
      <c r="F40" s="152">
        <v>0.02</v>
      </c>
      <c r="H40" s="152">
        <v>0.11</v>
      </c>
      <c r="I40" s="93"/>
      <c r="J40" s="152">
        <v>0.18</v>
      </c>
      <c r="K40" s="95"/>
      <c r="L40" s="152">
        <v>0.26</v>
      </c>
      <c r="N40" s="152">
        <v>0.19</v>
      </c>
      <c r="P40" s="152">
        <v>0.21</v>
      </c>
      <c r="R40" s="152">
        <v>0.33</v>
      </c>
      <c r="T40" s="152">
        <v>0.37</v>
      </c>
      <c r="AP40" s="93"/>
      <c r="AQ40" s="93"/>
    </row>
    <row r="41" spans="3:43" x14ac:dyDescent="0.2">
      <c r="C41" s="93"/>
      <c r="D41" s="93"/>
      <c r="I41" s="93"/>
      <c r="K41" s="95"/>
      <c r="AP41" s="93"/>
      <c r="AQ41" s="93"/>
    </row>
    <row r="42" spans="3:43" x14ac:dyDescent="0.2">
      <c r="C42" s="93"/>
      <c r="D42" s="95" t="s">
        <v>656</v>
      </c>
      <c r="F42" s="152">
        <v>0</v>
      </c>
      <c r="H42" s="152">
        <v>7.0000000000000007E-2</v>
      </c>
      <c r="I42" s="93"/>
      <c r="J42" s="152">
        <v>0.08</v>
      </c>
      <c r="K42" s="95"/>
      <c r="L42" s="152">
        <v>0.15</v>
      </c>
      <c r="N42" s="152">
        <v>0.06</v>
      </c>
      <c r="P42" s="152">
        <v>0.08</v>
      </c>
      <c r="R42" s="152">
        <v>0.12</v>
      </c>
      <c r="T42" s="152">
        <v>0.17</v>
      </c>
      <c r="AP42" s="93"/>
      <c r="AQ42" s="93"/>
    </row>
    <row r="43" spans="3:43" x14ac:dyDescent="0.2">
      <c r="D43" s="93" t="s">
        <v>657</v>
      </c>
      <c r="I43" s="93"/>
      <c r="K43" s="95"/>
      <c r="AP43" s="93"/>
      <c r="AQ43" s="93"/>
    </row>
    <row r="44" spans="3:43" x14ac:dyDescent="0.2">
      <c r="I44" s="93"/>
      <c r="K44" s="95"/>
      <c r="AP44" s="93"/>
      <c r="AQ44" s="93"/>
    </row>
    <row r="45" spans="3:43" x14ac:dyDescent="0.2">
      <c r="C45" s="30" t="s">
        <v>28</v>
      </c>
    </row>
    <row r="47" spans="3:43" x14ac:dyDescent="0.2">
      <c r="C47" s="30" t="s">
        <v>29</v>
      </c>
    </row>
    <row r="49" spans="2:64" x14ac:dyDescent="0.2">
      <c r="C49" s="30" t="s">
        <v>30</v>
      </c>
    </row>
    <row r="51" spans="2:64" x14ac:dyDescent="0.2">
      <c r="C51" s="30" t="s">
        <v>31</v>
      </c>
    </row>
    <row r="53" spans="2:64" x14ac:dyDescent="0.2">
      <c r="C53" s="30" t="s">
        <v>1038</v>
      </c>
    </row>
    <row r="58" spans="2:64" x14ac:dyDescent="0.2">
      <c r="B58" s="93"/>
      <c r="C58" s="154" t="s">
        <v>221</v>
      </c>
      <c r="D58" s="258">
        <v>1999</v>
      </c>
      <c r="E58" s="258">
        <v>2000</v>
      </c>
      <c r="F58" s="258">
        <v>2001</v>
      </c>
      <c r="G58" s="258">
        <v>2002</v>
      </c>
      <c r="H58" s="258">
        <v>2003</v>
      </c>
      <c r="I58" s="258">
        <v>2004</v>
      </c>
      <c r="J58" s="258">
        <v>2005</v>
      </c>
      <c r="K58" s="258">
        <v>2006</v>
      </c>
      <c r="L58" s="258">
        <v>2007</v>
      </c>
      <c r="M58" s="258">
        <v>2008</v>
      </c>
      <c r="N58" s="258">
        <v>2009</v>
      </c>
      <c r="O58" s="258">
        <v>2010</v>
      </c>
      <c r="P58" s="93"/>
      <c r="Q58" s="258" t="s">
        <v>584</v>
      </c>
      <c r="R58" s="258" t="s">
        <v>585</v>
      </c>
      <c r="S58" s="258" t="s">
        <v>586</v>
      </c>
      <c r="T58" s="258" t="s">
        <v>587</v>
      </c>
      <c r="U58" s="258" t="s">
        <v>588</v>
      </c>
      <c r="V58" s="258" t="s">
        <v>589</v>
      </c>
      <c r="W58" s="258" t="s">
        <v>590</v>
      </c>
      <c r="X58" s="258" t="s">
        <v>591</v>
      </c>
      <c r="Y58" s="258" t="s">
        <v>592</v>
      </c>
      <c r="Z58" s="258" t="s">
        <v>593</v>
      </c>
      <c r="AA58" s="258" t="s">
        <v>594</v>
      </c>
      <c r="AB58" s="258" t="s">
        <v>595</v>
      </c>
      <c r="AC58" s="258" t="s">
        <v>596</v>
      </c>
      <c r="AD58" s="258" t="s">
        <v>597</v>
      </c>
      <c r="AE58" s="258" t="s">
        <v>598</v>
      </c>
      <c r="AF58" s="258" t="s">
        <v>599</v>
      </c>
      <c r="AG58" s="258" t="s">
        <v>600</v>
      </c>
      <c r="AH58" s="258" t="s">
        <v>601</v>
      </c>
      <c r="AI58" s="258" t="s">
        <v>602</v>
      </c>
      <c r="AJ58" s="258" t="s">
        <v>603</v>
      </c>
      <c r="AK58" s="258" t="s">
        <v>604</v>
      </c>
      <c r="AL58" s="258" t="s">
        <v>605</v>
      </c>
      <c r="AM58" s="258" t="s">
        <v>606</v>
      </c>
      <c r="AN58" s="258" t="s">
        <v>607</v>
      </c>
      <c r="AO58" s="258" t="s">
        <v>608</v>
      </c>
      <c r="AP58" s="258" t="s">
        <v>609</v>
      </c>
      <c r="AQ58" s="258" t="s">
        <v>610</v>
      </c>
      <c r="AR58" s="258" t="s">
        <v>611</v>
      </c>
      <c r="AS58" s="258" t="s">
        <v>612</v>
      </c>
      <c r="AT58" s="258" t="s">
        <v>613</v>
      </c>
      <c r="AU58" s="258" t="s">
        <v>614</v>
      </c>
      <c r="AV58" s="258" t="s">
        <v>615</v>
      </c>
      <c r="AW58" s="258" t="s">
        <v>916</v>
      </c>
      <c r="AX58" s="258" t="s">
        <v>917</v>
      </c>
      <c r="AY58" s="258" t="s">
        <v>958</v>
      </c>
      <c r="AZ58" s="258" t="s">
        <v>959</v>
      </c>
      <c r="BA58" s="258" t="s">
        <v>960</v>
      </c>
      <c r="BB58" s="258" t="s">
        <v>961</v>
      </c>
      <c r="BC58" s="258" t="s">
        <v>962</v>
      </c>
      <c r="BD58" s="258" t="s">
        <v>963</v>
      </c>
      <c r="BE58" s="258" t="s">
        <v>102</v>
      </c>
      <c r="BF58" s="258" t="s">
        <v>103</v>
      </c>
      <c r="BG58" s="258" t="s">
        <v>104</v>
      </c>
      <c r="BH58" s="258" t="s">
        <v>105</v>
      </c>
      <c r="BI58" s="258" t="s">
        <v>1463</v>
      </c>
      <c r="BJ58" s="258" t="s">
        <v>1464</v>
      </c>
      <c r="BK58" s="258" t="s">
        <v>1465</v>
      </c>
      <c r="BL58" s="155" t="s">
        <v>1466</v>
      </c>
    </row>
    <row r="59" spans="2:64" s="156" customFormat="1" x14ac:dyDescent="0.2">
      <c r="C59" s="156" t="s">
        <v>616</v>
      </c>
      <c r="D59" s="259">
        <v>97</v>
      </c>
      <c r="E59" s="259">
        <v>304</v>
      </c>
      <c r="F59" s="259">
        <v>687</v>
      </c>
      <c r="G59" s="259">
        <v>1170</v>
      </c>
      <c r="H59" s="259">
        <v>1482</v>
      </c>
      <c r="I59" s="259">
        <v>1816</v>
      </c>
      <c r="J59" s="259">
        <v>2065</v>
      </c>
      <c r="K59" s="259">
        <v>2355</v>
      </c>
      <c r="L59" s="259">
        <v>2534</v>
      </c>
      <c r="M59" s="259">
        <f>SUM(BA59:BD59)</f>
        <v>2810</v>
      </c>
      <c r="N59" s="259">
        <f>SUM(BE59:BH59)</f>
        <v>3088</v>
      </c>
      <c r="O59" s="259">
        <f>SUM(BI59:BL59)</f>
        <v>3200.74</v>
      </c>
      <c r="Q59" s="259">
        <v>21</v>
      </c>
      <c r="R59" s="259">
        <v>24</v>
      </c>
      <c r="S59" s="259">
        <v>23</v>
      </c>
      <c r="T59" s="259">
        <v>29</v>
      </c>
      <c r="U59" s="259">
        <v>45</v>
      </c>
      <c r="V59" s="259">
        <v>78</v>
      </c>
      <c r="W59" s="259">
        <v>80</v>
      </c>
      <c r="X59" s="259">
        <v>102</v>
      </c>
      <c r="Y59" s="259">
        <v>120</v>
      </c>
      <c r="Z59" s="259">
        <v>166</v>
      </c>
      <c r="AA59" s="259">
        <v>202</v>
      </c>
      <c r="AB59" s="259">
        <v>203</v>
      </c>
      <c r="AC59" s="259">
        <v>236</v>
      </c>
      <c r="AD59" s="259">
        <v>298</v>
      </c>
      <c r="AE59" s="259">
        <v>293</v>
      </c>
      <c r="AF59" s="259">
        <v>343</v>
      </c>
      <c r="AG59" s="259">
        <v>345</v>
      </c>
      <c r="AH59" s="259">
        <v>366</v>
      </c>
      <c r="AI59" s="259">
        <v>390</v>
      </c>
      <c r="AJ59" s="259">
        <v>381</v>
      </c>
      <c r="AK59" s="259">
        <v>411</v>
      </c>
      <c r="AL59" s="259">
        <v>447</v>
      </c>
      <c r="AM59" s="259">
        <v>466</v>
      </c>
      <c r="AN59" s="259">
        <v>493</v>
      </c>
      <c r="AO59" s="259">
        <v>501</v>
      </c>
      <c r="AP59" s="259">
        <v>506</v>
      </c>
      <c r="AQ59" s="259">
        <v>524</v>
      </c>
      <c r="AR59" s="259">
        <v>535</v>
      </c>
      <c r="AS59" s="259">
        <v>566</v>
      </c>
      <c r="AT59" s="259">
        <v>595</v>
      </c>
      <c r="AU59" s="259">
        <v>602</v>
      </c>
      <c r="AV59" s="259">
        <v>592</v>
      </c>
      <c r="AW59" s="259">
        <v>600</v>
      </c>
      <c r="AX59" s="259">
        <v>625</v>
      </c>
      <c r="AY59" s="259">
        <v>648</v>
      </c>
      <c r="AZ59" s="259">
        <v>661</v>
      </c>
      <c r="BA59" s="259">
        <v>676</v>
      </c>
      <c r="BB59" s="259">
        <v>684</v>
      </c>
      <c r="BC59" s="259">
        <v>778</v>
      </c>
      <c r="BD59" s="259">
        <v>672</v>
      </c>
      <c r="BE59" s="259">
        <v>737</v>
      </c>
      <c r="BF59" s="259">
        <v>771</v>
      </c>
      <c r="BG59" s="259">
        <v>822</v>
      </c>
      <c r="BH59" s="259">
        <v>758</v>
      </c>
      <c r="BI59" s="259">
        <v>780</v>
      </c>
      <c r="BJ59" s="259">
        <v>783</v>
      </c>
      <c r="BK59" s="259">
        <v>857</v>
      </c>
      <c r="BL59" s="156">
        <f>BH59*1.03</f>
        <v>780.74</v>
      </c>
    </row>
    <row r="60" spans="2:64" s="156" customFormat="1" x14ac:dyDescent="0.2">
      <c r="C60" s="156" t="s">
        <v>617</v>
      </c>
      <c r="D60" s="259">
        <v>19</v>
      </c>
      <c r="E60" s="259">
        <v>66</v>
      </c>
      <c r="F60" s="259">
        <v>34</v>
      </c>
      <c r="G60" s="259">
        <v>127</v>
      </c>
      <c r="H60" s="259">
        <v>248</v>
      </c>
      <c r="I60" s="259">
        <v>329</v>
      </c>
      <c r="J60" s="259">
        <v>470</v>
      </c>
      <c r="K60" s="259">
        <v>0</v>
      </c>
      <c r="L60" s="259">
        <v>1</v>
      </c>
      <c r="M60" s="259">
        <f>SUM(BA60:BD60)</f>
        <v>11</v>
      </c>
      <c r="N60" s="259">
        <f>SUM(BE60:BH60)</f>
        <v>20</v>
      </c>
      <c r="O60" s="259">
        <f>SUM(BI60:BL60)</f>
        <v>24.15</v>
      </c>
      <c r="Q60" s="259">
        <v>0</v>
      </c>
      <c r="R60" s="259">
        <v>2</v>
      </c>
      <c r="S60" s="259">
        <v>4</v>
      </c>
      <c r="T60" s="259">
        <v>13</v>
      </c>
      <c r="U60" s="259">
        <v>4</v>
      </c>
      <c r="V60" s="259">
        <v>14</v>
      </c>
      <c r="W60" s="259">
        <v>11</v>
      </c>
      <c r="X60" s="259">
        <v>37</v>
      </c>
      <c r="Y60" s="259">
        <v>15</v>
      </c>
      <c r="Z60" s="259">
        <v>5</v>
      </c>
      <c r="AA60" s="259">
        <v>7</v>
      </c>
      <c r="AB60" s="259">
        <v>7</v>
      </c>
      <c r="AC60" s="259">
        <v>9</v>
      </c>
      <c r="AD60" s="259">
        <v>34</v>
      </c>
      <c r="AE60" s="259">
        <v>48</v>
      </c>
      <c r="AF60" s="259">
        <v>36</v>
      </c>
      <c r="AG60" s="259">
        <v>64</v>
      </c>
      <c r="AH60" s="259">
        <v>55</v>
      </c>
      <c r="AI60" s="259">
        <v>54</v>
      </c>
      <c r="AJ60" s="259">
        <v>75</v>
      </c>
      <c r="AK60" s="259">
        <v>53</v>
      </c>
      <c r="AL60" s="259">
        <v>92</v>
      </c>
      <c r="AM60" s="259">
        <v>79</v>
      </c>
      <c r="AN60" s="259">
        <v>105</v>
      </c>
      <c r="AO60" s="259">
        <v>76</v>
      </c>
      <c r="AP60" s="259">
        <v>136</v>
      </c>
      <c r="AQ60" s="259">
        <v>100</v>
      </c>
      <c r="AR60" s="259">
        <v>157</v>
      </c>
      <c r="AS60" s="259">
        <v>115</v>
      </c>
      <c r="AT60" s="259">
        <v>182</v>
      </c>
      <c r="AU60" s="259">
        <v>0</v>
      </c>
      <c r="AV60" s="259">
        <v>0</v>
      </c>
      <c r="AW60" s="259">
        <v>0</v>
      </c>
      <c r="AX60" s="259">
        <v>0</v>
      </c>
      <c r="AY60" s="259">
        <v>0</v>
      </c>
      <c r="AZ60" s="259">
        <v>1</v>
      </c>
      <c r="BA60" s="259">
        <v>2</v>
      </c>
      <c r="BB60" s="259">
        <v>2</v>
      </c>
      <c r="BC60" s="259">
        <v>2</v>
      </c>
      <c r="BD60" s="259">
        <v>5</v>
      </c>
      <c r="BE60" s="259">
        <v>5</v>
      </c>
      <c r="BF60" s="259">
        <v>4</v>
      </c>
      <c r="BG60" s="259">
        <v>6</v>
      </c>
      <c r="BH60" s="259">
        <v>5</v>
      </c>
      <c r="BI60" s="259">
        <v>6</v>
      </c>
      <c r="BJ60" s="259">
        <v>6</v>
      </c>
      <c r="BK60" s="259">
        <v>7</v>
      </c>
      <c r="BL60" s="156">
        <f>BH60*1.03</f>
        <v>5.15</v>
      </c>
    </row>
    <row r="61" spans="2:64" s="14" customFormat="1" x14ac:dyDescent="0.2">
      <c r="C61" s="14" t="s">
        <v>10</v>
      </c>
      <c r="D61" s="103"/>
      <c r="E61" s="103"/>
      <c r="F61" s="103"/>
      <c r="G61" s="103"/>
      <c r="H61" s="103"/>
      <c r="I61" s="103"/>
      <c r="J61" s="103"/>
      <c r="K61" s="103">
        <v>658</v>
      </c>
      <c r="L61" s="103">
        <v>792</v>
      </c>
      <c r="M61" s="259">
        <f>SUM(BA61:BD61)</f>
        <v>927</v>
      </c>
      <c r="N61" s="259">
        <f>SUM(BE61:BH61)</f>
        <v>1196</v>
      </c>
      <c r="O61" s="259">
        <f>SUM(BI61:BL61)</f>
        <v>1492.25</v>
      </c>
      <c r="Q61" s="103"/>
      <c r="R61" s="103"/>
      <c r="S61" s="103"/>
      <c r="T61" s="103"/>
      <c r="U61" s="103"/>
      <c r="V61" s="103"/>
      <c r="W61" s="103"/>
      <c r="X61" s="103"/>
      <c r="Y61" s="103"/>
      <c r="Z61" s="103"/>
      <c r="AA61" s="103"/>
      <c r="AB61" s="103"/>
      <c r="AC61" s="103"/>
      <c r="AD61" s="103"/>
      <c r="AE61" s="103"/>
      <c r="AF61" s="103"/>
      <c r="AG61" s="103"/>
      <c r="AH61" s="103"/>
      <c r="AI61" s="103"/>
      <c r="AJ61" s="103"/>
      <c r="AK61" s="103"/>
      <c r="AL61" s="103"/>
      <c r="AM61" s="103"/>
      <c r="AN61" s="103"/>
      <c r="AO61" s="103"/>
      <c r="AP61" s="103"/>
      <c r="AQ61" s="103"/>
      <c r="AR61" s="103"/>
      <c r="AS61" s="103"/>
      <c r="AT61" s="103">
        <v>0</v>
      </c>
      <c r="AU61" s="103">
        <v>174</v>
      </c>
      <c r="AV61" s="103">
        <v>188</v>
      </c>
      <c r="AW61" s="103">
        <v>131</v>
      </c>
      <c r="AX61" s="103">
        <v>244</v>
      </c>
      <c r="AY61" s="103">
        <v>171</v>
      </c>
      <c r="AZ61" s="103">
        <v>246</v>
      </c>
      <c r="BA61" s="103">
        <v>320</v>
      </c>
      <c r="BB61" s="103">
        <v>200</v>
      </c>
      <c r="BC61" s="103">
        <v>198</v>
      </c>
      <c r="BD61" s="103">
        <v>209</v>
      </c>
      <c r="BE61" s="103">
        <v>286</v>
      </c>
      <c r="BF61" s="103">
        <v>327</v>
      </c>
      <c r="BG61" s="103">
        <v>208</v>
      </c>
      <c r="BH61" s="103">
        <v>375</v>
      </c>
      <c r="BI61" s="103">
        <v>400</v>
      </c>
      <c r="BJ61" s="103">
        <v>341</v>
      </c>
      <c r="BK61" s="103">
        <v>365</v>
      </c>
      <c r="BL61" s="156">
        <f>BH61*1.03</f>
        <v>386.25</v>
      </c>
    </row>
    <row r="62" spans="2:64" s="261" customFormat="1" x14ac:dyDescent="0.2">
      <c r="C62" s="261" t="s">
        <v>539</v>
      </c>
      <c r="D62" s="262">
        <f t="shared" ref="D62:J62" si="0">SUM(D59:D60)</f>
        <v>116</v>
      </c>
      <c r="E62" s="262">
        <f t="shared" si="0"/>
        <v>370</v>
      </c>
      <c r="F62" s="262">
        <f t="shared" si="0"/>
        <v>721</v>
      </c>
      <c r="G62" s="262">
        <f t="shared" si="0"/>
        <v>1297</v>
      </c>
      <c r="H62" s="262">
        <f t="shared" si="0"/>
        <v>1730</v>
      </c>
      <c r="I62" s="262">
        <f t="shared" si="0"/>
        <v>2145</v>
      </c>
      <c r="J62" s="262">
        <f t="shared" si="0"/>
        <v>2535</v>
      </c>
      <c r="K62" s="262">
        <f>SUM(K59:K61)</f>
        <v>3013</v>
      </c>
      <c r="L62" s="262">
        <f>SUM(L59:L61)</f>
        <v>3327</v>
      </c>
      <c r="M62" s="262">
        <f>SUM(M59:M61)</f>
        <v>3748</v>
      </c>
      <c r="N62" s="262">
        <f>SUM(N59:N61)</f>
        <v>4304</v>
      </c>
      <c r="O62" s="262">
        <f>SUM(O59:O61)</f>
        <v>4717.1399999999994</v>
      </c>
      <c r="Q62" s="262">
        <v>21</v>
      </c>
      <c r="R62" s="262">
        <v>26</v>
      </c>
      <c r="S62" s="262">
        <v>27</v>
      </c>
      <c r="T62" s="262">
        <v>41</v>
      </c>
      <c r="U62" s="262">
        <v>49</v>
      </c>
      <c r="V62" s="262">
        <v>91</v>
      </c>
      <c r="W62" s="262">
        <v>91</v>
      </c>
      <c r="X62" s="262">
        <v>139</v>
      </c>
      <c r="Y62" s="262">
        <f>SUM(Y59:Y60)</f>
        <v>135</v>
      </c>
      <c r="Z62" s="262">
        <v>171</v>
      </c>
      <c r="AA62" s="262">
        <f>SUM(AA59:AA60)</f>
        <v>209</v>
      </c>
      <c r="AB62" s="262">
        <f>SUM(AB59:AB60)</f>
        <v>210</v>
      </c>
      <c r="AC62" s="262">
        <f>SUM(AC59:AC60)</f>
        <v>245</v>
      </c>
      <c r="AD62" s="262">
        <v>332</v>
      </c>
      <c r="AE62" s="262">
        <f t="shared" ref="AE62:AS62" si="1">SUM(AE59:AE60)</f>
        <v>341</v>
      </c>
      <c r="AF62" s="262">
        <f t="shared" si="1"/>
        <v>379</v>
      </c>
      <c r="AG62" s="262">
        <f t="shared" si="1"/>
        <v>409</v>
      </c>
      <c r="AH62" s="262">
        <f t="shared" si="1"/>
        <v>421</v>
      </c>
      <c r="AI62" s="262">
        <f t="shared" si="1"/>
        <v>444</v>
      </c>
      <c r="AJ62" s="262">
        <f t="shared" si="1"/>
        <v>456</v>
      </c>
      <c r="AK62" s="262">
        <f t="shared" si="1"/>
        <v>464</v>
      </c>
      <c r="AL62" s="262">
        <f t="shared" si="1"/>
        <v>539</v>
      </c>
      <c r="AM62" s="262">
        <f t="shared" si="1"/>
        <v>545</v>
      </c>
      <c r="AN62" s="262">
        <f t="shared" si="1"/>
        <v>598</v>
      </c>
      <c r="AO62" s="262">
        <f t="shared" si="1"/>
        <v>577</v>
      </c>
      <c r="AP62" s="262">
        <f t="shared" si="1"/>
        <v>642</v>
      </c>
      <c r="AQ62" s="262">
        <f t="shared" si="1"/>
        <v>624</v>
      </c>
      <c r="AR62" s="262">
        <f t="shared" si="1"/>
        <v>692</v>
      </c>
      <c r="AS62" s="262">
        <f t="shared" si="1"/>
        <v>681</v>
      </c>
      <c r="AT62" s="262">
        <f t="shared" ref="AT62:BF62" si="2">SUM(AT59:AT61)</f>
        <v>777</v>
      </c>
      <c r="AU62" s="262">
        <f t="shared" si="2"/>
        <v>776</v>
      </c>
      <c r="AV62" s="262">
        <f t="shared" si="2"/>
        <v>780</v>
      </c>
      <c r="AW62" s="262">
        <f t="shared" si="2"/>
        <v>731</v>
      </c>
      <c r="AX62" s="262">
        <f t="shared" si="2"/>
        <v>869</v>
      </c>
      <c r="AY62" s="262">
        <f t="shared" si="2"/>
        <v>819</v>
      </c>
      <c r="AZ62" s="262">
        <f t="shared" si="2"/>
        <v>908</v>
      </c>
      <c r="BA62" s="262">
        <f t="shared" si="2"/>
        <v>998</v>
      </c>
      <c r="BB62" s="262">
        <f t="shared" si="2"/>
        <v>886</v>
      </c>
      <c r="BC62" s="262">
        <f t="shared" si="2"/>
        <v>978</v>
      </c>
      <c r="BD62" s="262">
        <f t="shared" si="2"/>
        <v>886</v>
      </c>
      <c r="BE62" s="262">
        <f t="shared" si="2"/>
        <v>1028</v>
      </c>
      <c r="BF62" s="262">
        <f t="shared" si="2"/>
        <v>1102</v>
      </c>
      <c r="BG62" s="262">
        <f t="shared" ref="BG62:BL62" si="3">SUM(BG59:BG61)</f>
        <v>1036</v>
      </c>
      <c r="BH62" s="262">
        <f t="shared" si="3"/>
        <v>1138</v>
      </c>
      <c r="BI62" s="262">
        <f t="shared" si="3"/>
        <v>1186</v>
      </c>
      <c r="BJ62" s="262">
        <f t="shared" si="3"/>
        <v>1130</v>
      </c>
      <c r="BK62" s="262">
        <f t="shared" si="3"/>
        <v>1229</v>
      </c>
      <c r="BL62" s="262">
        <f t="shared" si="3"/>
        <v>1172.1399999999999</v>
      </c>
    </row>
    <row r="63" spans="2:64" s="156" customFormat="1" x14ac:dyDescent="0.2">
      <c r="D63" s="259"/>
      <c r="E63" s="259"/>
      <c r="F63" s="259"/>
      <c r="G63" s="259"/>
      <c r="H63" s="259"/>
      <c r="I63" s="259"/>
      <c r="J63" s="259"/>
      <c r="K63" s="259"/>
      <c r="L63" s="259"/>
      <c r="M63" s="259"/>
      <c r="N63" s="259"/>
      <c r="O63" s="259"/>
      <c r="Q63" s="259"/>
      <c r="R63" s="259"/>
      <c r="S63" s="259"/>
      <c r="T63" s="259"/>
      <c r="U63" s="259"/>
      <c r="V63" s="259"/>
      <c r="W63" s="259"/>
      <c r="X63" s="259"/>
      <c r="Y63" s="259"/>
      <c r="Z63" s="259"/>
      <c r="AA63" s="259"/>
      <c r="AB63" s="259"/>
      <c r="AC63" s="259"/>
      <c r="AD63" s="259"/>
      <c r="AE63" s="259"/>
      <c r="AF63" s="259"/>
      <c r="AG63" s="259"/>
      <c r="AH63" s="259"/>
      <c r="AI63" s="259"/>
      <c r="AJ63" s="259"/>
      <c r="AK63" s="259"/>
      <c r="AL63" s="259"/>
      <c r="AM63" s="259"/>
      <c r="AN63" s="259"/>
      <c r="AO63" s="259"/>
      <c r="AP63" s="259"/>
      <c r="AQ63" s="259"/>
      <c r="AR63" s="259"/>
      <c r="AS63" s="259"/>
      <c r="AT63" s="259"/>
      <c r="AU63" s="259"/>
      <c r="AV63" s="259"/>
      <c r="AW63" s="259"/>
      <c r="AX63" s="259"/>
      <c r="AY63" s="259"/>
      <c r="AZ63" s="259"/>
      <c r="BA63" s="259"/>
      <c r="BB63" s="259"/>
      <c r="BC63" s="259"/>
      <c r="BD63" s="259"/>
      <c r="BE63" s="259"/>
      <c r="BF63" s="259"/>
      <c r="BG63" s="259"/>
      <c r="BH63" s="259"/>
      <c r="BI63" s="259"/>
      <c r="BJ63" s="259"/>
      <c r="BK63" s="259"/>
    </row>
    <row r="64" spans="2:64" x14ac:dyDescent="0.2">
      <c r="B64" s="93"/>
      <c r="C64" s="93" t="s">
        <v>618</v>
      </c>
      <c r="D64" s="260"/>
      <c r="E64" s="260">
        <f t="shared" ref="E64:H65" si="4">+E59/D59-1</f>
        <v>2.134020618556701</v>
      </c>
      <c r="F64" s="260">
        <f t="shared" si="4"/>
        <v>1.2598684210526314</v>
      </c>
      <c r="G64" s="260">
        <f t="shared" si="4"/>
        <v>0.70305676855895194</v>
      </c>
      <c r="H64" s="260">
        <f t="shared" si="4"/>
        <v>0.26666666666666661</v>
      </c>
      <c r="I64" s="260">
        <f t="shared" ref="I64:O64" si="5">I59/H59-1</f>
        <v>0.22537112010796223</v>
      </c>
      <c r="J64" s="260">
        <f t="shared" si="5"/>
        <v>0.13711453744493385</v>
      </c>
      <c r="K64" s="260">
        <f t="shared" si="5"/>
        <v>0.1404358353510895</v>
      </c>
      <c r="L64" s="260">
        <f t="shared" si="5"/>
        <v>7.6008492569002106E-2</v>
      </c>
      <c r="M64" s="260">
        <f t="shared" si="5"/>
        <v>0.10891870560378858</v>
      </c>
      <c r="N64" s="260">
        <f t="shared" si="5"/>
        <v>9.8932384341636981E-2</v>
      </c>
      <c r="O64" s="260">
        <f t="shared" si="5"/>
        <v>3.6509067357512803E-2</v>
      </c>
      <c r="P64" s="93"/>
      <c r="Q64" s="252"/>
      <c r="R64" s="252"/>
      <c r="S64" s="252"/>
      <c r="T64" s="252"/>
      <c r="U64" s="260">
        <f t="shared" ref="U64:AQ64" si="6">U59/Q59-1</f>
        <v>1.1428571428571428</v>
      </c>
      <c r="V64" s="260">
        <f t="shared" si="6"/>
        <v>2.25</v>
      </c>
      <c r="W64" s="260">
        <f t="shared" si="6"/>
        <v>2.4782608695652173</v>
      </c>
      <c r="X64" s="260">
        <f t="shared" si="6"/>
        <v>2.5172413793103448</v>
      </c>
      <c r="Y64" s="260">
        <f t="shared" si="6"/>
        <v>1.6666666666666665</v>
      </c>
      <c r="Z64" s="260">
        <f t="shared" si="6"/>
        <v>1.1282051282051282</v>
      </c>
      <c r="AA64" s="260">
        <f t="shared" si="6"/>
        <v>1.5249999999999999</v>
      </c>
      <c r="AB64" s="260">
        <f t="shared" si="6"/>
        <v>0.99019607843137258</v>
      </c>
      <c r="AC64" s="260">
        <f t="shared" si="6"/>
        <v>0.96666666666666656</v>
      </c>
      <c r="AD64" s="260">
        <f t="shared" si="6"/>
        <v>0.79518072289156616</v>
      </c>
      <c r="AE64" s="260">
        <f t="shared" si="6"/>
        <v>0.45049504950495045</v>
      </c>
      <c r="AF64" s="260">
        <f t="shared" si="6"/>
        <v>0.68965517241379315</v>
      </c>
      <c r="AG64" s="260">
        <f t="shared" si="6"/>
        <v>0.46186440677966112</v>
      </c>
      <c r="AH64" s="260">
        <f t="shared" si="6"/>
        <v>0.22818791946308714</v>
      </c>
      <c r="AI64" s="260">
        <f t="shared" si="6"/>
        <v>0.33105802047781574</v>
      </c>
      <c r="AJ64" s="260">
        <f t="shared" si="6"/>
        <v>0.11078717201166177</v>
      </c>
      <c r="AK64" s="260">
        <f t="shared" si="6"/>
        <v>0.19130434782608696</v>
      </c>
      <c r="AL64" s="260">
        <f t="shared" si="6"/>
        <v>0.22131147540983598</v>
      </c>
      <c r="AM64" s="260">
        <f t="shared" si="6"/>
        <v>0.19487179487179485</v>
      </c>
      <c r="AN64" s="260">
        <f t="shared" si="6"/>
        <v>0.29396325459317585</v>
      </c>
      <c r="AO64" s="260">
        <f t="shared" si="6"/>
        <v>0.21897810218978098</v>
      </c>
      <c r="AP64" s="260">
        <f t="shared" si="6"/>
        <v>0.1319910514541387</v>
      </c>
      <c r="AQ64" s="260">
        <f t="shared" si="6"/>
        <v>0.12446351931330479</v>
      </c>
      <c r="AR64" s="260">
        <f t="shared" ref="AR64:BE64" si="7">AR59/AN59-1</f>
        <v>8.5192697768762704E-2</v>
      </c>
      <c r="AS64" s="260">
        <f t="shared" si="7"/>
        <v>0.12974051896207595</v>
      </c>
      <c r="AT64" s="260">
        <f t="shared" si="7"/>
        <v>0.1758893280632412</v>
      </c>
      <c r="AU64" s="260">
        <f t="shared" si="7"/>
        <v>0.14885496183206115</v>
      </c>
      <c r="AV64" s="260">
        <f t="shared" si="7"/>
        <v>0.1065420560747663</v>
      </c>
      <c r="AW64" s="260">
        <f t="shared" si="7"/>
        <v>6.0070671378091856E-2</v>
      </c>
      <c r="AX64" s="260">
        <f t="shared" si="7"/>
        <v>5.0420168067226934E-2</v>
      </c>
      <c r="AY64" s="260">
        <f t="shared" si="7"/>
        <v>7.6411960132890311E-2</v>
      </c>
      <c r="AZ64" s="260">
        <f>AZ59/AV59-1</f>
        <v>0.11655405405405395</v>
      </c>
      <c r="BA64" s="260">
        <f t="shared" si="7"/>
        <v>0.12666666666666671</v>
      </c>
      <c r="BB64" s="260">
        <f t="shared" si="7"/>
        <v>9.4400000000000039E-2</v>
      </c>
      <c r="BC64" s="260">
        <f t="shared" si="7"/>
        <v>0.20061728395061729</v>
      </c>
      <c r="BD64" s="260">
        <f t="shared" si="7"/>
        <v>1.6641452344931862E-2</v>
      </c>
      <c r="BE64" s="260">
        <f t="shared" si="7"/>
        <v>9.0236686390532617E-2</v>
      </c>
      <c r="BF64" s="260">
        <f t="shared" ref="BF64:BL64" si="8">BF59/BB59-1</f>
        <v>0.12719298245614041</v>
      </c>
      <c r="BG64" s="260">
        <f t="shared" si="8"/>
        <v>5.655526992287907E-2</v>
      </c>
      <c r="BH64" s="260">
        <f t="shared" si="8"/>
        <v>0.12797619047619047</v>
      </c>
      <c r="BI64" s="260">
        <f t="shared" si="8"/>
        <v>5.834464043419274E-2</v>
      </c>
      <c r="BJ64" s="260">
        <f t="shared" si="8"/>
        <v>1.5564202334630295E-2</v>
      </c>
      <c r="BK64" s="260">
        <f t="shared" si="8"/>
        <v>4.2579075425790647E-2</v>
      </c>
      <c r="BL64" s="260">
        <f t="shared" si="8"/>
        <v>3.0000000000000027E-2</v>
      </c>
    </row>
    <row r="65" spans="2:64" x14ac:dyDescent="0.2">
      <c r="B65" s="93"/>
      <c r="C65" s="93" t="s">
        <v>620</v>
      </c>
      <c r="D65" s="260"/>
      <c r="E65" s="260">
        <f t="shared" si="4"/>
        <v>2.4736842105263159</v>
      </c>
      <c r="F65" s="260">
        <f t="shared" si="4"/>
        <v>-0.48484848484848486</v>
      </c>
      <c r="G65" s="260">
        <f t="shared" si="4"/>
        <v>2.7352941176470589</v>
      </c>
      <c r="H65" s="260">
        <f t="shared" si="4"/>
        <v>0.95275590551181111</v>
      </c>
      <c r="I65" s="260">
        <f>+I60/H60-1</f>
        <v>0.32661290322580649</v>
      </c>
      <c r="J65" s="260">
        <f>+J60/I60-1</f>
        <v>0.4285714285714286</v>
      </c>
      <c r="K65" s="260">
        <f>SUM(K60:K61)/SUM(J60:J61)-1</f>
        <v>0.39999999999999991</v>
      </c>
      <c r="L65" s="260">
        <f>SUM(L60:L61)/SUM(K60:K61)-1</f>
        <v>0.20516717325227973</v>
      </c>
      <c r="M65" s="260">
        <f>SUM(M60:M61)/SUM(L60:L61)-1</f>
        <v>0.18284993694829765</v>
      </c>
      <c r="N65" s="260">
        <f>SUM(N60:N61)/SUM(M60:M61)-1</f>
        <v>0.29637526652452029</v>
      </c>
      <c r="O65" s="260">
        <f>SUM(O60:O61)/SUM(N60:N61)-1</f>
        <v>0.24703947368421053</v>
      </c>
      <c r="P65" s="93"/>
      <c r="Q65" s="252"/>
      <c r="R65" s="252"/>
      <c r="S65" s="252"/>
      <c r="T65" s="252"/>
      <c r="U65" s="260"/>
      <c r="V65" s="260">
        <f t="shared" ref="V65:AQ65" si="9">V60/R60-1</f>
        <v>6</v>
      </c>
      <c r="W65" s="260">
        <f t="shared" si="9"/>
        <v>1.75</v>
      </c>
      <c r="X65" s="260">
        <f t="shared" si="9"/>
        <v>1.8461538461538463</v>
      </c>
      <c r="Y65" s="260">
        <f t="shared" si="9"/>
        <v>2.75</v>
      </c>
      <c r="Z65" s="260">
        <f t="shared" si="9"/>
        <v>-0.64285714285714279</v>
      </c>
      <c r="AA65" s="260">
        <f t="shared" si="9"/>
        <v>-0.36363636363636365</v>
      </c>
      <c r="AB65" s="260">
        <f t="shared" si="9"/>
        <v>-0.81081081081081074</v>
      </c>
      <c r="AC65" s="260">
        <f t="shared" si="9"/>
        <v>-0.4</v>
      </c>
      <c r="AD65" s="260">
        <f t="shared" si="9"/>
        <v>5.8</v>
      </c>
      <c r="AE65" s="260">
        <f t="shared" si="9"/>
        <v>5.8571428571428568</v>
      </c>
      <c r="AF65" s="260">
        <f t="shared" si="9"/>
        <v>4.1428571428571432</v>
      </c>
      <c r="AG65" s="260">
        <f t="shared" si="9"/>
        <v>6.1111111111111107</v>
      </c>
      <c r="AH65" s="260">
        <f t="shared" si="9"/>
        <v>0.61764705882352944</v>
      </c>
      <c r="AI65" s="260">
        <f t="shared" si="9"/>
        <v>0.125</v>
      </c>
      <c r="AJ65" s="260">
        <f t="shared" si="9"/>
        <v>1.0833333333333335</v>
      </c>
      <c r="AK65" s="260">
        <f t="shared" si="9"/>
        <v>-0.171875</v>
      </c>
      <c r="AL65" s="260">
        <f t="shared" si="9"/>
        <v>0.67272727272727262</v>
      </c>
      <c r="AM65" s="260">
        <f t="shared" si="9"/>
        <v>0.46296296296296302</v>
      </c>
      <c r="AN65" s="260">
        <f t="shared" si="9"/>
        <v>0.39999999999999991</v>
      </c>
      <c r="AO65" s="260">
        <f t="shared" si="9"/>
        <v>0.4339622641509433</v>
      </c>
      <c r="AP65" s="260">
        <f t="shared" si="9"/>
        <v>0.47826086956521729</v>
      </c>
      <c r="AQ65" s="260">
        <f t="shared" si="9"/>
        <v>0.26582278481012667</v>
      </c>
      <c r="AR65" s="260">
        <f t="shared" ref="AR65:AX65" si="10">SUM(AR60:AR61)/SUM(AN60:AN61)-1</f>
        <v>0.49523809523809526</v>
      </c>
      <c r="AS65" s="260">
        <f t="shared" si="10"/>
        <v>0.51315789473684204</v>
      </c>
      <c r="AT65" s="260">
        <f t="shared" si="10"/>
        <v>0.33823529411764697</v>
      </c>
      <c r="AU65" s="260">
        <f t="shared" si="10"/>
        <v>0.74</v>
      </c>
      <c r="AV65" s="260">
        <f t="shared" si="10"/>
        <v>0.19745222929936301</v>
      </c>
      <c r="AW65" s="260">
        <f t="shared" si="10"/>
        <v>0.13913043478260878</v>
      </c>
      <c r="AX65" s="260">
        <f t="shared" si="10"/>
        <v>0.34065934065934056</v>
      </c>
      <c r="AY65" s="260">
        <f t="shared" ref="AY65:BE65" si="11">SUM(AY60:AY61)/SUM(AU60:AU61)-1</f>
        <v>-1.7241379310344862E-2</v>
      </c>
      <c r="AZ65" s="260">
        <f>SUM(AZ60:AZ61)/SUM(AV60:AV61)-1</f>
        <v>0.31382978723404253</v>
      </c>
      <c r="BA65" s="260">
        <f t="shared" si="11"/>
        <v>1.4580152671755724</v>
      </c>
      <c r="BB65" s="260">
        <f t="shared" si="11"/>
        <v>-0.17213114754098358</v>
      </c>
      <c r="BC65" s="260">
        <f t="shared" si="11"/>
        <v>0.16959064327485374</v>
      </c>
      <c r="BD65" s="260">
        <f t="shared" si="11"/>
        <v>-0.1336032388663968</v>
      </c>
      <c r="BE65" s="260">
        <f t="shared" si="11"/>
        <v>-9.6273291925465854E-2</v>
      </c>
      <c r="BF65" s="260">
        <f t="shared" ref="BF65:BL65" si="12">SUM(BF60:BF61)/SUM(BB60:BB61)-1</f>
        <v>0.63861386138613851</v>
      </c>
      <c r="BG65" s="260">
        <f t="shared" si="12"/>
        <v>7.0000000000000062E-2</v>
      </c>
      <c r="BH65" s="260">
        <f t="shared" si="12"/>
        <v>0.77570093457943923</v>
      </c>
      <c r="BI65" s="260">
        <f t="shared" si="12"/>
        <v>0.39518900343642605</v>
      </c>
      <c r="BJ65" s="260">
        <f t="shared" si="12"/>
        <v>4.8338368580060465E-2</v>
      </c>
      <c r="BK65" s="260">
        <f t="shared" si="12"/>
        <v>0.73831775700934577</v>
      </c>
      <c r="BL65" s="260">
        <f t="shared" si="12"/>
        <v>3.0000000000000027E-2</v>
      </c>
    </row>
    <row r="66" spans="2:64" x14ac:dyDescent="0.2">
      <c r="B66" s="93"/>
      <c r="C66" s="93" t="s">
        <v>621</v>
      </c>
      <c r="D66" s="260"/>
      <c r="E66" s="260">
        <f>+E62/D62-1</f>
        <v>2.1896551724137931</v>
      </c>
      <c r="F66" s="260">
        <f t="shared" ref="F66:O66" si="13">+F62/E62-1</f>
        <v>0.94864864864864873</v>
      </c>
      <c r="G66" s="260">
        <f t="shared" si="13"/>
        <v>0.79889042995839121</v>
      </c>
      <c r="H66" s="260">
        <f t="shared" si="13"/>
        <v>0.33384734001542027</v>
      </c>
      <c r="I66" s="260">
        <f t="shared" si="13"/>
        <v>0.23988439306358389</v>
      </c>
      <c r="J66" s="260">
        <f t="shared" si="13"/>
        <v>0.18181818181818188</v>
      </c>
      <c r="K66" s="260">
        <f t="shared" si="13"/>
        <v>0.18856015779092705</v>
      </c>
      <c r="L66" s="260">
        <f>+L62/K62-1</f>
        <v>0.10421506803849989</v>
      </c>
      <c r="M66" s="260">
        <f t="shared" si="13"/>
        <v>0.12654042681094069</v>
      </c>
      <c r="N66" s="260">
        <f t="shared" si="13"/>
        <v>0.14834578441835644</v>
      </c>
      <c r="O66" s="260">
        <f t="shared" si="13"/>
        <v>9.5989776951672656E-2</v>
      </c>
      <c r="P66" s="93"/>
      <c r="Q66" s="252"/>
      <c r="R66" s="252"/>
      <c r="S66" s="252"/>
      <c r="T66" s="252"/>
      <c r="U66" s="260">
        <f>U62/Q62-1</f>
        <v>1.3333333333333335</v>
      </c>
      <c r="V66" s="260">
        <f t="shared" ref="V66:AE66" si="14">V62/R62-1</f>
        <v>2.5</v>
      </c>
      <c r="W66" s="260">
        <f t="shared" si="14"/>
        <v>2.3703703703703702</v>
      </c>
      <c r="X66" s="260">
        <f t="shared" si="14"/>
        <v>2.3902439024390243</v>
      </c>
      <c r="Y66" s="260">
        <f t="shared" si="14"/>
        <v>1.7551020408163267</v>
      </c>
      <c r="Z66" s="260">
        <f t="shared" si="14"/>
        <v>0.87912087912087911</v>
      </c>
      <c r="AA66" s="260">
        <f t="shared" si="14"/>
        <v>1.2967032967032965</v>
      </c>
      <c r="AB66" s="260">
        <f t="shared" si="14"/>
        <v>0.51079136690647475</v>
      </c>
      <c r="AC66" s="260">
        <f t="shared" si="14"/>
        <v>0.81481481481481488</v>
      </c>
      <c r="AD66" s="260">
        <f t="shared" si="14"/>
        <v>0.9415204678362572</v>
      </c>
      <c r="AE66" s="260">
        <f t="shared" si="14"/>
        <v>0.63157894736842102</v>
      </c>
      <c r="AF66" s="260">
        <f t="shared" ref="AF66:AO66" si="15">AF62/AB62-1</f>
        <v>0.80476190476190479</v>
      </c>
      <c r="AG66" s="260">
        <f t="shared" si="15"/>
        <v>0.66938775510204085</v>
      </c>
      <c r="AH66" s="260">
        <f t="shared" si="15"/>
        <v>0.26807228915662651</v>
      </c>
      <c r="AI66" s="260">
        <f t="shared" si="15"/>
        <v>0.30205278592375362</v>
      </c>
      <c r="AJ66" s="260">
        <f t="shared" si="15"/>
        <v>0.20316622691292885</v>
      </c>
      <c r="AK66" s="260">
        <f t="shared" si="15"/>
        <v>0.13447432762836176</v>
      </c>
      <c r="AL66" s="260">
        <f t="shared" si="15"/>
        <v>0.28028503562945373</v>
      </c>
      <c r="AM66" s="260">
        <f t="shared" si="15"/>
        <v>0.22747747747747749</v>
      </c>
      <c r="AN66" s="260">
        <f t="shared" si="15"/>
        <v>0.31140350877192979</v>
      </c>
      <c r="AO66" s="260">
        <f t="shared" si="15"/>
        <v>0.24353448275862077</v>
      </c>
      <c r="AP66" s="260">
        <f t="shared" ref="AP66:AX66" si="16">AP62/AL62-1</f>
        <v>0.19109461966604813</v>
      </c>
      <c r="AQ66" s="260">
        <f t="shared" si="16"/>
        <v>0.14495412844036704</v>
      </c>
      <c r="AR66" s="260">
        <f t="shared" si="16"/>
        <v>0.15719063545150491</v>
      </c>
      <c r="AS66" s="260">
        <f t="shared" si="16"/>
        <v>0.18024263431542464</v>
      </c>
      <c r="AT66" s="260">
        <f t="shared" si="16"/>
        <v>0.21028037383177578</v>
      </c>
      <c r="AU66" s="260">
        <f t="shared" si="16"/>
        <v>0.24358974358974361</v>
      </c>
      <c r="AV66" s="260">
        <f t="shared" si="16"/>
        <v>0.12716763005780352</v>
      </c>
      <c r="AW66" s="260">
        <f t="shared" si="16"/>
        <v>7.3421439060205484E-2</v>
      </c>
      <c r="AX66" s="260">
        <f t="shared" si="16"/>
        <v>0.11840411840411846</v>
      </c>
      <c r="AY66" s="260">
        <f t="shared" ref="AY66:BE66" si="17">AY62/AU62-1</f>
        <v>5.5412371134020644E-2</v>
      </c>
      <c r="AZ66" s="260">
        <f>AZ62/AV62-1</f>
        <v>0.16410256410256419</v>
      </c>
      <c r="BA66" s="260">
        <f t="shared" si="17"/>
        <v>0.36525307797537621</v>
      </c>
      <c r="BB66" s="260">
        <f t="shared" si="17"/>
        <v>1.9562715765247374E-2</v>
      </c>
      <c r="BC66" s="260">
        <f t="shared" si="17"/>
        <v>0.19413919413919412</v>
      </c>
      <c r="BD66" s="260">
        <f t="shared" si="17"/>
        <v>-2.4229074889867808E-2</v>
      </c>
      <c r="BE66" s="260">
        <f t="shared" si="17"/>
        <v>3.0060120240480881E-2</v>
      </c>
      <c r="BF66" s="260">
        <f t="shared" ref="BF66:BL66" si="18">BF62/BB62-1</f>
        <v>0.24379232505643333</v>
      </c>
      <c r="BG66" s="260">
        <f t="shared" si="18"/>
        <v>5.9304703476482645E-2</v>
      </c>
      <c r="BH66" s="260">
        <f t="shared" si="18"/>
        <v>0.28442437923250563</v>
      </c>
      <c r="BI66" s="260">
        <f t="shared" si="18"/>
        <v>0.15369649805447461</v>
      </c>
      <c r="BJ66" s="260">
        <f t="shared" si="18"/>
        <v>2.5408348457350183E-2</v>
      </c>
      <c r="BK66" s="260">
        <f t="shared" si="18"/>
        <v>0.18629343629343631</v>
      </c>
      <c r="BL66" s="260">
        <f t="shared" si="18"/>
        <v>2.9999999999999805E-2</v>
      </c>
    </row>
    <row r="67" spans="2:64" x14ac:dyDescent="0.2">
      <c r="B67" s="93"/>
      <c r="C67" s="93"/>
      <c r="D67" s="252"/>
      <c r="E67" s="252"/>
      <c r="F67" s="252"/>
      <c r="G67" s="252"/>
      <c r="H67" s="252"/>
      <c r="I67" s="252"/>
      <c r="J67" s="252"/>
      <c r="K67" s="252"/>
      <c r="L67" s="252"/>
      <c r="M67" s="252"/>
      <c r="N67" s="252"/>
      <c r="O67" s="252"/>
      <c r="P67" s="93"/>
      <c r="AR67" s="95"/>
      <c r="AS67" s="152"/>
      <c r="AT67" s="152"/>
      <c r="AU67" s="152"/>
      <c r="AV67" s="152"/>
      <c r="AW67" s="152"/>
      <c r="AX67" s="152"/>
      <c r="AY67" s="152"/>
      <c r="AZ67" s="152"/>
      <c r="BA67" s="152"/>
      <c r="BB67" s="152"/>
      <c r="BC67" s="152"/>
      <c r="BD67" s="152"/>
      <c r="BE67" s="152"/>
    </row>
    <row r="68" spans="2:64" x14ac:dyDescent="0.2">
      <c r="B68" s="93"/>
      <c r="C68" s="93" t="s">
        <v>180</v>
      </c>
      <c r="D68" s="252"/>
      <c r="E68" s="252"/>
      <c r="F68" s="252"/>
      <c r="G68" s="252"/>
      <c r="H68" s="252"/>
      <c r="I68" s="252"/>
      <c r="J68" s="252"/>
      <c r="K68" s="259">
        <v>1240</v>
      </c>
      <c r="L68" s="259">
        <v>1648</v>
      </c>
      <c r="M68" s="259">
        <v>2118</v>
      </c>
      <c r="N68" s="259">
        <f>M68*1.04</f>
        <v>2202.7200000000003</v>
      </c>
      <c r="O68" s="252"/>
      <c r="P68" s="93"/>
      <c r="AJ68" s="153">
        <f t="shared" ref="AJ68:AX68" si="19">AJ59/AJ62</f>
        <v>0.83552631578947367</v>
      </c>
      <c r="AK68" s="153">
        <f t="shared" si="19"/>
        <v>0.88577586206896552</v>
      </c>
      <c r="AL68" s="153">
        <f t="shared" si="19"/>
        <v>0.82931354359925791</v>
      </c>
      <c r="AM68" s="153">
        <f t="shared" si="19"/>
        <v>0.85504587155963307</v>
      </c>
      <c r="AN68" s="153">
        <f t="shared" si="19"/>
        <v>0.82441471571906355</v>
      </c>
      <c r="AO68" s="153">
        <f t="shared" si="19"/>
        <v>0.8682842287694974</v>
      </c>
      <c r="AP68" s="153">
        <f t="shared" si="19"/>
        <v>0.78816199376947038</v>
      </c>
      <c r="AQ68" s="153">
        <f t="shared" si="19"/>
        <v>0.83974358974358976</v>
      </c>
      <c r="AR68" s="153">
        <f t="shared" si="19"/>
        <v>0.77312138728323698</v>
      </c>
      <c r="AS68" s="153">
        <f t="shared" si="19"/>
        <v>0.83113069016152719</v>
      </c>
      <c r="AT68" s="153">
        <f t="shared" si="19"/>
        <v>0.76576576576576572</v>
      </c>
      <c r="AU68" s="153">
        <f t="shared" si="19"/>
        <v>0.77577319587628868</v>
      </c>
      <c r="AV68" s="153">
        <f t="shared" si="19"/>
        <v>0.75897435897435894</v>
      </c>
      <c r="AW68" s="153">
        <f t="shared" si="19"/>
        <v>0.82079343365253077</v>
      </c>
      <c r="AX68" s="153">
        <f t="shared" si="19"/>
        <v>0.71921749136939006</v>
      </c>
      <c r="AY68" s="153">
        <f t="shared" ref="AY68:BJ68" si="20">AY59/AY62</f>
        <v>0.79120879120879117</v>
      </c>
      <c r="AZ68" s="153">
        <f t="shared" si="20"/>
        <v>0.72797356828193838</v>
      </c>
      <c r="BA68" s="153">
        <f t="shared" si="20"/>
        <v>0.67735470941883769</v>
      </c>
      <c r="BB68" s="153">
        <f t="shared" si="20"/>
        <v>0.77200902934537241</v>
      </c>
      <c r="BC68" s="153">
        <f t="shared" si="20"/>
        <v>0.79550102249488752</v>
      </c>
      <c r="BD68" s="153">
        <f t="shared" si="20"/>
        <v>0.75846501128668176</v>
      </c>
      <c r="BE68" s="153">
        <f t="shared" si="20"/>
        <v>0.71692607003891051</v>
      </c>
      <c r="BF68" s="153">
        <f t="shared" si="20"/>
        <v>0.69963702359346647</v>
      </c>
      <c r="BG68" s="153">
        <f t="shared" si="20"/>
        <v>0.79343629343629341</v>
      </c>
      <c r="BH68" s="153">
        <f t="shared" si="20"/>
        <v>0.66608084358523723</v>
      </c>
      <c r="BI68" s="153">
        <f t="shared" si="20"/>
        <v>0.65767284991568298</v>
      </c>
      <c r="BJ68" s="153">
        <f t="shared" si="20"/>
        <v>0.6929203539823009</v>
      </c>
      <c r="BK68" s="153">
        <f>BK59/BK62</f>
        <v>0.69731489015459724</v>
      </c>
      <c r="BL68" s="153">
        <f>BL59/BL62</f>
        <v>0.66608084358523734</v>
      </c>
    </row>
    <row r="69" spans="2:64" x14ac:dyDescent="0.2">
      <c r="B69" s="93"/>
      <c r="C69" s="93"/>
      <c r="D69" s="252"/>
      <c r="E69" s="252"/>
      <c r="F69" s="252"/>
      <c r="G69" s="252"/>
      <c r="H69" s="252"/>
      <c r="I69" s="252"/>
      <c r="J69" s="252"/>
      <c r="K69" s="252"/>
      <c r="L69" s="252"/>
      <c r="M69" s="252"/>
      <c r="N69" s="252"/>
      <c r="O69" s="252"/>
      <c r="P69" s="93"/>
      <c r="AR69" s="95"/>
      <c r="AS69" s="95"/>
      <c r="AT69" s="95"/>
      <c r="AU69" s="95"/>
      <c r="AV69" s="95"/>
    </row>
    <row r="70" spans="2:64" x14ac:dyDescent="0.2">
      <c r="C70" s="93" t="s">
        <v>221</v>
      </c>
      <c r="D70" s="252"/>
      <c r="E70" s="252"/>
      <c r="F70" s="252"/>
      <c r="G70" s="252"/>
      <c r="H70" s="252"/>
      <c r="I70" s="252"/>
      <c r="J70" s="252"/>
      <c r="K70" s="259">
        <f>K68+K62</f>
        <v>4253</v>
      </c>
      <c r="L70" s="259">
        <f>L68+L62</f>
        <v>4975</v>
      </c>
      <c r="M70" s="259">
        <f>M68+M62</f>
        <v>5866</v>
      </c>
      <c r="N70" s="259">
        <f>N68+N62</f>
        <v>6506.72</v>
      </c>
      <c r="O70" s="252"/>
    </row>
    <row r="71" spans="2:64" x14ac:dyDescent="0.2">
      <c r="C71" s="93" t="s">
        <v>455</v>
      </c>
      <c r="D71" s="252"/>
      <c r="E71" s="252"/>
      <c r="F71" s="252"/>
      <c r="G71" s="252"/>
      <c r="H71" s="252"/>
      <c r="I71" s="252"/>
      <c r="J71" s="252"/>
      <c r="K71" s="259">
        <v>4331</v>
      </c>
      <c r="L71" s="259">
        <v>5275</v>
      </c>
      <c r="M71" s="259">
        <v>6276</v>
      </c>
      <c r="N71" s="259">
        <f>M71*1.05</f>
        <v>6589.8</v>
      </c>
      <c r="O71" s="252"/>
    </row>
    <row r="72" spans="2:64" x14ac:dyDescent="0.2">
      <c r="C72" s="93" t="s">
        <v>456</v>
      </c>
      <c r="D72" s="252"/>
      <c r="E72" s="252"/>
      <c r="F72" s="252"/>
      <c r="G72" s="252"/>
      <c r="H72" s="252"/>
      <c r="I72" s="252"/>
      <c r="J72" s="252"/>
      <c r="K72" s="259">
        <v>2044</v>
      </c>
      <c r="L72" s="259">
        <v>3063</v>
      </c>
      <c r="M72" s="259">
        <v>4345</v>
      </c>
      <c r="N72" s="259">
        <f>M72*1.05</f>
        <v>4562.25</v>
      </c>
      <c r="O72" s="252"/>
    </row>
    <row r="73" spans="2:64" x14ac:dyDescent="0.2">
      <c r="C73" s="9" t="s">
        <v>363</v>
      </c>
      <c r="D73" s="263"/>
      <c r="E73" s="263"/>
      <c r="F73" s="263"/>
      <c r="G73" s="263"/>
      <c r="H73" s="263"/>
      <c r="I73" s="263"/>
      <c r="J73" s="263"/>
      <c r="K73" s="262">
        <f>SUM(K70:K72)</f>
        <v>10628</v>
      </c>
      <c r="L73" s="262">
        <f>SUM(L70:L72)</f>
        <v>13313</v>
      </c>
      <c r="M73" s="262">
        <f>SUM(M70:M72)</f>
        <v>16487</v>
      </c>
      <c r="N73" s="262">
        <f>SUM(N70:N72)</f>
        <v>17658.77</v>
      </c>
      <c r="O73" s="252"/>
    </row>
    <row r="74" spans="2:64" x14ac:dyDescent="0.2">
      <c r="D74" s="252"/>
      <c r="E74" s="252"/>
      <c r="F74" s="252"/>
      <c r="G74" s="252"/>
      <c r="H74" s="252"/>
      <c r="I74" s="252"/>
      <c r="J74" s="252"/>
      <c r="K74" s="252"/>
      <c r="L74" s="260">
        <f>L73/K73-1</f>
        <v>0.25263455024463677</v>
      </c>
      <c r="M74" s="260">
        <f>M73/L73-1</f>
        <v>0.23841358071058361</v>
      </c>
      <c r="N74" s="260">
        <f>N73/M73-1</f>
        <v>7.107236004124462E-2</v>
      </c>
      <c r="O74" s="252"/>
    </row>
    <row r="75" spans="2:64" x14ac:dyDescent="0.2">
      <c r="D75" s="252"/>
      <c r="E75" s="252"/>
      <c r="F75" s="252"/>
      <c r="G75" s="252"/>
      <c r="H75" s="252"/>
      <c r="I75" s="252"/>
      <c r="J75" s="252"/>
      <c r="K75" s="252"/>
      <c r="L75" s="260"/>
      <c r="M75" s="260"/>
      <c r="N75" s="260"/>
      <c r="O75" s="252"/>
    </row>
    <row r="76" spans="2:64" x14ac:dyDescent="0.2">
      <c r="C76" s="4" t="s">
        <v>1467</v>
      </c>
      <c r="D76" s="260">
        <f t="shared" ref="D76:M76" si="21">D59/D62</f>
        <v>0.83620689655172409</v>
      </c>
      <c r="E76" s="260">
        <f t="shared" si="21"/>
        <v>0.82162162162162167</v>
      </c>
      <c r="F76" s="260">
        <f t="shared" si="21"/>
        <v>0.95284327323162277</v>
      </c>
      <c r="G76" s="260">
        <f t="shared" si="21"/>
        <v>0.90208172706245182</v>
      </c>
      <c r="H76" s="260">
        <f t="shared" si="21"/>
        <v>0.8566473988439306</v>
      </c>
      <c r="I76" s="260">
        <f t="shared" si="21"/>
        <v>0.84662004662004664</v>
      </c>
      <c r="J76" s="260">
        <f t="shared" si="21"/>
        <v>0.81459566074950696</v>
      </c>
      <c r="K76" s="260">
        <f t="shared" si="21"/>
        <v>0.78161301028874874</v>
      </c>
      <c r="L76" s="260">
        <f t="shared" si="21"/>
        <v>0.76164712954613767</v>
      </c>
      <c r="M76" s="260">
        <f t="shared" si="21"/>
        <v>0.74973319103521874</v>
      </c>
      <c r="N76" s="260">
        <f>N59/N62</f>
        <v>0.71747211895910779</v>
      </c>
      <c r="O76" s="260">
        <f>O59/O62</f>
        <v>0.67853402697397158</v>
      </c>
    </row>
  </sheetData>
  <mergeCells count="2">
    <mergeCell ref="P30:T30"/>
    <mergeCell ref="F30:N30"/>
  </mergeCells>
  <phoneticPr fontId="11" type="noConversion"/>
  <hyperlinks>
    <hyperlink ref="A1" location="Main!A1" display="Main" xr:uid="{00000000-0004-0000-0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B2E12-0EFE-4A73-9BE2-67FFB8703F29}">
  <dimension ref="A1:C19"/>
  <sheetViews>
    <sheetView zoomScale="160" zoomScaleNormal="160" workbookViewId="0"/>
  </sheetViews>
  <sheetFormatPr defaultColWidth="8.85546875" defaultRowHeight="12.75" x14ac:dyDescent="0.2"/>
  <cols>
    <col min="1" max="1" width="5" bestFit="1" customWidth="1"/>
    <col min="2" max="2" width="12" bestFit="1" customWidth="1"/>
  </cols>
  <sheetData>
    <row r="1" spans="1:3" x14ac:dyDescent="0.2">
      <c r="A1" s="116" t="s">
        <v>154</v>
      </c>
    </row>
    <row r="2" spans="1:3" x14ac:dyDescent="0.2">
      <c r="B2" t="s">
        <v>1693</v>
      </c>
      <c r="C2" t="s">
        <v>1837</v>
      </c>
    </row>
    <row r="3" spans="1:3" x14ac:dyDescent="0.2">
      <c r="B3" t="s">
        <v>1274</v>
      </c>
      <c r="C3" t="s">
        <v>1585</v>
      </c>
    </row>
    <row r="4" spans="1:3" x14ac:dyDescent="0.2">
      <c r="B4" t="s">
        <v>159</v>
      </c>
      <c r="C4" t="s">
        <v>1838</v>
      </c>
    </row>
    <row r="5" spans="1:3" x14ac:dyDescent="0.2">
      <c r="B5" t="s">
        <v>1694</v>
      </c>
      <c r="C5" t="s">
        <v>1839</v>
      </c>
    </row>
    <row r="6" spans="1:3" x14ac:dyDescent="0.2">
      <c r="B6" t="s">
        <v>163</v>
      </c>
    </row>
    <row r="7" spans="1:3" x14ac:dyDescent="0.2">
      <c r="B7" t="s">
        <v>773</v>
      </c>
    </row>
    <row r="8" spans="1:3" x14ac:dyDescent="0.2">
      <c r="C8" s="184" t="s">
        <v>1840</v>
      </c>
    </row>
    <row r="9" spans="1:3" x14ac:dyDescent="0.2">
      <c r="C9" t="s">
        <v>1841</v>
      </c>
    </row>
    <row r="12" spans="1:3" x14ac:dyDescent="0.2">
      <c r="C12" s="184" t="s">
        <v>1872</v>
      </c>
    </row>
    <row r="13" spans="1:3" x14ac:dyDescent="0.2">
      <c r="C13" t="s">
        <v>1873</v>
      </c>
    </row>
    <row r="15" spans="1:3" x14ac:dyDescent="0.2">
      <c r="C15" s="184" t="s">
        <v>1875</v>
      </c>
    </row>
    <row r="16" spans="1:3" x14ac:dyDescent="0.2">
      <c r="C16" t="s">
        <v>1874</v>
      </c>
    </row>
    <row r="19" spans="3:3" x14ac:dyDescent="0.2">
      <c r="C19" s="184" t="s">
        <v>2015</v>
      </c>
    </row>
  </sheetData>
  <hyperlinks>
    <hyperlink ref="A1" location="Main!A1" display="Main" xr:uid="{6D319CA1-BAC1-4192-9D7B-5FDDBE2B53D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26DF-B819-476E-B235-B3DFFA4BCFE2}">
  <dimension ref="A1:C28"/>
  <sheetViews>
    <sheetView zoomScale="121" workbookViewId="0"/>
  </sheetViews>
  <sheetFormatPr defaultColWidth="8.85546875" defaultRowHeight="12.75" x14ac:dyDescent="0.2"/>
  <cols>
    <col min="1" max="1" width="5" bestFit="1" customWidth="1"/>
    <col min="2" max="2" width="12" bestFit="1" customWidth="1"/>
  </cols>
  <sheetData>
    <row r="1" spans="1:3" x14ac:dyDescent="0.2">
      <c r="A1" s="116" t="s">
        <v>154</v>
      </c>
    </row>
    <row r="2" spans="1:3" x14ac:dyDescent="0.2">
      <c r="B2" t="s">
        <v>1693</v>
      </c>
      <c r="C2" t="s">
        <v>2047</v>
      </c>
    </row>
    <row r="3" spans="1:3" x14ac:dyDescent="0.2">
      <c r="B3" t="s">
        <v>1274</v>
      </c>
      <c r="C3" t="s">
        <v>1537</v>
      </c>
    </row>
    <row r="4" spans="1:3" x14ac:dyDescent="0.2">
      <c r="B4" t="s">
        <v>159</v>
      </c>
      <c r="C4" t="s">
        <v>1835</v>
      </c>
    </row>
    <row r="5" spans="1:3" x14ac:dyDescent="0.2">
      <c r="B5" t="s">
        <v>1694</v>
      </c>
      <c r="C5" t="s">
        <v>1787</v>
      </c>
    </row>
    <row r="6" spans="1:3" x14ac:dyDescent="0.2">
      <c r="B6" t="s">
        <v>768</v>
      </c>
      <c r="C6" t="s">
        <v>1834</v>
      </c>
    </row>
    <row r="7" spans="1:3" x14ac:dyDescent="0.2">
      <c r="B7" t="s">
        <v>163</v>
      </c>
    </row>
    <row r="8" spans="1:3" x14ac:dyDescent="0.2">
      <c r="B8" t="s">
        <v>773</v>
      </c>
    </row>
    <row r="9" spans="1:3" x14ac:dyDescent="0.2">
      <c r="C9" s="184" t="s">
        <v>1833</v>
      </c>
    </row>
    <row r="10" spans="1:3" x14ac:dyDescent="0.2">
      <c r="C10" t="s">
        <v>1830</v>
      </c>
    </row>
    <row r="11" spans="1:3" x14ac:dyDescent="0.2">
      <c r="C11" t="s">
        <v>1832</v>
      </c>
    </row>
    <row r="12" spans="1:3" x14ac:dyDescent="0.2">
      <c r="C12" t="s">
        <v>1831</v>
      </c>
    </row>
    <row r="15" spans="1:3" x14ac:dyDescent="0.2">
      <c r="C15" s="184" t="s">
        <v>2054</v>
      </c>
    </row>
    <row r="16" spans="1:3" x14ac:dyDescent="0.2">
      <c r="C16" t="s">
        <v>2048</v>
      </c>
    </row>
    <row r="17" spans="3:3" x14ac:dyDescent="0.2">
      <c r="C17" t="s">
        <v>2049</v>
      </c>
    </row>
    <row r="18" spans="3:3" x14ac:dyDescent="0.2">
      <c r="C18" t="s">
        <v>2050</v>
      </c>
    </row>
    <row r="20" spans="3:3" x14ac:dyDescent="0.2">
      <c r="C20" s="184" t="s">
        <v>2052</v>
      </c>
    </row>
    <row r="24" spans="3:3" x14ac:dyDescent="0.2">
      <c r="C24" s="184" t="s">
        <v>2053</v>
      </c>
    </row>
    <row r="25" spans="3:3" x14ac:dyDescent="0.2">
      <c r="C25" t="s">
        <v>2051</v>
      </c>
    </row>
    <row r="28" spans="3:3" x14ac:dyDescent="0.2">
      <c r="C28" s="184" t="s">
        <v>2086</v>
      </c>
    </row>
  </sheetData>
  <hyperlinks>
    <hyperlink ref="A1" location="Main!A1" display="Main" xr:uid="{F027593A-3CFD-47B2-BBC7-C51CB2A1BFD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A241F-1E1C-421F-8F45-6EA6577B12D0}">
  <dimension ref="A1:C28"/>
  <sheetViews>
    <sheetView zoomScale="190" zoomScaleNormal="190" workbookViewId="0"/>
  </sheetViews>
  <sheetFormatPr defaultRowHeight="12.75" x14ac:dyDescent="0.2"/>
  <cols>
    <col min="1" max="1" width="5" bestFit="1" customWidth="1"/>
    <col min="2" max="2" width="13" customWidth="1"/>
  </cols>
  <sheetData>
    <row r="1" spans="1:3" x14ac:dyDescent="0.2">
      <c r="A1" s="116" t="s">
        <v>154</v>
      </c>
    </row>
    <row r="2" spans="1:3" x14ac:dyDescent="0.2">
      <c r="B2" t="s">
        <v>1693</v>
      </c>
      <c r="C2" t="s">
        <v>1896</v>
      </c>
    </row>
    <row r="3" spans="1:3" x14ac:dyDescent="0.2">
      <c r="B3" t="s">
        <v>1274</v>
      </c>
      <c r="C3" t="s">
        <v>2038</v>
      </c>
    </row>
    <row r="4" spans="1:3" x14ac:dyDescent="0.2">
      <c r="B4" t="s">
        <v>159</v>
      </c>
      <c r="C4" t="s">
        <v>2023</v>
      </c>
    </row>
    <row r="5" spans="1:3" x14ac:dyDescent="0.2">
      <c r="C5" t="s">
        <v>2024</v>
      </c>
    </row>
    <row r="6" spans="1:3" x14ac:dyDescent="0.2">
      <c r="B6" t="s">
        <v>165</v>
      </c>
      <c r="C6" t="s">
        <v>2025</v>
      </c>
    </row>
    <row r="7" spans="1:3" x14ac:dyDescent="0.2">
      <c r="B7" t="s">
        <v>1694</v>
      </c>
      <c r="C7" t="s">
        <v>1903</v>
      </c>
    </row>
    <row r="8" spans="1:3" x14ac:dyDescent="0.2">
      <c r="B8" t="s">
        <v>902</v>
      </c>
      <c r="C8" t="s">
        <v>2099</v>
      </c>
    </row>
    <row r="9" spans="1:3" x14ac:dyDescent="0.2">
      <c r="B9" t="s">
        <v>495</v>
      </c>
      <c r="C9" t="s">
        <v>2026</v>
      </c>
    </row>
    <row r="10" spans="1:3" x14ac:dyDescent="0.2">
      <c r="B10" t="s">
        <v>768</v>
      </c>
      <c r="C10" t="s">
        <v>2027</v>
      </c>
    </row>
    <row r="11" spans="1:3" x14ac:dyDescent="0.2">
      <c r="B11" t="s">
        <v>1107</v>
      </c>
      <c r="C11" t="s">
        <v>2028</v>
      </c>
    </row>
    <row r="12" spans="1:3" x14ac:dyDescent="0.2">
      <c r="B12" t="s">
        <v>773</v>
      </c>
    </row>
    <row r="14" spans="1:3" x14ac:dyDescent="0.2">
      <c r="C14" t="s">
        <v>2029</v>
      </c>
    </row>
    <row r="15" spans="1:3" x14ac:dyDescent="0.2">
      <c r="C15" t="s">
        <v>2030</v>
      </c>
    </row>
    <row r="16" spans="1:3" x14ac:dyDescent="0.2">
      <c r="C16" t="s">
        <v>2031</v>
      </c>
    </row>
    <row r="18" spans="3:3" x14ac:dyDescent="0.2">
      <c r="C18" s="347" t="s">
        <v>2039</v>
      </c>
    </row>
    <row r="19" spans="3:3" x14ac:dyDescent="0.2">
      <c r="C19" t="s">
        <v>2032</v>
      </c>
    </row>
    <row r="20" spans="3:3" x14ac:dyDescent="0.2">
      <c r="C20" t="s">
        <v>2033</v>
      </c>
    </row>
    <row r="21" spans="3:3" x14ac:dyDescent="0.2">
      <c r="C21" t="s">
        <v>2034</v>
      </c>
    </row>
    <row r="22" spans="3:3" x14ac:dyDescent="0.2">
      <c r="C22" t="s">
        <v>2040</v>
      </c>
    </row>
    <row r="24" spans="3:3" x14ac:dyDescent="0.2">
      <c r="C24" s="347" t="s">
        <v>2035</v>
      </c>
    </row>
    <row r="26" spans="3:3" x14ac:dyDescent="0.2">
      <c r="C26" s="347" t="s">
        <v>2036</v>
      </c>
    </row>
    <row r="28" spans="3:3" x14ac:dyDescent="0.2">
      <c r="C28" s="347" t="s">
        <v>2037</v>
      </c>
    </row>
  </sheetData>
  <hyperlinks>
    <hyperlink ref="A1" location="Main!A1" display="Main" xr:uid="{32A55791-CC89-4C24-AE37-F5D1D37B4F41}"/>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A0F06-7B18-4094-B280-877EC39853F1}">
  <dimension ref="A1:C24"/>
  <sheetViews>
    <sheetView zoomScale="205" zoomScaleNormal="205" workbookViewId="0"/>
  </sheetViews>
  <sheetFormatPr defaultRowHeight="12.75" x14ac:dyDescent="0.2"/>
  <cols>
    <col min="1" max="1" width="5" bestFit="1" customWidth="1"/>
    <col min="2" max="2" width="12.140625" bestFit="1" customWidth="1"/>
  </cols>
  <sheetData>
    <row r="1" spans="1:3" x14ac:dyDescent="0.2">
      <c r="A1" s="116" t="s">
        <v>154</v>
      </c>
    </row>
    <row r="2" spans="1:3" x14ac:dyDescent="0.2">
      <c r="B2" t="s">
        <v>1693</v>
      </c>
      <c r="C2" t="s">
        <v>2093</v>
      </c>
    </row>
    <row r="3" spans="1:3" x14ac:dyDescent="0.2">
      <c r="B3" t="s">
        <v>1274</v>
      </c>
      <c r="C3" t="s">
        <v>2087</v>
      </c>
    </row>
    <row r="4" spans="1:3" x14ac:dyDescent="0.2">
      <c r="B4" t="s">
        <v>159</v>
      </c>
      <c r="C4" t="s">
        <v>194</v>
      </c>
    </row>
    <row r="5" spans="1:3" x14ac:dyDescent="0.2">
      <c r="B5" t="s">
        <v>902</v>
      </c>
      <c r="C5" t="s">
        <v>2088</v>
      </c>
    </row>
    <row r="6" spans="1:3" x14ac:dyDescent="0.2">
      <c r="B6" t="s">
        <v>489</v>
      </c>
      <c r="C6" t="s">
        <v>2089</v>
      </c>
    </row>
    <row r="7" spans="1:3" x14ac:dyDescent="0.2">
      <c r="B7" t="s">
        <v>773</v>
      </c>
    </row>
    <row r="8" spans="1:3" x14ac:dyDescent="0.2">
      <c r="C8" s="184" t="s">
        <v>2091</v>
      </c>
    </row>
    <row r="9" spans="1:3" x14ac:dyDescent="0.2">
      <c r="C9" t="s">
        <v>2090</v>
      </c>
    </row>
    <row r="10" spans="1:3" x14ac:dyDescent="0.2">
      <c r="C10" t="s">
        <v>2092</v>
      </c>
    </row>
    <row r="13" spans="1:3" x14ac:dyDescent="0.2">
      <c r="C13" s="184" t="s">
        <v>2094</v>
      </c>
    </row>
    <row r="17" spans="3:3" x14ac:dyDescent="0.2">
      <c r="C17" s="184" t="s">
        <v>2095</v>
      </c>
    </row>
    <row r="19" spans="3:3" x14ac:dyDescent="0.2">
      <c r="C19" s="184" t="s">
        <v>2096</v>
      </c>
    </row>
    <row r="21" spans="3:3" x14ac:dyDescent="0.2">
      <c r="C21" s="184" t="s">
        <v>2097</v>
      </c>
    </row>
    <row r="24" spans="3:3" x14ac:dyDescent="0.2">
      <c r="C24" s="184" t="s">
        <v>2098</v>
      </c>
    </row>
  </sheetData>
  <hyperlinks>
    <hyperlink ref="A1" location="Main!A1" display="Main" xr:uid="{63FDE6CD-26E1-4844-8A5E-542AFD7CE4E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E7D59-69C8-4C7B-A1C9-466A4B12D70B}">
  <dimension ref="A1:D50"/>
  <sheetViews>
    <sheetView zoomScale="190" zoomScaleNormal="190" workbookViewId="0"/>
  </sheetViews>
  <sheetFormatPr defaultRowHeight="12.75" x14ac:dyDescent="0.2"/>
  <cols>
    <col min="1" max="1" width="5" bestFit="1" customWidth="1"/>
    <col min="2" max="2" width="13.140625" bestFit="1" customWidth="1"/>
  </cols>
  <sheetData>
    <row r="1" spans="1:3" x14ac:dyDescent="0.2">
      <c r="A1" s="116" t="s">
        <v>154</v>
      </c>
    </row>
    <row r="2" spans="1:3" x14ac:dyDescent="0.2">
      <c r="B2" t="s">
        <v>1693</v>
      </c>
      <c r="C2" t="s">
        <v>1825</v>
      </c>
    </row>
    <row r="3" spans="1:3" x14ac:dyDescent="0.2">
      <c r="B3" t="s">
        <v>1274</v>
      </c>
      <c r="C3" t="s">
        <v>1574</v>
      </c>
    </row>
    <row r="4" spans="1:3" x14ac:dyDescent="0.2">
      <c r="B4" t="s">
        <v>159</v>
      </c>
      <c r="C4" t="s">
        <v>2073</v>
      </c>
    </row>
    <row r="5" spans="1:3" x14ac:dyDescent="0.2">
      <c r="B5" t="s">
        <v>902</v>
      </c>
      <c r="C5" t="s">
        <v>2063</v>
      </c>
    </row>
    <row r="6" spans="1:3" x14ac:dyDescent="0.2">
      <c r="C6" t="s">
        <v>2061</v>
      </c>
    </row>
    <row r="7" spans="1:3" x14ac:dyDescent="0.2">
      <c r="B7" t="s">
        <v>489</v>
      </c>
      <c r="C7" t="s">
        <v>2083</v>
      </c>
    </row>
    <row r="8" spans="1:3" x14ac:dyDescent="0.2">
      <c r="B8" t="s">
        <v>495</v>
      </c>
      <c r="C8" t="s">
        <v>2062</v>
      </c>
    </row>
    <row r="9" spans="1:3" x14ac:dyDescent="0.2">
      <c r="B9" t="s">
        <v>773</v>
      </c>
    </row>
    <row r="10" spans="1:3" x14ac:dyDescent="0.2">
      <c r="C10" s="184" t="s">
        <v>2064</v>
      </c>
    </row>
    <row r="11" spans="1:3" x14ac:dyDescent="0.2">
      <c r="C11" t="s">
        <v>2068</v>
      </c>
    </row>
    <row r="15" spans="1:3" x14ac:dyDescent="0.2">
      <c r="C15" s="184" t="s">
        <v>2065</v>
      </c>
    </row>
    <row r="16" spans="1:3" x14ac:dyDescent="0.2">
      <c r="C16" t="s">
        <v>2067</v>
      </c>
    </row>
    <row r="20" spans="3:4" x14ac:dyDescent="0.2">
      <c r="C20" s="184" t="s">
        <v>2066</v>
      </c>
    </row>
    <row r="21" spans="3:4" x14ac:dyDescent="0.2">
      <c r="C21" t="s">
        <v>2069</v>
      </c>
    </row>
    <row r="22" spans="3:4" x14ac:dyDescent="0.2">
      <c r="D22" t="s">
        <v>2070</v>
      </c>
    </row>
    <row r="25" spans="3:4" x14ac:dyDescent="0.2">
      <c r="C25" s="184" t="s">
        <v>2072</v>
      </c>
    </row>
    <row r="26" spans="3:4" x14ac:dyDescent="0.2">
      <c r="C26" t="s">
        <v>2071</v>
      </c>
    </row>
    <row r="29" spans="3:4" x14ac:dyDescent="0.2">
      <c r="C29" s="184" t="s">
        <v>2074</v>
      </c>
    </row>
    <row r="34" spans="3:3" x14ac:dyDescent="0.2">
      <c r="C34" s="184" t="s">
        <v>2075</v>
      </c>
    </row>
    <row r="37" spans="3:3" x14ac:dyDescent="0.2">
      <c r="C37" s="184" t="s">
        <v>2076</v>
      </c>
    </row>
    <row r="40" spans="3:3" x14ac:dyDescent="0.2">
      <c r="C40" s="184" t="s">
        <v>2077</v>
      </c>
    </row>
    <row r="44" spans="3:3" x14ac:dyDescent="0.2">
      <c r="C44" s="184" t="s">
        <v>2080</v>
      </c>
    </row>
    <row r="47" spans="3:3" x14ac:dyDescent="0.2">
      <c r="C47" s="184" t="s">
        <v>2081</v>
      </c>
    </row>
    <row r="50" spans="3:3" x14ac:dyDescent="0.2">
      <c r="C50" s="184" t="s">
        <v>2082</v>
      </c>
    </row>
  </sheetData>
  <hyperlinks>
    <hyperlink ref="A1" location="Main!A1" display="Main" xr:uid="{641D5914-30A0-4403-81C2-105537D3101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64"/>
  <sheetViews>
    <sheetView workbookViewId="0">
      <pane xSplit="2" ySplit="3" topLeftCell="C4" activePane="bottomRight" state="frozen"/>
      <selection pane="topRight" activeCell="C1" sqref="C1"/>
      <selection pane="bottomLeft" activeCell="A4" sqref="A4"/>
      <selection pane="bottomRight"/>
    </sheetView>
  </sheetViews>
  <sheetFormatPr defaultColWidth="9.140625" defaultRowHeight="12.75" x14ac:dyDescent="0.2"/>
  <cols>
    <col min="1" max="1" width="5" style="4" customWidth="1"/>
    <col min="2" max="2" width="14.42578125" style="4" customWidth="1"/>
    <col min="3" max="16384" width="9.140625" style="4"/>
  </cols>
  <sheetData>
    <row r="1" spans="1:3" x14ac:dyDescent="0.2">
      <c r="A1" s="5" t="s">
        <v>154</v>
      </c>
    </row>
    <row r="2" spans="1:3" x14ac:dyDescent="0.2">
      <c r="B2" s="4" t="s">
        <v>485</v>
      </c>
      <c r="C2" s="4" t="s">
        <v>1244</v>
      </c>
    </row>
    <row r="3" spans="1:3" x14ac:dyDescent="0.2">
      <c r="B3" s="4" t="s">
        <v>486</v>
      </c>
      <c r="C3" s="4" t="s">
        <v>1265</v>
      </c>
    </row>
    <row r="4" spans="1:3" x14ac:dyDescent="0.2">
      <c r="B4" s="4" t="s">
        <v>489</v>
      </c>
      <c r="C4" s="4" t="s">
        <v>1248</v>
      </c>
    </row>
    <row r="5" spans="1:3" x14ac:dyDescent="0.2">
      <c r="B5" s="4" t="s">
        <v>527</v>
      </c>
      <c r="C5" s="4" t="s">
        <v>1249</v>
      </c>
    </row>
    <row r="6" spans="1:3" x14ac:dyDescent="0.2">
      <c r="B6" s="4" t="s">
        <v>495</v>
      </c>
      <c r="C6" s="4" t="s">
        <v>170</v>
      </c>
    </row>
    <row r="7" spans="1:3" x14ac:dyDescent="0.2">
      <c r="B7" s="4" t="s">
        <v>768</v>
      </c>
      <c r="C7" s="4" t="s">
        <v>1407</v>
      </c>
    </row>
    <row r="8" spans="1:3" x14ac:dyDescent="0.2">
      <c r="B8" s="4" t="s">
        <v>159</v>
      </c>
      <c r="C8" s="4" t="s">
        <v>1076</v>
      </c>
    </row>
    <row r="9" spans="1:3" x14ac:dyDescent="0.2">
      <c r="C9" s="4" t="s">
        <v>1077</v>
      </c>
    </row>
    <row r="10" spans="1:3" x14ac:dyDescent="0.2">
      <c r="B10" s="4" t="s">
        <v>163</v>
      </c>
      <c r="C10" s="4" t="s">
        <v>899</v>
      </c>
    </row>
    <row r="11" spans="1:3" x14ac:dyDescent="0.2">
      <c r="B11" s="4" t="s">
        <v>165</v>
      </c>
      <c r="C11" s="4" t="s">
        <v>1269</v>
      </c>
    </row>
    <row r="12" spans="1:3" x14ac:dyDescent="0.2">
      <c r="C12" s="4" t="s">
        <v>1245</v>
      </c>
    </row>
    <row r="13" spans="1:3" x14ac:dyDescent="0.2">
      <c r="B13" s="4" t="s">
        <v>901</v>
      </c>
      <c r="C13" s="4" t="s">
        <v>1408</v>
      </c>
    </row>
    <row r="14" spans="1:3" x14ac:dyDescent="0.2">
      <c r="C14" s="4" t="s">
        <v>1496</v>
      </c>
    </row>
    <row r="15" spans="1:3" x14ac:dyDescent="0.2">
      <c r="C15" s="4" t="s">
        <v>1498</v>
      </c>
    </row>
    <row r="16" spans="1:3" x14ac:dyDescent="0.2">
      <c r="C16" s="4" t="s">
        <v>1497</v>
      </c>
    </row>
    <row r="17" spans="2:3" x14ac:dyDescent="0.2">
      <c r="B17" s="4" t="s">
        <v>106</v>
      </c>
      <c r="C17" s="4" t="s">
        <v>1243</v>
      </c>
    </row>
    <row r="18" spans="2:3" x14ac:dyDescent="0.2">
      <c r="C18" s="4" t="s">
        <v>1246</v>
      </c>
    </row>
    <row r="19" spans="2:3" x14ac:dyDescent="0.2">
      <c r="B19" s="4" t="s">
        <v>493</v>
      </c>
      <c r="C19" s="4" t="s">
        <v>1257</v>
      </c>
    </row>
    <row r="20" spans="2:3" x14ac:dyDescent="0.2">
      <c r="B20" s="4" t="s">
        <v>1258</v>
      </c>
      <c r="C20" s="4" t="s">
        <v>1259</v>
      </c>
    </row>
    <row r="21" spans="2:3" x14ac:dyDescent="0.2">
      <c r="B21" s="4" t="s">
        <v>773</v>
      </c>
    </row>
    <row r="22" spans="2:3" x14ac:dyDescent="0.2">
      <c r="C22" s="30" t="s">
        <v>1489</v>
      </c>
    </row>
    <row r="23" spans="2:3" x14ac:dyDescent="0.2">
      <c r="C23" s="4" t="s">
        <v>1490</v>
      </c>
    </row>
    <row r="25" spans="2:3" x14ac:dyDescent="0.2">
      <c r="C25" s="30" t="s">
        <v>1411</v>
      </c>
    </row>
    <row r="26" spans="2:3" x14ac:dyDescent="0.2">
      <c r="C26" s="4" t="s">
        <v>1412</v>
      </c>
    </row>
    <row r="27" spans="2:3" x14ac:dyDescent="0.2">
      <c r="C27" s="4" t="s">
        <v>1474</v>
      </c>
    </row>
    <row r="28" spans="2:3" x14ac:dyDescent="0.2">
      <c r="C28" s="4" t="s">
        <v>1475</v>
      </c>
    </row>
    <row r="29" spans="2:3" x14ac:dyDescent="0.2">
      <c r="C29" s="4" t="s">
        <v>1476</v>
      </c>
    </row>
    <row r="31" spans="2:3" x14ac:dyDescent="0.2">
      <c r="C31" s="30" t="s">
        <v>1414</v>
      </c>
    </row>
    <row r="32" spans="2:3" x14ac:dyDescent="0.2">
      <c r="C32" s="4" t="s">
        <v>1416</v>
      </c>
    </row>
    <row r="33" spans="1:3" x14ac:dyDescent="0.2">
      <c r="C33" s="4" t="s">
        <v>1415</v>
      </c>
    </row>
    <row r="35" spans="1:3" x14ac:dyDescent="0.2">
      <c r="C35" s="30" t="s">
        <v>1256</v>
      </c>
    </row>
    <row r="36" spans="1:3" x14ac:dyDescent="0.2">
      <c r="C36" s="4" t="s">
        <v>1078</v>
      </c>
    </row>
    <row r="37" spans="1:3" x14ac:dyDescent="0.2">
      <c r="C37" s="9" t="s">
        <v>1079</v>
      </c>
    </row>
    <row r="38" spans="1:3" x14ac:dyDescent="0.2">
      <c r="A38" s="15"/>
      <c r="C38" s="4" t="s">
        <v>1250</v>
      </c>
    </row>
    <row r="40" spans="1:3" x14ac:dyDescent="0.2">
      <c r="C40" s="30" t="s">
        <v>1252</v>
      </c>
    </row>
    <row r="41" spans="1:3" x14ac:dyDescent="0.2">
      <c r="C41" s="4" t="s">
        <v>1251</v>
      </c>
    </row>
    <row r="43" spans="1:3" x14ac:dyDescent="0.2">
      <c r="C43" s="30" t="s">
        <v>1253</v>
      </c>
    </row>
    <row r="44" spans="1:3" x14ac:dyDescent="0.2">
      <c r="C44" s="4" t="s">
        <v>1254</v>
      </c>
    </row>
    <row r="46" spans="1:3" x14ac:dyDescent="0.2">
      <c r="C46" s="30" t="s">
        <v>1255</v>
      </c>
    </row>
    <row r="47" spans="1:3" x14ac:dyDescent="0.2">
      <c r="C47" s="4" t="s">
        <v>897</v>
      </c>
    </row>
    <row r="48" spans="1:3" x14ac:dyDescent="0.2">
      <c r="C48" s="4" t="s">
        <v>898</v>
      </c>
    </row>
    <row r="50" spans="3:3" x14ac:dyDescent="0.2">
      <c r="C50" s="30" t="s">
        <v>1247</v>
      </c>
    </row>
    <row r="52" spans="3:3" x14ac:dyDescent="0.2">
      <c r="C52" s="30" t="s">
        <v>1260</v>
      </c>
    </row>
    <row r="54" spans="3:3" x14ac:dyDescent="0.2">
      <c r="C54" s="30" t="s">
        <v>1261</v>
      </c>
    </row>
    <row r="56" spans="3:3" x14ac:dyDescent="0.2">
      <c r="C56" s="30" t="s">
        <v>1262</v>
      </c>
    </row>
    <row r="58" spans="3:3" x14ac:dyDescent="0.2">
      <c r="C58" s="30" t="s">
        <v>1266</v>
      </c>
    </row>
    <row r="60" spans="3:3" x14ac:dyDescent="0.2">
      <c r="C60" s="30" t="s">
        <v>1264</v>
      </c>
    </row>
    <row r="61" spans="3:3" x14ac:dyDescent="0.2">
      <c r="C61" s="4" t="s">
        <v>1263</v>
      </c>
    </row>
    <row r="64" spans="3:3" x14ac:dyDescent="0.2">
      <c r="C64" s="30" t="s">
        <v>1267</v>
      </c>
    </row>
  </sheetData>
  <phoneticPr fontId="11" type="noConversion"/>
  <hyperlinks>
    <hyperlink ref="A1" location="Main!A1" display="Main" xr:uid="{00000000-0004-0000-1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E2B14-D537-4764-8385-5766666854BE}">
  <dimension ref="A1:C17"/>
  <sheetViews>
    <sheetView zoomScale="190" zoomScaleNormal="190" workbookViewId="0"/>
  </sheetViews>
  <sheetFormatPr defaultColWidth="8.85546875" defaultRowHeight="12.75" x14ac:dyDescent="0.2"/>
  <cols>
    <col min="1" max="1" width="5" bestFit="1" customWidth="1"/>
    <col min="2" max="2" width="12.28515625" bestFit="1" customWidth="1"/>
    <col min="3" max="3" width="10.42578125" bestFit="1" customWidth="1"/>
  </cols>
  <sheetData>
    <row r="1" spans="1:3" x14ac:dyDescent="0.2">
      <c r="A1" s="116" t="s">
        <v>154</v>
      </c>
    </row>
    <row r="2" spans="1:3" x14ac:dyDescent="0.2">
      <c r="B2" t="s">
        <v>1693</v>
      </c>
      <c r="C2" t="s">
        <v>1860</v>
      </c>
    </row>
    <row r="3" spans="1:3" x14ac:dyDescent="0.2">
      <c r="B3" t="s">
        <v>1274</v>
      </c>
      <c r="C3" t="s">
        <v>1854</v>
      </c>
    </row>
    <row r="4" spans="1:3" x14ac:dyDescent="0.2">
      <c r="B4" t="s">
        <v>159</v>
      </c>
      <c r="C4" t="s">
        <v>194</v>
      </c>
    </row>
    <row r="5" spans="1:3" x14ac:dyDescent="0.2">
      <c r="B5" t="s">
        <v>1694</v>
      </c>
      <c r="C5" t="s">
        <v>1859</v>
      </c>
    </row>
    <row r="6" spans="1:3" x14ac:dyDescent="0.2">
      <c r="B6" t="s">
        <v>902</v>
      </c>
      <c r="C6" s="305" t="s">
        <v>2055</v>
      </c>
    </row>
    <row r="7" spans="1:3" x14ac:dyDescent="0.2">
      <c r="B7" t="s">
        <v>768</v>
      </c>
      <c r="C7" t="s">
        <v>1861</v>
      </c>
    </row>
    <row r="8" spans="1:3" x14ac:dyDescent="0.2">
      <c r="B8" t="s">
        <v>773</v>
      </c>
    </row>
    <row r="11" spans="1:3" x14ac:dyDescent="0.2">
      <c r="C11" s="184" t="s">
        <v>2056</v>
      </c>
    </row>
    <row r="14" spans="1:3" x14ac:dyDescent="0.2">
      <c r="C14" s="184" t="s">
        <v>2057</v>
      </c>
    </row>
    <row r="17" spans="3:3" x14ac:dyDescent="0.2">
      <c r="C17" s="184" t="s">
        <v>2058</v>
      </c>
    </row>
  </sheetData>
  <hyperlinks>
    <hyperlink ref="A1" location="Main!A1" display="Main" xr:uid="{75455C62-9583-4144-A970-5516C99644E8}"/>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63AD7-C563-43C6-9D61-70DBD5A1D8E5}">
  <dimension ref="A1:F10"/>
  <sheetViews>
    <sheetView zoomScale="220" zoomScaleNormal="220" workbookViewId="0">
      <selection activeCell="D10" sqref="D10"/>
    </sheetView>
  </sheetViews>
  <sheetFormatPr defaultRowHeight="12.75" x14ac:dyDescent="0.2"/>
  <cols>
    <col min="1" max="1" width="5" bestFit="1" customWidth="1"/>
    <col min="2" max="2" width="13.5703125" customWidth="1"/>
    <col min="6" max="6" width="12.7109375" bestFit="1" customWidth="1"/>
  </cols>
  <sheetData>
    <row r="1" spans="1:6" x14ac:dyDescent="0.2">
      <c r="A1" s="116" t="s">
        <v>154</v>
      </c>
    </row>
    <row r="2" spans="1:6" x14ac:dyDescent="0.2">
      <c r="B2" t="s">
        <v>1693</v>
      </c>
      <c r="C2" t="s">
        <v>1964</v>
      </c>
    </row>
    <row r="3" spans="1:6" x14ac:dyDescent="0.2">
      <c r="B3" t="s">
        <v>1274</v>
      </c>
      <c r="C3" t="s">
        <v>1973</v>
      </c>
    </row>
    <row r="4" spans="1:6" x14ac:dyDescent="0.2">
      <c r="B4" t="s">
        <v>159</v>
      </c>
      <c r="C4" t="s">
        <v>1974</v>
      </c>
    </row>
    <row r="5" spans="1:6" x14ac:dyDescent="0.2">
      <c r="B5" t="s">
        <v>495</v>
      </c>
      <c r="C5" t="s">
        <v>1972</v>
      </c>
    </row>
    <row r="6" spans="1:6" x14ac:dyDescent="0.2">
      <c r="B6" t="s">
        <v>902</v>
      </c>
      <c r="C6" t="s">
        <v>1966</v>
      </c>
    </row>
    <row r="7" spans="1:6" x14ac:dyDescent="0.2">
      <c r="B7" t="s">
        <v>773</v>
      </c>
    </row>
    <row r="8" spans="1:6" x14ac:dyDescent="0.2">
      <c r="C8" s="184" t="s">
        <v>1976</v>
      </c>
    </row>
    <row r="9" spans="1:6" x14ac:dyDescent="0.2">
      <c r="C9" t="s">
        <v>1975</v>
      </c>
      <c r="F9" s="79"/>
    </row>
    <row r="10" spans="1:6" x14ac:dyDescent="0.2">
      <c r="C10" t="s">
        <v>1977</v>
      </c>
      <c r="F10" s="79"/>
    </row>
  </sheetData>
  <hyperlinks>
    <hyperlink ref="A1" location="Main!A1" display="Main" xr:uid="{374FA5E4-A932-4F79-8803-A8A208BA6442}"/>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96C3F-F636-419F-B850-061D4F78EEBA}">
  <dimension ref="A1:K59"/>
  <sheetViews>
    <sheetView zoomScale="115" zoomScaleNormal="115" workbookViewId="0"/>
  </sheetViews>
  <sheetFormatPr defaultRowHeight="12.75" x14ac:dyDescent="0.2"/>
  <cols>
    <col min="1" max="1" width="5" bestFit="1" customWidth="1"/>
    <col min="2" max="2" width="14" customWidth="1"/>
  </cols>
  <sheetData>
    <row r="1" spans="1:11" x14ac:dyDescent="0.2">
      <c r="A1" s="116" t="s">
        <v>154</v>
      </c>
    </row>
    <row r="2" spans="1:11" x14ac:dyDescent="0.2">
      <c r="B2" t="s">
        <v>1693</v>
      </c>
      <c r="C2" t="s">
        <v>1956</v>
      </c>
    </row>
    <row r="3" spans="1:11" x14ac:dyDescent="0.2">
      <c r="B3" t="s">
        <v>1274</v>
      </c>
      <c r="C3" t="s">
        <v>2106</v>
      </c>
    </row>
    <row r="4" spans="1:11" x14ac:dyDescent="0.2">
      <c r="B4" t="s">
        <v>159</v>
      </c>
      <c r="C4" t="s">
        <v>177</v>
      </c>
    </row>
    <row r="5" spans="1:11" x14ac:dyDescent="0.2">
      <c r="B5" t="s">
        <v>768</v>
      </c>
      <c r="C5" t="s">
        <v>2107</v>
      </c>
    </row>
    <row r="6" spans="1:11" x14ac:dyDescent="0.2">
      <c r="B6" t="s">
        <v>1694</v>
      </c>
      <c r="C6" t="s">
        <v>2108</v>
      </c>
    </row>
    <row r="7" spans="1:11" x14ac:dyDescent="0.2">
      <c r="B7" t="s">
        <v>495</v>
      </c>
      <c r="C7" t="s">
        <v>2109</v>
      </c>
    </row>
    <row r="8" spans="1:11" x14ac:dyDescent="0.2">
      <c r="B8" t="s">
        <v>732</v>
      </c>
      <c r="C8" t="s">
        <v>2110</v>
      </c>
    </row>
    <row r="9" spans="1:11" x14ac:dyDescent="0.2">
      <c r="B9" t="s">
        <v>165</v>
      </c>
      <c r="C9" t="s">
        <v>2111</v>
      </c>
    </row>
    <row r="10" spans="1:11" x14ac:dyDescent="0.2">
      <c r="C10" t="s">
        <v>2112</v>
      </c>
    </row>
    <row r="11" spans="1:11" x14ac:dyDescent="0.2">
      <c r="C11" t="s">
        <v>2113</v>
      </c>
    </row>
    <row r="12" spans="1:11" x14ac:dyDescent="0.2">
      <c r="B12" t="s">
        <v>106</v>
      </c>
      <c r="C12" t="s">
        <v>2114</v>
      </c>
    </row>
    <row r="13" spans="1:11" x14ac:dyDescent="0.2">
      <c r="C13" t="s">
        <v>2115</v>
      </c>
    </row>
    <row r="14" spans="1:11" x14ac:dyDescent="0.2">
      <c r="B14" t="s">
        <v>527</v>
      </c>
      <c r="C14" t="s">
        <v>2116</v>
      </c>
    </row>
    <row r="15" spans="1:11" x14ac:dyDescent="0.2">
      <c r="B15" t="s">
        <v>773</v>
      </c>
    </row>
    <row r="16" spans="1:11" x14ac:dyDescent="0.2">
      <c r="C16" s="347" t="s">
        <v>2117</v>
      </c>
      <c r="H16" s="347" t="s">
        <v>2118</v>
      </c>
      <c r="K16" s="347" t="s">
        <v>2119</v>
      </c>
    </row>
    <row r="17" spans="3:11" x14ac:dyDescent="0.2">
      <c r="C17" s="348" t="s">
        <v>2120</v>
      </c>
      <c r="E17" t="s">
        <v>2121</v>
      </c>
      <c r="K17" s="349" t="s">
        <v>2122</v>
      </c>
    </row>
    <row r="18" spans="3:11" x14ac:dyDescent="0.2">
      <c r="C18" s="349" t="s">
        <v>2123</v>
      </c>
      <c r="K18" t="s">
        <v>2124</v>
      </c>
    </row>
    <row r="19" spans="3:11" x14ac:dyDescent="0.2">
      <c r="C19" t="s">
        <v>2125</v>
      </c>
    </row>
    <row r="20" spans="3:11" x14ac:dyDescent="0.2">
      <c r="C20" t="s">
        <v>2126</v>
      </c>
    </row>
    <row r="21" spans="3:11" x14ac:dyDescent="0.2">
      <c r="C21" t="s">
        <v>2127</v>
      </c>
    </row>
    <row r="22" spans="3:11" x14ac:dyDescent="0.2">
      <c r="C22" t="s">
        <v>2128</v>
      </c>
    </row>
    <row r="23" spans="3:11" x14ac:dyDescent="0.2">
      <c r="C23" s="349" t="s">
        <v>2129</v>
      </c>
    </row>
    <row r="25" spans="3:11" x14ac:dyDescent="0.2">
      <c r="C25" s="348" t="s">
        <v>2130</v>
      </c>
    </row>
    <row r="26" spans="3:11" x14ac:dyDescent="0.2">
      <c r="C26" t="s">
        <v>2131</v>
      </c>
      <c r="H26" t="s">
        <v>2131</v>
      </c>
    </row>
    <row r="27" spans="3:11" x14ac:dyDescent="0.2">
      <c r="C27" t="s">
        <v>2132</v>
      </c>
    </row>
    <row r="28" spans="3:11" x14ac:dyDescent="0.2">
      <c r="C28" t="s">
        <v>2133</v>
      </c>
    </row>
    <row r="29" spans="3:11" x14ac:dyDescent="0.2">
      <c r="C29" t="s">
        <v>2134</v>
      </c>
    </row>
    <row r="30" spans="3:11" x14ac:dyDescent="0.2">
      <c r="C30" t="s">
        <v>2135</v>
      </c>
    </row>
    <row r="31" spans="3:11" x14ac:dyDescent="0.2">
      <c r="C31" s="349" t="s">
        <v>2136</v>
      </c>
      <c r="H31" s="349" t="s">
        <v>2137</v>
      </c>
    </row>
    <row r="33" spans="3:3" x14ac:dyDescent="0.2">
      <c r="C33" s="348" t="s">
        <v>2138</v>
      </c>
    </row>
    <row r="34" spans="3:3" x14ac:dyDescent="0.2">
      <c r="C34" t="s">
        <v>2139</v>
      </c>
    </row>
    <row r="35" spans="3:3" x14ac:dyDescent="0.2">
      <c r="C35" t="s">
        <v>2140</v>
      </c>
    </row>
    <row r="36" spans="3:3" x14ac:dyDescent="0.2">
      <c r="C36" t="s">
        <v>2141</v>
      </c>
    </row>
    <row r="37" spans="3:3" x14ac:dyDescent="0.2">
      <c r="C37" t="s">
        <v>2142</v>
      </c>
    </row>
    <row r="38" spans="3:3" x14ac:dyDescent="0.2">
      <c r="C38" t="s">
        <v>2143</v>
      </c>
    </row>
    <row r="39" spans="3:3" x14ac:dyDescent="0.2">
      <c r="C39" s="349" t="s">
        <v>2144</v>
      </c>
    </row>
    <row r="42" spans="3:3" x14ac:dyDescent="0.2">
      <c r="C42" s="347" t="s">
        <v>2150</v>
      </c>
    </row>
    <row r="43" spans="3:3" x14ac:dyDescent="0.2">
      <c r="C43" t="s">
        <v>2147</v>
      </c>
    </row>
    <row r="45" spans="3:3" x14ac:dyDescent="0.2">
      <c r="C45" s="347" t="s">
        <v>2151</v>
      </c>
    </row>
    <row r="48" spans="3:3" x14ac:dyDescent="0.2">
      <c r="C48" s="347" t="s">
        <v>2145</v>
      </c>
    </row>
    <row r="51" spans="3:3" x14ac:dyDescent="0.2">
      <c r="C51" s="347" t="s">
        <v>2152</v>
      </c>
    </row>
    <row r="53" spans="3:3" x14ac:dyDescent="0.2">
      <c r="C53" s="347" t="s">
        <v>2153</v>
      </c>
    </row>
    <row r="56" spans="3:3" x14ac:dyDescent="0.2">
      <c r="C56" s="184" t="s">
        <v>2148</v>
      </c>
    </row>
    <row r="59" spans="3:3" x14ac:dyDescent="0.2">
      <c r="C59" t="s">
        <v>2149</v>
      </c>
    </row>
  </sheetData>
  <hyperlinks>
    <hyperlink ref="A1" location="Main!A1" display="Main" xr:uid="{76AFE676-E6F1-4573-A9D7-26575E774305}"/>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6"/>
  <sheetViews>
    <sheetView workbookViewId="0">
      <selection activeCell="E29" sqref="E29"/>
    </sheetView>
  </sheetViews>
  <sheetFormatPr defaultColWidth="9.140625" defaultRowHeight="12.75" x14ac:dyDescent="0.2"/>
  <cols>
    <col min="1" max="1" width="5" bestFit="1" customWidth="1"/>
  </cols>
  <sheetData>
    <row r="1" spans="1:2" x14ac:dyDescent="0.2">
      <c r="A1" s="172" t="s">
        <v>154</v>
      </c>
    </row>
    <row r="2" spans="1:2" x14ac:dyDescent="0.2">
      <c r="B2" t="s">
        <v>1278</v>
      </c>
    </row>
    <row r="3" spans="1:2" x14ac:dyDescent="0.2">
      <c r="B3" t="s">
        <v>1282</v>
      </c>
    </row>
    <row r="4" spans="1:2" x14ac:dyDescent="0.2">
      <c r="B4" t="s">
        <v>1302</v>
      </c>
    </row>
    <row r="5" spans="1:2" x14ac:dyDescent="0.2">
      <c r="B5" t="s">
        <v>1281</v>
      </c>
    </row>
    <row r="7" spans="1:2" x14ac:dyDescent="0.2">
      <c r="B7" s="184" t="s">
        <v>136</v>
      </c>
    </row>
    <row r="8" spans="1:2" x14ac:dyDescent="0.2">
      <c r="B8" t="s">
        <v>1303</v>
      </c>
    </row>
    <row r="9" spans="1:2" x14ac:dyDescent="0.2">
      <c r="B9" t="s">
        <v>134</v>
      </c>
    </row>
    <row r="10" spans="1:2" x14ac:dyDescent="0.2">
      <c r="B10" t="s">
        <v>135</v>
      </c>
    </row>
    <row r="11" spans="1:2" x14ac:dyDescent="0.2">
      <c r="B11" t="s">
        <v>1305</v>
      </c>
    </row>
    <row r="12" spans="1:2" x14ac:dyDescent="0.2">
      <c r="B12" t="s">
        <v>1304</v>
      </c>
    </row>
    <row r="13" spans="1:2" x14ac:dyDescent="0.2">
      <c r="B13" t="s">
        <v>137</v>
      </c>
    </row>
    <row r="14" spans="1:2" x14ac:dyDescent="0.2">
      <c r="B14" t="s">
        <v>138</v>
      </c>
    </row>
    <row r="15" spans="1:2" x14ac:dyDescent="0.2">
      <c r="B15" t="s">
        <v>139</v>
      </c>
    </row>
    <row r="16" spans="1:2" x14ac:dyDescent="0.2">
      <c r="B16" t="s">
        <v>140</v>
      </c>
    </row>
    <row r="17" spans="2:2" x14ac:dyDescent="0.2">
      <c r="B17" t="s">
        <v>141</v>
      </c>
    </row>
    <row r="19" spans="2:2" x14ac:dyDescent="0.2">
      <c r="B19" t="s">
        <v>142</v>
      </c>
    </row>
    <row r="22" spans="2:2" x14ac:dyDescent="0.2">
      <c r="B22" s="184" t="s">
        <v>1127</v>
      </c>
    </row>
    <row r="23" spans="2:2" x14ac:dyDescent="0.2">
      <c r="B23" t="s">
        <v>1283</v>
      </c>
    </row>
    <row r="24" spans="2:2" x14ac:dyDescent="0.2">
      <c r="B24" t="s">
        <v>1284</v>
      </c>
    </row>
    <row r="25" spans="2:2" x14ac:dyDescent="0.2">
      <c r="B25" t="s">
        <v>1340</v>
      </c>
    </row>
    <row r="26" spans="2:2" x14ac:dyDescent="0.2">
      <c r="B26" s="3"/>
    </row>
  </sheetData>
  <phoneticPr fontId="11" type="noConversion"/>
  <hyperlinks>
    <hyperlink ref="A1" location="Main!A1" display="Main" xr:uid="{00000000-0004-0000-0200-000000000000}"/>
  </hyperlinks>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7A2AE-B3B5-4AAC-9B7B-E25941F147EC}">
  <dimension ref="A1:C10"/>
  <sheetViews>
    <sheetView workbookViewId="0"/>
  </sheetViews>
  <sheetFormatPr defaultColWidth="8.85546875" defaultRowHeight="12.75" x14ac:dyDescent="0.2"/>
  <cols>
    <col min="1" max="1" width="5" bestFit="1" customWidth="1"/>
    <col min="2" max="2" width="12" bestFit="1" customWidth="1"/>
  </cols>
  <sheetData>
    <row r="1" spans="1:3" x14ac:dyDescent="0.2">
      <c r="A1" s="116" t="s">
        <v>154</v>
      </c>
    </row>
    <row r="2" spans="1:3" x14ac:dyDescent="0.2">
      <c r="B2" t="s">
        <v>1693</v>
      </c>
      <c r="C2" t="s">
        <v>1814</v>
      </c>
    </row>
    <row r="3" spans="1:3" x14ac:dyDescent="0.2">
      <c r="B3" t="s">
        <v>1274</v>
      </c>
      <c r="C3" t="s">
        <v>1815</v>
      </c>
    </row>
    <row r="4" spans="1:3" x14ac:dyDescent="0.2">
      <c r="B4" t="s">
        <v>159</v>
      </c>
      <c r="C4" t="s">
        <v>1818</v>
      </c>
    </row>
    <row r="5" spans="1:3" x14ac:dyDescent="0.2">
      <c r="B5" t="s">
        <v>768</v>
      </c>
      <c r="C5" t="s">
        <v>1821</v>
      </c>
    </row>
    <row r="6" spans="1:3" x14ac:dyDescent="0.2">
      <c r="B6" t="s">
        <v>773</v>
      </c>
    </row>
    <row r="7" spans="1:3" x14ac:dyDescent="0.2">
      <c r="C7" s="184" t="s">
        <v>1819</v>
      </c>
    </row>
    <row r="8" spans="1:3" x14ac:dyDescent="0.2">
      <c r="C8" t="s">
        <v>1820</v>
      </c>
    </row>
    <row r="9" spans="1:3" x14ac:dyDescent="0.2">
      <c r="C9" t="s">
        <v>1817</v>
      </c>
    </row>
    <row r="10" spans="1:3" x14ac:dyDescent="0.2">
      <c r="C10" t="s">
        <v>1816</v>
      </c>
    </row>
  </sheetData>
  <hyperlinks>
    <hyperlink ref="A1" location="Main!A1" display="Main" xr:uid="{0B26453D-FD6B-4ED9-AF1F-C8B623278A96}"/>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8BA1A-6AEA-4BE1-9B11-271484206B5B}">
  <dimension ref="A1:J22"/>
  <sheetViews>
    <sheetView zoomScale="175" zoomScaleNormal="175" workbookViewId="0"/>
  </sheetViews>
  <sheetFormatPr defaultRowHeight="12.75" x14ac:dyDescent="0.2"/>
  <cols>
    <col min="1" max="1" width="5" bestFit="1" customWidth="1"/>
    <col min="2" max="2" width="12.140625" bestFit="1" customWidth="1"/>
  </cols>
  <sheetData>
    <row r="1" spans="1:3" x14ac:dyDescent="0.2">
      <c r="A1" s="116" t="s">
        <v>154</v>
      </c>
    </row>
    <row r="2" spans="1:3" x14ac:dyDescent="0.2">
      <c r="B2" t="s">
        <v>1693</v>
      </c>
    </row>
    <row r="3" spans="1:3" x14ac:dyDescent="0.2">
      <c r="B3" t="s">
        <v>1274</v>
      </c>
      <c r="C3" t="s">
        <v>1897</v>
      </c>
    </row>
    <row r="4" spans="1:3" x14ac:dyDescent="0.2">
      <c r="B4" t="s">
        <v>159</v>
      </c>
      <c r="C4" t="s">
        <v>2105</v>
      </c>
    </row>
    <row r="5" spans="1:3" x14ac:dyDescent="0.2">
      <c r="C5" t="s">
        <v>2104</v>
      </c>
    </row>
    <row r="6" spans="1:3" x14ac:dyDescent="0.2">
      <c r="B6" t="s">
        <v>902</v>
      </c>
      <c r="C6" t="s">
        <v>1995</v>
      </c>
    </row>
    <row r="7" spans="1:3" x14ac:dyDescent="0.2">
      <c r="B7" t="s">
        <v>1694</v>
      </c>
      <c r="C7" t="s">
        <v>1899</v>
      </c>
    </row>
    <row r="8" spans="1:3" x14ac:dyDescent="0.2">
      <c r="B8" t="s">
        <v>165</v>
      </c>
      <c r="C8" t="s">
        <v>1997</v>
      </c>
    </row>
    <row r="9" spans="1:3" x14ac:dyDescent="0.2">
      <c r="B9" t="s">
        <v>773</v>
      </c>
    </row>
    <row r="10" spans="1:3" x14ac:dyDescent="0.2">
      <c r="C10" s="184" t="s">
        <v>1996</v>
      </c>
    </row>
    <row r="13" spans="1:3" x14ac:dyDescent="0.2">
      <c r="C13" s="184" t="s">
        <v>2160</v>
      </c>
    </row>
    <row r="14" spans="1:3" x14ac:dyDescent="0.2">
      <c r="C14" t="s">
        <v>2163</v>
      </c>
    </row>
    <row r="15" spans="1:3" x14ac:dyDescent="0.2">
      <c r="C15" t="s">
        <v>2162</v>
      </c>
    </row>
    <row r="16" spans="1:3" x14ac:dyDescent="0.2">
      <c r="C16" t="s">
        <v>2161</v>
      </c>
    </row>
    <row r="18" spans="3:10" x14ac:dyDescent="0.2">
      <c r="C18" s="184" t="s">
        <v>2042</v>
      </c>
    </row>
    <row r="19" spans="3:10" x14ac:dyDescent="0.2">
      <c r="C19" t="s">
        <v>2043</v>
      </c>
      <c r="J19" s="3"/>
    </row>
    <row r="20" spans="3:10" x14ac:dyDescent="0.2">
      <c r="C20" t="s">
        <v>2044</v>
      </c>
    </row>
    <row r="22" spans="3:10" x14ac:dyDescent="0.2">
      <c r="C22" s="184" t="s">
        <v>2103</v>
      </c>
    </row>
  </sheetData>
  <hyperlinks>
    <hyperlink ref="A1" location="Main!A1" display="Main" xr:uid="{CF215F7A-50CD-4A26-AFA8-43419ACEF89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zoomScaleNormal="100" workbookViewId="0"/>
  </sheetViews>
  <sheetFormatPr defaultColWidth="9.140625" defaultRowHeight="12.75" x14ac:dyDescent="0.2"/>
  <cols>
    <col min="1" max="1" width="5" style="134" customWidth="1"/>
    <col min="2" max="2" width="16" style="134" customWidth="1"/>
    <col min="3" max="3" width="10.140625" style="134" customWidth="1"/>
    <col min="4" max="16384" width="9.140625" style="134"/>
  </cols>
  <sheetData>
    <row r="1" spans="1:3" x14ac:dyDescent="0.2">
      <c r="A1" s="107" t="s">
        <v>154</v>
      </c>
    </row>
    <row r="2" spans="1:3" x14ac:dyDescent="0.2">
      <c r="B2" s="134" t="s">
        <v>485</v>
      </c>
      <c r="C2" s="134" t="s">
        <v>184</v>
      </c>
    </row>
    <row r="3" spans="1:3" x14ac:dyDescent="0.2">
      <c r="B3" s="134" t="s">
        <v>486</v>
      </c>
      <c r="C3" s="134" t="s">
        <v>953</v>
      </c>
    </row>
    <row r="4" spans="1:3" x14ac:dyDescent="0.2">
      <c r="B4" s="134" t="s">
        <v>489</v>
      </c>
      <c r="C4" s="134" t="s">
        <v>1139</v>
      </c>
    </row>
    <row r="5" spans="1:3" x14ac:dyDescent="0.2">
      <c r="C5" s="134" t="s">
        <v>1140</v>
      </c>
    </row>
    <row r="6" spans="1:3" x14ac:dyDescent="0.2">
      <c r="B6" s="134" t="s">
        <v>770</v>
      </c>
      <c r="C6" s="160">
        <v>39070</v>
      </c>
    </row>
    <row r="7" spans="1:3" x14ac:dyDescent="0.2">
      <c r="B7" s="134" t="s">
        <v>495</v>
      </c>
      <c r="C7" s="134" t="s">
        <v>170</v>
      </c>
    </row>
    <row r="8" spans="1:3" x14ac:dyDescent="0.2">
      <c r="B8" s="134" t="s">
        <v>159</v>
      </c>
      <c r="C8" s="134" t="s">
        <v>954</v>
      </c>
    </row>
    <row r="9" spans="1:3" x14ac:dyDescent="0.2">
      <c r="B9" s="134" t="s">
        <v>163</v>
      </c>
      <c r="C9" s="134" t="s">
        <v>86</v>
      </c>
    </row>
    <row r="10" spans="1:3" x14ac:dyDescent="0.2">
      <c r="B10" s="134" t="s">
        <v>536</v>
      </c>
      <c r="C10" s="134" t="s">
        <v>900</v>
      </c>
    </row>
    <row r="11" spans="1:3" x14ac:dyDescent="0.2">
      <c r="B11" s="134" t="s">
        <v>901</v>
      </c>
      <c r="C11" s="134" t="s">
        <v>1230</v>
      </c>
    </row>
    <row r="12" spans="1:3" x14ac:dyDescent="0.2">
      <c r="B12" s="134" t="s">
        <v>902</v>
      </c>
      <c r="C12" s="134" t="s">
        <v>903</v>
      </c>
    </row>
    <row r="13" spans="1:3" x14ac:dyDescent="0.2">
      <c r="B13" s="134" t="s">
        <v>155</v>
      </c>
      <c r="C13" s="134" t="s">
        <v>904</v>
      </c>
    </row>
    <row r="14" spans="1:3" x14ac:dyDescent="0.2">
      <c r="B14" s="134" t="s">
        <v>531</v>
      </c>
      <c r="C14" s="134" t="s">
        <v>905</v>
      </c>
    </row>
    <row r="16" spans="1:3" x14ac:dyDescent="0.2">
      <c r="C16" s="134" t="s">
        <v>906</v>
      </c>
    </row>
    <row r="18" spans="2:4" x14ac:dyDescent="0.2">
      <c r="C18" s="134" t="s">
        <v>907</v>
      </c>
    </row>
    <row r="20" spans="2:4" x14ac:dyDescent="0.2">
      <c r="C20" s="134" t="s">
        <v>908</v>
      </c>
    </row>
    <row r="21" spans="2:4" x14ac:dyDescent="0.2">
      <c r="D21" s="134" t="s">
        <v>909</v>
      </c>
    </row>
    <row r="22" spans="2:4" x14ac:dyDescent="0.2">
      <c r="D22" s="134" t="s">
        <v>910</v>
      </c>
    </row>
    <row r="23" spans="2:4" x14ac:dyDescent="0.2">
      <c r="D23" s="134" t="s">
        <v>911</v>
      </c>
    </row>
    <row r="24" spans="2:4" x14ac:dyDescent="0.2">
      <c r="D24" s="134" t="s">
        <v>912</v>
      </c>
    </row>
    <row r="26" spans="2:4" x14ac:dyDescent="0.2">
      <c r="C26" s="134" t="s">
        <v>913</v>
      </c>
    </row>
    <row r="27" spans="2:4" x14ac:dyDescent="0.2">
      <c r="B27" s="134" t="s">
        <v>542</v>
      </c>
    </row>
    <row r="28" spans="2:4" x14ac:dyDescent="0.2">
      <c r="C28" s="161">
        <f t="shared" ref="C28:C37" si="0">C29+7</f>
        <v>39752</v>
      </c>
    </row>
    <row r="29" spans="2:4" x14ac:dyDescent="0.2">
      <c r="C29" s="161">
        <f t="shared" si="0"/>
        <v>39745</v>
      </c>
    </row>
    <row r="30" spans="2:4" x14ac:dyDescent="0.2">
      <c r="C30" s="161">
        <f t="shared" si="0"/>
        <v>39738</v>
      </c>
      <c r="D30" s="134">
        <v>16261</v>
      </c>
    </row>
    <row r="31" spans="2:4" x14ac:dyDescent="0.2">
      <c r="C31" s="161">
        <f t="shared" si="0"/>
        <v>39731</v>
      </c>
      <c r="D31" s="134">
        <v>16949</v>
      </c>
    </row>
    <row r="32" spans="2:4" x14ac:dyDescent="0.2">
      <c r="C32" s="161">
        <f t="shared" si="0"/>
        <v>39724</v>
      </c>
      <c r="D32" s="134">
        <v>17268</v>
      </c>
    </row>
    <row r="33" spans="3:4" x14ac:dyDescent="0.2">
      <c r="C33" s="161">
        <f t="shared" si="0"/>
        <v>39717</v>
      </c>
      <c r="D33" s="134">
        <v>15908</v>
      </c>
    </row>
    <row r="34" spans="3:4" x14ac:dyDescent="0.2">
      <c r="C34" s="161">
        <f t="shared" si="0"/>
        <v>39710</v>
      </c>
      <c r="D34" s="134">
        <v>16074</v>
      </c>
    </row>
    <row r="35" spans="3:4" x14ac:dyDescent="0.2">
      <c r="C35" s="161">
        <f t="shared" si="0"/>
        <v>39703</v>
      </c>
      <c r="D35" s="134">
        <v>16601</v>
      </c>
    </row>
    <row r="36" spans="3:4" x14ac:dyDescent="0.2">
      <c r="C36" s="161">
        <f t="shared" si="0"/>
        <v>39696</v>
      </c>
      <c r="D36" s="134">
        <v>16012</v>
      </c>
    </row>
    <row r="37" spans="3:4" x14ac:dyDescent="0.2">
      <c r="C37" s="161">
        <f t="shared" si="0"/>
        <v>39689</v>
      </c>
      <c r="D37" s="134">
        <v>16168</v>
      </c>
    </row>
    <row r="38" spans="3:4" x14ac:dyDescent="0.2">
      <c r="C38" s="161">
        <f>C39+7</f>
        <v>39682</v>
      </c>
      <c r="D38" s="134">
        <v>15909</v>
      </c>
    </row>
    <row r="39" spans="3:4" x14ac:dyDescent="0.2">
      <c r="C39" s="161">
        <v>39675</v>
      </c>
      <c r="D39" s="134">
        <v>16465</v>
      </c>
    </row>
  </sheetData>
  <phoneticPr fontId="11" type="noConversion"/>
  <hyperlinks>
    <hyperlink ref="A1" location="Main!A1" display="Main" xr:uid="{00000000-0004-0000-0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12"/>
  <sheetViews>
    <sheetView zoomScaleNormal="100" workbookViewId="0"/>
  </sheetViews>
  <sheetFormatPr defaultColWidth="9.140625" defaultRowHeight="12.75" x14ac:dyDescent="0.2"/>
  <cols>
    <col min="1" max="1" width="5" style="4" customWidth="1"/>
    <col min="2" max="2" width="14.140625" style="4" customWidth="1"/>
    <col min="3" max="16384" width="9.140625" style="4"/>
  </cols>
  <sheetData>
    <row r="1" spans="1:3" x14ac:dyDescent="0.2">
      <c r="A1" s="5" t="s">
        <v>154</v>
      </c>
    </row>
    <row r="2" spans="1:3" x14ac:dyDescent="0.2">
      <c r="B2" s="4" t="s">
        <v>485</v>
      </c>
      <c r="C2" s="4" t="s">
        <v>860</v>
      </c>
    </row>
    <row r="3" spans="1:3" x14ac:dyDescent="0.2">
      <c r="B3" s="4" t="s">
        <v>486</v>
      </c>
      <c r="C3" s="4" t="s">
        <v>171</v>
      </c>
    </row>
    <row r="4" spans="1:3" x14ac:dyDescent="0.2">
      <c r="B4" s="4" t="s">
        <v>495</v>
      </c>
      <c r="C4" s="4" t="s">
        <v>1178</v>
      </c>
    </row>
    <row r="5" spans="1:3" x14ac:dyDescent="0.2">
      <c r="B5" s="4" t="s">
        <v>901</v>
      </c>
      <c r="C5" s="4" t="s">
        <v>861</v>
      </c>
    </row>
    <row r="6" spans="1:3" x14ac:dyDescent="0.2">
      <c r="B6" s="4" t="s">
        <v>768</v>
      </c>
      <c r="C6" s="4" t="s">
        <v>1689</v>
      </c>
    </row>
    <row r="7" spans="1:3" x14ac:dyDescent="0.2">
      <c r="B7" s="4" t="s">
        <v>163</v>
      </c>
    </row>
    <row r="8" spans="1:3" x14ac:dyDescent="0.2">
      <c r="C8" s="4" t="s">
        <v>1690</v>
      </c>
    </row>
    <row r="9" spans="1:3" x14ac:dyDescent="0.2">
      <c r="C9" s="4" t="s">
        <v>1691</v>
      </c>
    </row>
    <row r="10" spans="1:3" x14ac:dyDescent="0.2">
      <c r="C10" s="4" t="s">
        <v>1692</v>
      </c>
    </row>
    <row r="11" spans="1:3" x14ac:dyDescent="0.2">
      <c r="B11" s="4" t="s">
        <v>773</v>
      </c>
    </row>
    <row r="12" spans="1:3" x14ac:dyDescent="0.2">
      <c r="C12" s="4" t="s">
        <v>1179</v>
      </c>
    </row>
  </sheetData>
  <phoneticPr fontId="11" type="noConversion"/>
  <hyperlinks>
    <hyperlink ref="A1" location="Main!A1" display="Main" xr:uid="{00000000-0004-0000-1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S62"/>
  <sheetViews>
    <sheetView zoomScale="175" zoomScaleNormal="175"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154</v>
      </c>
    </row>
    <row r="2" spans="1:3" x14ac:dyDescent="0.2">
      <c r="B2" s="4" t="s">
        <v>485</v>
      </c>
      <c r="C2" s="4" t="s">
        <v>955</v>
      </c>
    </row>
    <row r="3" spans="1:3" x14ac:dyDescent="0.2">
      <c r="B3" s="4" t="s">
        <v>486</v>
      </c>
      <c r="C3" s="4" t="s">
        <v>950</v>
      </c>
    </row>
    <row r="4" spans="1:3" x14ac:dyDescent="0.2">
      <c r="B4" s="4" t="s">
        <v>159</v>
      </c>
      <c r="C4" s="4" t="s">
        <v>396</v>
      </c>
    </row>
    <row r="5" spans="1:3" x14ac:dyDescent="0.2">
      <c r="B5" s="4" t="s">
        <v>397</v>
      </c>
      <c r="C5" s="4" t="s">
        <v>1177</v>
      </c>
    </row>
    <row r="6" spans="1:3" x14ac:dyDescent="0.2">
      <c r="B6" s="4" t="s">
        <v>163</v>
      </c>
      <c r="C6" s="4" t="s">
        <v>1135</v>
      </c>
    </row>
    <row r="7" spans="1:3" x14ac:dyDescent="0.2">
      <c r="B7" s="4" t="s">
        <v>489</v>
      </c>
      <c r="C7" s="4" t="s">
        <v>400</v>
      </c>
    </row>
    <row r="8" spans="1:3" x14ac:dyDescent="0.2">
      <c r="B8" s="4" t="s">
        <v>527</v>
      </c>
      <c r="C8" s="4" t="s">
        <v>401</v>
      </c>
    </row>
    <row r="9" spans="1:3" x14ac:dyDescent="0.2">
      <c r="B9" s="4" t="s">
        <v>536</v>
      </c>
      <c r="C9" s="4" t="s">
        <v>399</v>
      </c>
    </row>
    <row r="10" spans="1:3" x14ac:dyDescent="0.2">
      <c r="B10" s="4" t="s">
        <v>901</v>
      </c>
      <c r="C10" s="4" t="s">
        <v>1133</v>
      </c>
    </row>
    <row r="11" spans="1:3" x14ac:dyDescent="0.2">
      <c r="B11" s="4" t="s">
        <v>106</v>
      </c>
      <c r="C11" s="4" t="s">
        <v>624</v>
      </c>
    </row>
    <row r="12" spans="1:3" x14ac:dyDescent="0.2">
      <c r="B12" s="4" t="s">
        <v>768</v>
      </c>
      <c r="C12" s="4" t="s">
        <v>956</v>
      </c>
    </row>
    <row r="13" spans="1:3" x14ac:dyDescent="0.2">
      <c r="B13" s="4" t="s">
        <v>531</v>
      </c>
    </row>
    <row r="14" spans="1:3" x14ac:dyDescent="0.2">
      <c r="C14" s="30" t="s">
        <v>403</v>
      </c>
    </row>
    <row r="15" spans="1:3" x14ac:dyDescent="0.2">
      <c r="C15" s="93" t="s">
        <v>439</v>
      </c>
    </row>
    <row r="16" spans="1:3" x14ac:dyDescent="0.2">
      <c r="C16" s="4" t="s">
        <v>572</v>
      </c>
    </row>
    <row r="17" spans="3:3" x14ac:dyDescent="0.2">
      <c r="C17" s="4" t="s">
        <v>440</v>
      </c>
    </row>
    <row r="18" spans="3:3" x14ac:dyDescent="0.2">
      <c r="C18" s="4" t="s">
        <v>441</v>
      </c>
    </row>
    <row r="19" spans="3:3" x14ac:dyDescent="0.2">
      <c r="C19" s="4" t="s">
        <v>442</v>
      </c>
    </row>
    <row r="21" spans="3:3" x14ac:dyDescent="0.2">
      <c r="C21" s="30" t="s">
        <v>625</v>
      </c>
    </row>
    <row r="22" spans="3:3" x14ac:dyDescent="0.2">
      <c r="C22" s="4" t="s">
        <v>437</v>
      </c>
    </row>
    <row r="23" spans="3:3" x14ac:dyDescent="0.2">
      <c r="C23" s="4" t="s">
        <v>443</v>
      </c>
    </row>
    <row r="24" spans="3:3" x14ac:dyDescent="0.2">
      <c r="C24" s="4" t="s">
        <v>444</v>
      </c>
    </row>
    <row r="25" spans="3:3" x14ac:dyDescent="0.2">
      <c r="C25" s="4" t="s">
        <v>445</v>
      </c>
    </row>
    <row r="27" spans="3:3" x14ac:dyDescent="0.2">
      <c r="C27" s="30" t="s">
        <v>402</v>
      </c>
    </row>
    <row r="28" spans="3:3" x14ac:dyDescent="0.2">
      <c r="C28" s="4" t="s">
        <v>438</v>
      </c>
    </row>
    <row r="29" spans="3:3" x14ac:dyDescent="0.2">
      <c r="C29" s="4" t="s">
        <v>446</v>
      </c>
    </row>
    <row r="30" spans="3:3" x14ac:dyDescent="0.2">
      <c r="C30" s="4" t="s">
        <v>447</v>
      </c>
    </row>
    <row r="31" spans="3:3" x14ac:dyDescent="0.2">
      <c r="C31" s="4" t="s">
        <v>448</v>
      </c>
    </row>
    <row r="33" spans="3:3" x14ac:dyDescent="0.2">
      <c r="C33" s="30" t="s">
        <v>449</v>
      </c>
    </row>
    <row r="34" spans="3:3" x14ac:dyDescent="0.2">
      <c r="C34" s="167" t="s">
        <v>450</v>
      </c>
    </row>
    <row r="35" spans="3:3" x14ac:dyDescent="0.2">
      <c r="C35" s="167" t="s">
        <v>451</v>
      </c>
    </row>
    <row r="36" spans="3:3" x14ac:dyDescent="0.2">
      <c r="C36" s="167" t="s">
        <v>452</v>
      </c>
    </row>
    <row r="38" spans="3:3" x14ac:dyDescent="0.2">
      <c r="C38" s="30" t="s">
        <v>453</v>
      </c>
    </row>
    <row r="39" spans="3:3" x14ac:dyDescent="0.2">
      <c r="C39" s="4" t="s">
        <v>454</v>
      </c>
    </row>
    <row r="41" spans="3:3" x14ac:dyDescent="0.2">
      <c r="C41" s="30" t="s">
        <v>1053</v>
      </c>
    </row>
    <row r="42" spans="3:3" x14ac:dyDescent="0.2">
      <c r="C42" s="4" t="s">
        <v>1045</v>
      </c>
    </row>
    <row r="44" spans="3:3" x14ac:dyDescent="0.2">
      <c r="C44" s="30" t="s">
        <v>626</v>
      </c>
    </row>
    <row r="45" spans="3:3" x14ac:dyDescent="0.2">
      <c r="C45" s="4" t="s">
        <v>627</v>
      </c>
    </row>
    <row r="47" spans="3:3" x14ac:dyDescent="0.2">
      <c r="C47" s="30" t="s">
        <v>218</v>
      </c>
    </row>
    <row r="48" spans="3:3" x14ac:dyDescent="0.2">
      <c r="C48" s="4" t="s">
        <v>219</v>
      </c>
    </row>
    <row r="51" spans="2:19" x14ac:dyDescent="0.2">
      <c r="B51" s="4" t="s">
        <v>542</v>
      </c>
      <c r="L51" s="352" t="s">
        <v>1285</v>
      </c>
      <c r="M51" s="352"/>
      <c r="N51" s="352" t="s">
        <v>1286</v>
      </c>
      <c r="O51" s="352"/>
      <c r="P51" s="352" t="s">
        <v>455</v>
      </c>
      <c r="Q51" s="352"/>
      <c r="R51" s="352" t="s">
        <v>456</v>
      </c>
      <c r="S51" s="352"/>
    </row>
    <row r="52" spans="2:19" x14ac:dyDescent="0.2">
      <c r="D52" s="20" t="s">
        <v>1285</v>
      </c>
      <c r="E52" s="20" t="s">
        <v>455</v>
      </c>
      <c r="F52" s="20" t="s">
        <v>456</v>
      </c>
      <c r="G52" s="20" t="s">
        <v>1286</v>
      </c>
      <c r="H52" s="20" t="s">
        <v>1287</v>
      </c>
      <c r="I52" s="20" t="s">
        <v>1288</v>
      </c>
      <c r="L52" s="20" t="s">
        <v>1287</v>
      </c>
      <c r="M52" s="20" t="s">
        <v>1288</v>
      </c>
      <c r="N52" s="20" t="s">
        <v>1287</v>
      </c>
      <c r="O52" s="20" t="s">
        <v>1288</v>
      </c>
      <c r="P52" s="20" t="s">
        <v>1287</v>
      </c>
      <c r="Q52" s="20" t="s">
        <v>1288</v>
      </c>
      <c r="R52" s="20" t="s">
        <v>1287</v>
      </c>
      <c r="S52" s="20" t="s">
        <v>1288</v>
      </c>
    </row>
    <row r="53" spans="2:19" x14ac:dyDescent="0.2">
      <c r="C53" s="37">
        <v>40060</v>
      </c>
      <c r="D53" s="20"/>
      <c r="E53" s="20"/>
      <c r="F53" s="20"/>
      <c r="G53" s="20"/>
      <c r="H53" s="14">
        <v>485</v>
      </c>
      <c r="I53" s="14">
        <v>972</v>
      </c>
      <c r="K53" s="4" t="s">
        <v>1289</v>
      </c>
      <c r="L53" s="103">
        <v>2128</v>
      </c>
      <c r="M53" s="103">
        <v>3798</v>
      </c>
      <c r="N53" s="103">
        <v>2706</v>
      </c>
      <c r="O53" s="103">
        <v>4558</v>
      </c>
      <c r="P53" s="103">
        <v>47515</v>
      </c>
      <c r="Q53" s="103">
        <v>151017</v>
      </c>
      <c r="R53" s="103">
        <v>39653</v>
      </c>
      <c r="S53" s="103">
        <v>117098</v>
      </c>
    </row>
    <row r="54" spans="2:19" x14ac:dyDescent="0.2">
      <c r="C54" s="37">
        <v>40053</v>
      </c>
      <c r="D54" s="233">
        <v>2.5000000000000001E-2</v>
      </c>
      <c r="E54" s="233">
        <v>0.502</v>
      </c>
      <c r="F54" s="233">
        <v>0.41699999999999998</v>
      </c>
      <c r="G54" s="233">
        <v>3.3000000000000002E-2</v>
      </c>
      <c r="H54" s="14">
        <v>547</v>
      </c>
      <c r="I54" s="14">
        <v>1016</v>
      </c>
      <c r="K54" s="4" t="s">
        <v>1290</v>
      </c>
      <c r="L54" s="103">
        <v>2220</v>
      </c>
      <c r="M54" s="103">
        <v>3169</v>
      </c>
      <c r="N54" s="103">
        <v>1460</v>
      </c>
      <c r="O54" s="103">
        <v>2407</v>
      </c>
      <c r="P54" s="103">
        <v>48809</v>
      </c>
      <c r="Q54" s="103">
        <v>159874</v>
      </c>
      <c r="R54" s="103">
        <v>39453</v>
      </c>
      <c r="S54" s="103">
        <v>121735</v>
      </c>
    </row>
    <row r="55" spans="2:19" x14ac:dyDescent="0.2">
      <c r="C55" s="37">
        <f>C54-7</f>
        <v>40046</v>
      </c>
      <c r="D55" s="233">
        <v>2.1000000000000001E-2</v>
      </c>
      <c r="E55" s="233">
        <v>0.51900000000000002</v>
      </c>
      <c r="F55" s="233">
        <v>0.41399999999999998</v>
      </c>
      <c r="G55" s="233">
        <v>2.7E-2</v>
      </c>
      <c r="H55" s="14">
        <v>464</v>
      </c>
      <c r="I55" s="14">
        <v>833</v>
      </c>
      <c r="K55" s="4" t="s">
        <v>1291</v>
      </c>
      <c r="L55" s="103">
        <v>1717</v>
      </c>
      <c r="M55" s="103">
        <v>1897</v>
      </c>
      <c r="N55" s="103">
        <v>1237</v>
      </c>
      <c r="O55" s="103">
        <v>2093</v>
      </c>
      <c r="P55" s="103">
        <v>53075</v>
      </c>
      <c r="Q55" s="103">
        <v>164574</v>
      </c>
      <c r="R55" s="103">
        <v>42789</v>
      </c>
      <c r="S55" s="103">
        <v>123268</v>
      </c>
    </row>
    <row r="56" spans="2:19" x14ac:dyDescent="0.2">
      <c r="C56" s="37">
        <f t="shared" ref="C56:C62" si="0">C55-7</f>
        <v>40039</v>
      </c>
      <c r="D56" s="233">
        <v>2.1000000000000001E-2</v>
      </c>
      <c r="E56" s="233">
        <v>0.502</v>
      </c>
      <c r="F56" s="233">
        <v>0.42899999999999999</v>
      </c>
      <c r="G56" s="233">
        <v>2.9000000000000001E-2</v>
      </c>
      <c r="H56" s="14"/>
      <c r="I56" s="14"/>
    </row>
    <row r="57" spans="2:19" x14ac:dyDescent="0.2">
      <c r="C57" s="37">
        <f t="shared" si="0"/>
        <v>40032</v>
      </c>
      <c r="D57" s="233">
        <v>2.4E-2</v>
      </c>
      <c r="E57" s="233">
        <v>0.497</v>
      </c>
      <c r="F57" s="233">
        <v>0.43099999999999999</v>
      </c>
      <c r="G57" s="233">
        <v>2.7E-2</v>
      </c>
    </row>
    <row r="58" spans="2:19" x14ac:dyDescent="0.2">
      <c r="C58" s="37">
        <f t="shared" si="0"/>
        <v>40025</v>
      </c>
      <c r="D58" s="233">
        <v>2.1000000000000001E-2</v>
      </c>
      <c r="E58" s="233">
        <v>0.52800000000000002</v>
      </c>
      <c r="F58" s="233">
        <v>0.41299999999999998</v>
      </c>
      <c r="G58" s="233">
        <v>1.6E-2</v>
      </c>
    </row>
    <row r="59" spans="2:19" x14ac:dyDescent="0.2">
      <c r="C59" s="37">
        <f t="shared" si="0"/>
        <v>40018</v>
      </c>
      <c r="D59" s="233"/>
      <c r="E59" s="233"/>
      <c r="F59" s="233"/>
      <c r="G59" s="233"/>
    </row>
    <row r="60" spans="2:19" x14ac:dyDescent="0.2">
      <c r="C60" s="37">
        <f t="shared" si="0"/>
        <v>40011</v>
      </c>
      <c r="D60" s="233"/>
      <c r="E60" s="233"/>
      <c r="F60" s="233"/>
      <c r="G60" s="233"/>
    </row>
    <row r="61" spans="2:19" x14ac:dyDescent="0.2">
      <c r="C61" s="37">
        <f t="shared" si="0"/>
        <v>40004</v>
      </c>
      <c r="D61" s="233"/>
      <c r="E61" s="233"/>
      <c r="F61" s="233"/>
      <c r="G61" s="233"/>
    </row>
    <row r="62" spans="2:19" x14ac:dyDescent="0.2">
      <c r="C62" s="37">
        <f t="shared" si="0"/>
        <v>39997</v>
      </c>
      <c r="D62" s="233"/>
      <c r="E62" s="233"/>
      <c r="F62" s="233"/>
      <c r="G62" s="233"/>
    </row>
  </sheetData>
  <mergeCells count="4">
    <mergeCell ref="L51:M51"/>
    <mergeCell ref="N51:O51"/>
    <mergeCell ref="P51:Q51"/>
    <mergeCell ref="R51:S51"/>
  </mergeCells>
  <phoneticPr fontId="11" type="noConversion"/>
  <hyperlinks>
    <hyperlink ref="A1" location="Main!A1" display="Main" xr:uid="{00000000-0004-0000-1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24"/>
  <sheetViews>
    <sheetView zoomScaleNormal="100" workbookViewId="0">
      <selection activeCell="C1" sqref="C1"/>
    </sheetView>
  </sheetViews>
  <sheetFormatPr defaultColWidth="9.140625" defaultRowHeight="12.75" x14ac:dyDescent="0.2"/>
  <cols>
    <col min="1" max="1" width="5.28515625" style="4" customWidth="1"/>
    <col min="2" max="2" width="14.140625" style="4" customWidth="1"/>
    <col min="3" max="26" width="6.140625" style="4" customWidth="1"/>
    <col min="27" max="16384" width="9.140625" style="4"/>
  </cols>
  <sheetData>
    <row r="1" spans="1:26" x14ac:dyDescent="0.2">
      <c r="A1" s="5" t="s">
        <v>154</v>
      </c>
    </row>
    <row r="2" spans="1:26" x14ac:dyDescent="0.2">
      <c r="B2" s="4" t="s">
        <v>485</v>
      </c>
      <c r="C2" s="4" t="s">
        <v>176</v>
      </c>
    </row>
    <row r="3" spans="1:26" x14ac:dyDescent="0.2">
      <c r="B3" s="4" t="s">
        <v>486</v>
      </c>
      <c r="C3" s="4" t="s">
        <v>525</v>
      </c>
    </row>
    <row r="4" spans="1:26" x14ac:dyDescent="0.2">
      <c r="B4" s="4" t="s">
        <v>495</v>
      </c>
      <c r="C4" s="4" t="s">
        <v>1141</v>
      </c>
    </row>
    <row r="5" spans="1:26" x14ac:dyDescent="0.2">
      <c r="B5" s="4" t="s">
        <v>489</v>
      </c>
      <c r="C5" s="4" t="s">
        <v>1142</v>
      </c>
    </row>
    <row r="6" spans="1:26" x14ac:dyDescent="0.2">
      <c r="B6" s="4" t="s">
        <v>768</v>
      </c>
      <c r="C6" s="4" t="s">
        <v>914</v>
      </c>
    </row>
    <row r="7" spans="1:26" x14ac:dyDescent="0.2">
      <c r="B7" s="4" t="s">
        <v>770</v>
      </c>
      <c r="C7" s="4" t="s">
        <v>126</v>
      </c>
    </row>
    <row r="8" spans="1:26" x14ac:dyDescent="0.2">
      <c r="B8" s="4" t="s">
        <v>163</v>
      </c>
      <c r="C8" s="4" t="s">
        <v>915</v>
      </c>
    </row>
    <row r="9" spans="1:26" x14ac:dyDescent="0.2">
      <c r="C9" s="4" t="s">
        <v>127</v>
      </c>
    </row>
    <row r="10" spans="1:26" x14ac:dyDescent="0.2">
      <c r="C10" s="157" t="s">
        <v>128</v>
      </c>
    </row>
    <row r="12" spans="1:26" x14ac:dyDescent="0.2">
      <c r="C12" s="11" t="s">
        <v>600</v>
      </c>
      <c r="D12" s="11" t="s">
        <v>601</v>
      </c>
      <c r="E12" s="11" t="s">
        <v>602</v>
      </c>
      <c r="F12" s="11" t="s">
        <v>603</v>
      </c>
      <c r="G12" s="11" t="s">
        <v>604</v>
      </c>
      <c r="H12" s="11" t="s">
        <v>605</v>
      </c>
      <c r="I12" s="11" t="s">
        <v>606</v>
      </c>
      <c r="J12" s="11" t="s">
        <v>607</v>
      </c>
      <c r="K12" s="11" t="s">
        <v>608</v>
      </c>
      <c r="L12" s="11" t="s">
        <v>609</v>
      </c>
      <c r="M12" s="11" t="s">
        <v>610</v>
      </c>
      <c r="N12" s="11" t="s">
        <v>611</v>
      </c>
      <c r="O12" s="11" t="s">
        <v>612</v>
      </c>
      <c r="P12" s="11" t="s">
        <v>613</v>
      </c>
      <c r="Q12" s="11" t="s">
        <v>614</v>
      </c>
      <c r="R12" s="11" t="s">
        <v>615</v>
      </c>
      <c r="S12" s="11" t="s">
        <v>916</v>
      </c>
      <c r="T12" s="11" t="s">
        <v>917</v>
      </c>
      <c r="U12" s="11" t="s">
        <v>958</v>
      </c>
      <c r="V12" s="11" t="s">
        <v>959</v>
      </c>
      <c r="W12" s="11" t="s">
        <v>960</v>
      </c>
      <c r="X12" s="11" t="s">
        <v>961</v>
      </c>
      <c r="Y12" s="11" t="s">
        <v>962</v>
      </c>
      <c r="Z12" s="11" t="s">
        <v>963</v>
      </c>
    </row>
    <row r="13" spans="1:26" x14ac:dyDescent="0.2">
      <c r="B13" s="4" t="s">
        <v>364</v>
      </c>
      <c r="C13" s="7">
        <v>5</v>
      </c>
      <c r="D13" s="7">
        <v>10</v>
      </c>
      <c r="E13" s="7">
        <v>16</v>
      </c>
      <c r="F13" s="7">
        <v>30</v>
      </c>
      <c r="G13" s="7">
        <v>41</v>
      </c>
      <c r="H13" s="7">
        <v>55</v>
      </c>
      <c r="I13" s="7">
        <v>60</v>
      </c>
      <c r="J13" s="7">
        <v>74</v>
      </c>
      <c r="K13" s="7">
        <v>104</v>
      </c>
      <c r="L13" s="7">
        <v>114</v>
      </c>
      <c r="M13" s="7">
        <v>134</v>
      </c>
      <c r="N13" s="7"/>
      <c r="O13" s="7"/>
      <c r="P13" s="7"/>
      <c r="Q13" s="7"/>
      <c r="R13" s="7">
        <v>102</v>
      </c>
      <c r="S13" s="7">
        <v>101</v>
      </c>
      <c r="T13" s="7">
        <v>102</v>
      </c>
      <c r="U13" s="7">
        <v>111</v>
      </c>
      <c r="V13" s="7">
        <v>108</v>
      </c>
      <c r="W13" s="7">
        <v>101</v>
      </c>
      <c r="X13" s="7">
        <v>134</v>
      </c>
      <c r="Y13" s="7">
        <v>134</v>
      </c>
      <c r="Z13" s="7">
        <v>134</v>
      </c>
    </row>
    <row r="14" spans="1:26" x14ac:dyDescent="0.2">
      <c r="B14" s="4" t="s">
        <v>365</v>
      </c>
      <c r="C14" s="7">
        <v>46</v>
      </c>
      <c r="D14" s="7">
        <v>57.4</v>
      </c>
      <c r="E14" s="7">
        <v>70</v>
      </c>
      <c r="F14" s="7">
        <v>76.400000000000006</v>
      </c>
      <c r="G14" s="7">
        <v>78</v>
      </c>
      <c r="H14" s="7">
        <v>89</v>
      </c>
      <c r="I14" s="7">
        <v>101</v>
      </c>
      <c r="J14" s="7">
        <v>104</v>
      </c>
      <c r="K14" s="7">
        <v>106</v>
      </c>
      <c r="L14" s="7">
        <v>112</v>
      </c>
      <c r="M14" s="7">
        <v>124</v>
      </c>
      <c r="N14" s="7"/>
      <c r="O14" s="7"/>
      <c r="P14" s="7"/>
      <c r="Q14" s="7"/>
      <c r="R14" s="7">
        <v>124</v>
      </c>
      <c r="S14" s="7">
        <v>160</v>
      </c>
      <c r="T14" s="7">
        <v>176</v>
      </c>
      <c r="U14" s="7">
        <v>183</v>
      </c>
      <c r="V14" s="7">
        <v>187</v>
      </c>
      <c r="W14" s="7">
        <v>208</v>
      </c>
      <c r="X14" s="7">
        <v>124</v>
      </c>
      <c r="Y14" s="7">
        <v>124</v>
      </c>
      <c r="Z14" s="7">
        <v>124</v>
      </c>
    </row>
    <row r="15" spans="1:26" x14ac:dyDescent="0.2">
      <c r="B15" s="4" t="s">
        <v>539</v>
      </c>
      <c r="C15" s="7">
        <v>51</v>
      </c>
      <c r="D15" s="7">
        <v>67.400000000000006</v>
      </c>
      <c r="E15" s="7">
        <v>86</v>
      </c>
      <c r="F15" s="7">
        <v>106.4</v>
      </c>
      <c r="G15" s="7">
        <v>119</v>
      </c>
      <c r="H15" s="7">
        <v>144</v>
      </c>
      <c r="I15" s="7">
        <v>161</v>
      </c>
      <c r="J15" s="7">
        <v>178</v>
      </c>
      <c r="K15" s="7">
        <f>SUM(K13:K14)</f>
        <v>210</v>
      </c>
      <c r="L15" s="7">
        <f>SUM(L13:L14)</f>
        <v>226</v>
      </c>
      <c r="M15" s="7">
        <f>SUM(M13:M14)</f>
        <v>258</v>
      </c>
      <c r="N15" s="7"/>
      <c r="O15" s="7"/>
      <c r="P15" s="7"/>
      <c r="Q15" s="7"/>
      <c r="R15" s="7">
        <f t="shared" ref="R15:Z15" si="0">SUM(R13:R14)</f>
        <v>226</v>
      </c>
      <c r="S15" s="7">
        <f t="shared" si="0"/>
        <v>261</v>
      </c>
      <c r="T15" s="7">
        <f t="shared" si="0"/>
        <v>278</v>
      </c>
      <c r="U15" s="7">
        <f t="shared" si="0"/>
        <v>294</v>
      </c>
      <c r="V15" s="7">
        <f t="shared" si="0"/>
        <v>295</v>
      </c>
      <c r="W15" s="7">
        <f t="shared" si="0"/>
        <v>309</v>
      </c>
      <c r="X15" s="7">
        <f t="shared" si="0"/>
        <v>258</v>
      </c>
      <c r="Y15" s="7">
        <f t="shared" si="0"/>
        <v>258</v>
      </c>
      <c r="Z15" s="7">
        <f t="shared" si="0"/>
        <v>258</v>
      </c>
    </row>
    <row r="16" spans="1:26" x14ac:dyDescent="0.2">
      <c r="C16" s="7"/>
      <c r="D16" s="7"/>
      <c r="E16" s="7"/>
      <c r="F16" s="7"/>
      <c r="G16" s="7"/>
      <c r="H16" s="7"/>
      <c r="I16" s="7"/>
      <c r="J16" s="7"/>
      <c r="K16" s="7"/>
      <c r="L16" s="7"/>
      <c r="M16" s="7"/>
      <c r="N16" s="7"/>
      <c r="O16" s="7"/>
      <c r="P16" s="7"/>
      <c r="Q16" s="7"/>
      <c r="R16" s="7"/>
      <c r="S16" s="7"/>
      <c r="T16" s="7"/>
      <c r="U16" s="7"/>
      <c r="V16" s="7"/>
      <c r="W16" s="7"/>
      <c r="X16" s="7"/>
      <c r="Y16" s="7"/>
      <c r="Z16" s="7"/>
    </row>
    <row r="17" spans="2:26" s="13" customFormat="1" x14ac:dyDescent="0.2">
      <c r="B17" s="13" t="s">
        <v>364</v>
      </c>
      <c r="C17" s="43"/>
      <c r="D17" s="43"/>
      <c r="E17" s="43"/>
      <c r="F17" s="43"/>
      <c r="G17" s="43"/>
      <c r="H17" s="43"/>
      <c r="I17" s="43"/>
      <c r="J17" s="43"/>
      <c r="K17" s="43"/>
      <c r="L17" s="43"/>
      <c r="M17" s="43"/>
      <c r="N17" s="43"/>
      <c r="O17" s="43"/>
      <c r="P17" s="43"/>
      <c r="Q17" s="43"/>
      <c r="R17" s="43"/>
      <c r="S17" s="43"/>
      <c r="T17" s="43"/>
      <c r="U17" s="43"/>
      <c r="V17" s="44">
        <f t="shared" ref="V17:W19" si="1">V13/R13-1</f>
        <v>5.8823529411764719E-2</v>
      </c>
      <c r="W17" s="44">
        <f t="shared" si="1"/>
        <v>0</v>
      </c>
      <c r="X17" s="43"/>
      <c r="Y17" s="43"/>
      <c r="Z17" s="43"/>
    </row>
    <row r="18" spans="2:26" s="13" customFormat="1" x14ac:dyDescent="0.2">
      <c r="B18" s="13" t="s">
        <v>365</v>
      </c>
      <c r="C18" s="43"/>
      <c r="D18" s="43"/>
      <c r="E18" s="43"/>
      <c r="F18" s="43"/>
      <c r="G18" s="43"/>
      <c r="H18" s="43"/>
      <c r="I18" s="43"/>
      <c r="J18" s="43"/>
      <c r="K18" s="43"/>
      <c r="L18" s="43"/>
      <c r="M18" s="43"/>
      <c r="N18" s="43"/>
      <c r="O18" s="43"/>
      <c r="P18" s="43"/>
      <c r="Q18" s="43"/>
      <c r="R18" s="43"/>
      <c r="S18" s="43"/>
      <c r="T18" s="43"/>
      <c r="U18" s="43"/>
      <c r="V18" s="44">
        <f t="shared" si="1"/>
        <v>0.50806451612903225</v>
      </c>
      <c r="W18" s="44">
        <f t="shared" si="1"/>
        <v>0.30000000000000004</v>
      </c>
      <c r="X18" s="43"/>
      <c r="Y18" s="43"/>
      <c r="Z18" s="43"/>
    </row>
    <row r="19" spans="2:26" s="13" customFormat="1" x14ac:dyDescent="0.2">
      <c r="B19" s="13" t="s">
        <v>964</v>
      </c>
      <c r="V19" s="44">
        <f t="shared" si="1"/>
        <v>0.30530973451327426</v>
      </c>
      <c r="W19" s="44">
        <f t="shared" si="1"/>
        <v>0.18390804597701149</v>
      </c>
    </row>
    <row r="21" spans="2:26" x14ac:dyDescent="0.2">
      <c r="C21" s="6">
        <v>2003</v>
      </c>
      <c r="D21" s="6">
        <v>2004</v>
      </c>
    </row>
    <row r="22" spans="2:26" x14ac:dyDescent="0.2">
      <c r="B22" s="4" t="s">
        <v>364</v>
      </c>
      <c r="C22" s="7">
        <v>61</v>
      </c>
      <c r="D22" s="7">
        <v>230</v>
      </c>
    </row>
    <row r="23" spans="2:26" x14ac:dyDescent="0.2">
      <c r="B23" s="4" t="s">
        <v>365</v>
      </c>
      <c r="C23" s="7">
        <v>249.8</v>
      </c>
      <c r="D23" s="7">
        <v>372</v>
      </c>
    </row>
    <row r="24" spans="2:26" x14ac:dyDescent="0.2">
      <c r="B24" s="4" t="s">
        <v>539</v>
      </c>
      <c r="C24" s="7">
        <v>310.8</v>
      </c>
      <c r="D24" s="7">
        <v>602</v>
      </c>
    </row>
  </sheetData>
  <phoneticPr fontId="11" type="noConversion"/>
  <hyperlinks>
    <hyperlink ref="A1" location="Main!A1" display="Main" xr:uid="{00000000-0004-0000-0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AZ77"/>
  <sheetViews>
    <sheetView zoomScaleNormal="130" workbookViewId="0">
      <pane xSplit="2" ySplit="2" topLeftCell="C3" activePane="bottomRight" state="frozen"/>
      <selection activeCell="C7" sqref="C7"/>
      <selection pane="topRight" activeCell="C7" sqref="C7"/>
      <selection pane="bottomLeft" activeCell="C7" sqref="C7"/>
      <selection pane="bottomRight" activeCell="C3" sqref="C3"/>
    </sheetView>
  </sheetViews>
  <sheetFormatPr defaultColWidth="9.140625" defaultRowHeight="12.75" x14ac:dyDescent="0.2"/>
  <cols>
    <col min="1" max="1" width="5" style="4" customWidth="1"/>
    <col min="2" max="2" width="19.42578125" style="4" customWidth="1"/>
    <col min="3" max="3" width="6.7109375" style="6" customWidth="1"/>
    <col min="4" max="5" width="5.42578125" style="6" customWidth="1"/>
    <col min="6" max="7" width="6.42578125" style="6" customWidth="1"/>
    <col min="8" max="8" width="6" style="6" customWidth="1"/>
    <col min="9" max="10" width="7" style="6" customWidth="1"/>
    <col min="11" max="13" width="6.28515625" style="6" customWidth="1"/>
    <col min="14" max="15" width="6.85546875" style="6" customWidth="1"/>
    <col min="16" max="19" width="6.140625" style="6" customWidth="1"/>
    <col min="20" max="22" width="6" style="6" customWidth="1"/>
    <col min="23" max="34" width="5.42578125" style="6" customWidth="1"/>
    <col min="35" max="39" width="6.42578125" style="6" customWidth="1"/>
    <col min="40" max="46" width="6.42578125" style="4" customWidth="1"/>
    <col min="47" max="16384" width="9.140625" style="4"/>
  </cols>
  <sheetData>
    <row r="1" spans="1:35" x14ac:dyDescent="0.2">
      <c r="A1" s="5" t="s">
        <v>154</v>
      </c>
    </row>
    <row r="2" spans="1:35" x14ac:dyDescent="0.2">
      <c r="A2" s="5"/>
      <c r="B2" s="4" t="s">
        <v>485</v>
      </c>
      <c r="C2" s="4" t="s">
        <v>166</v>
      </c>
      <c r="E2" s="4" t="s">
        <v>486</v>
      </c>
      <c r="H2" s="4" t="s">
        <v>487</v>
      </c>
    </row>
    <row r="3" spans="1:35" x14ac:dyDescent="0.2">
      <c r="A3" s="5"/>
      <c r="B3" s="4" t="s">
        <v>489</v>
      </c>
      <c r="C3" s="4" t="s">
        <v>490</v>
      </c>
    </row>
    <row r="4" spans="1:35" x14ac:dyDescent="0.2">
      <c r="A4" s="5"/>
      <c r="B4" s="4" t="s">
        <v>163</v>
      </c>
      <c r="C4" s="4" t="s">
        <v>1180</v>
      </c>
    </row>
    <row r="5" spans="1:35" x14ac:dyDescent="0.2">
      <c r="A5" s="5"/>
      <c r="B5" s="4" t="s">
        <v>770</v>
      </c>
      <c r="C5" s="4" t="s">
        <v>949</v>
      </c>
    </row>
    <row r="6" spans="1:35" x14ac:dyDescent="0.2">
      <c r="A6" s="5"/>
      <c r="B6" s="4" t="s">
        <v>491</v>
      </c>
      <c r="C6" s="4" t="s">
        <v>492</v>
      </c>
    </row>
    <row r="7" spans="1:35" x14ac:dyDescent="0.2">
      <c r="A7" s="5"/>
      <c r="B7" s="4" t="s">
        <v>493</v>
      </c>
      <c r="C7" s="4" t="s">
        <v>494</v>
      </c>
    </row>
    <row r="8" spans="1:35" x14ac:dyDescent="0.2">
      <c r="A8" s="5"/>
      <c r="B8" s="4" t="s">
        <v>495</v>
      </c>
      <c r="C8" s="4" t="s">
        <v>496</v>
      </c>
    </row>
    <row r="9" spans="1:35" x14ac:dyDescent="0.2">
      <c r="A9" s="5"/>
      <c r="B9" s="4" t="s">
        <v>165</v>
      </c>
      <c r="C9" s="4" t="s">
        <v>1188</v>
      </c>
    </row>
    <row r="10" spans="1:35" x14ac:dyDescent="0.2">
      <c r="A10" s="5"/>
      <c r="C10" s="4" t="s">
        <v>497</v>
      </c>
    </row>
    <row r="11" spans="1:35" x14ac:dyDescent="0.2">
      <c r="A11" s="5"/>
      <c r="B11" s="4" t="s">
        <v>498</v>
      </c>
      <c r="C11" s="4" t="s">
        <v>499</v>
      </c>
    </row>
    <row r="12" spans="1:35" x14ac:dyDescent="0.2">
      <c r="A12" s="5"/>
      <c r="B12" s="4" t="s">
        <v>500</v>
      </c>
      <c r="C12" s="4" t="s">
        <v>501</v>
      </c>
    </row>
    <row r="13" spans="1:35" x14ac:dyDescent="0.2">
      <c r="A13" s="5"/>
      <c r="B13" s="4" t="s">
        <v>705</v>
      </c>
      <c r="C13" s="4" t="s">
        <v>706</v>
      </c>
    </row>
    <row r="14" spans="1:35" x14ac:dyDescent="0.2">
      <c r="A14" s="5"/>
      <c r="B14" s="4" t="s">
        <v>502</v>
      </c>
    </row>
    <row r="15" spans="1:35" x14ac:dyDescent="0.2">
      <c r="A15" s="5"/>
    </row>
    <row r="16" spans="1:35" x14ac:dyDescent="0.2">
      <c r="B16" s="16" t="s">
        <v>323</v>
      </c>
      <c r="C16" s="17" t="s">
        <v>277</v>
      </c>
      <c r="D16" s="17" t="s">
        <v>278</v>
      </c>
      <c r="E16" s="17" t="s">
        <v>279</v>
      </c>
      <c r="F16" s="17" t="s">
        <v>280</v>
      </c>
      <c r="G16" s="17" t="s">
        <v>281</v>
      </c>
      <c r="H16" s="17" t="s">
        <v>282</v>
      </c>
      <c r="I16" s="17" t="s">
        <v>283</v>
      </c>
      <c r="J16" s="17" t="s">
        <v>284</v>
      </c>
      <c r="K16" s="17" t="s">
        <v>285</v>
      </c>
      <c r="L16" s="17" t="s">
        <v>286</v>
      </c>
      <c r="M16" s="17" t="s">
        <v>287</v>
      </c>
      <c r="N16" s="17" t="s">
        <v>288</v>
      </c>
      <c r="O16" s="17" t="s">
        <v>289</v>
      </c>
      <c r="P16" s="17" t="s">
        <v>290</v>
      </c>
      <c r="Q16" s="17" t="s">
        <v>291</v>
      </c>
      <c r="R16" s="17" t="s">
        <v>292</v>
      </c>
      <c r="S16" s="17" t="s">
        <v>293</v>
      </c>
      <c r="T16" s="17" t="s">
        <v>294</v>
      </c>
      <c r="U16" s="17" t="s">
        <v>295</v>
      </c>
      <c r="V16" s="17" t="s">
        <v>296</v>
      </c>
      <c r="W16" s="17" t="s">
        <v>297</v>
      </c>
      <c r="X16" s="17" t="s">
        <v>298</v>
      </c>
      <c r="Y16" s="17" t="s">
        <v>299</v>
      </c>
      <c r="Z16" s="17" t="s">
        <v>300</v>
      </c>
      <c r="AA16" s="17" t="s">
        <v>301</v>
      </c>
      <c r="AB16" s="17" t="s">
        <v>302</v>
      </c>
      <c r="AC16" s="17" t="s">
        <v>303</v>
      </c>
      <c r="AD16" s="17" t="s">
        <v>304</v>
      </c>
      <c r="AE16" s="17" t="s">
        <v>305</v>
      </c>
      <c r="AF16" s="17" t="s">
        <v>306</v>
      </c>
      <c r="AG16" s="17" t="s">
        <v>307</v>
      </c>
      <c r="AH16" s="17" t="s">
        <v>308</v>
      </c>
      <c r="AI16" s="18"/>
    </row>
    <row r="17" spans="2:52" x14ac:dyDescent="0.2">
      <c r="B17" s="16" t="s">
        <v>503</v>
      </c>
      <c r="C17" s="19">
        <v>387</v>
      </c>
      <c r="D17" s="19">
        <v>411</v>
      </c>
      <c r="E17" s="19">
        <v>458</v>
      </c>
      <c r="F17" s="19">
        <v>554</v>
      </c>
      <c r="G17" s="19">
        <v>514</v>
      </c>
      <c r="H17" s="19">
        <v>554</v>
      </c>
      <c r="I17" s="19">
        <v>742</v>
      </c>
      <c r="J17" s="19">
        <v>525</v>
      </c>
      <c r="K17" s="19">
        <v>691</v>
      </c>
      <c r="L17" s="19">
        <v>764</v>
      </c>
      <c r="M17" s="19">
        <v>776</v>
      </c>
      <c r="N17" s="19">
        <v>803</v>
      </c>
      <c r="O17" s="19">
        <v>723</v>
      </c>
      <c r="P17" s="19">
        <v>707</v>
      </c>
      <c r="Q17" s="19">
        <v>703</v>
      </c>
      <c r="R17" s="19">
        <v>671</v>
      </c>
      <c r="S17" s="19">
        <v>688</v>
      </c>
      <c r="T17" s="19">
        <v>582</v>
      </c>
      <c r="U17" s="19">
        <v>613</v>
      </c>
      <c r="V17" s="19">
        <v>578</v>
      </c>
      <c r="W17" s="19">
        <v>565</v>
      </c>
      <c r="X17" s="19">
        <v>566</v>
      </c>
      <c r="Y17" s="19">
        <v>575</v>
      </c>
      <c r="Z17" s="19">
        <v>540</v>
      </c>
      <c r="AA17" s="19">
        <v>527</v>
      </c>
      <c r="AB17" s="19">
        <v>524</v>
      </c>
      <c r="AC17" s="19">
        <v>522</v>
      </c>
      <c r="AD17" s="19">
        <v>491</v>
      </c>
      <c r="AE17" s="19">
        <v>530</v>
      </c>
      <c r="AF17" s="19">
        <v>449</v>
      </c>
      <c r="AG17" s="19">
        <v>380</v>
      </c>
      <c r="AH17" s="19">
        <v>331</v>
      </c>
      <c r="AI17" s="19"/>
    </row>
    <row r="18" spans="2:52" x14ac:dyDescent="0.2">
      <c r="B18" s="16" t="s">
        <v>504</v>
      </c>
      <c r="C18" s="19">
        <v>215</v>
      </c>
      <c r="D18" s="19">
        <v>230</v>
      </c>
      <c r="E18" s="19">
        <v>233</v>
      </c>
      <c r="F18" s="19">
        <v>221</v>
      </c>
      <c r="G18" s="19">
        <v>254</v>
      </c>
      <c r="H18" s="19">
        <v>276</v>
      </c>
      <c r="I18" s="19">
        <v>286</v>
      </c>
      <c r="J18" s="19">
        <v>278</v>
      </c>
      <c r="K18" s="19">
        <v>300</v>
      </c>
      <c r="L18" s="19">
        <v>322</v>
      </c>
      <c r="M18" s="19">
        <v>320</v>
      </c>
      <c r="N18" s="19">
        <v>293</v>
      </c>
      <c r="O18" s="19">
        <v>274</v>
      </c>
      <c r="P18" s="19">
        <v>308</v>
      </c>
      <c r="Q18" s="19">
        <v>302</v>
      </c>
      <c r="R18" s="19">
        <v>296</v>
      </c>
      <c r="S18" s="19">
        <v>289</v>
      </c>
      <c r="T18" s="19">
        <v>293</v>
      </c>
      <c r="U18" s="19">
        <v>274</v>
      </c>
      <c r="V18" s="19">
        <v>272</v>
      </c>
      <c r="W18" s="19">
        <v>271</v>
      </c>
      <c r="X18" s="19">
        <v>280</v>
      </c>
      <c r="Y18" s="19">
        <v>269</v>
      </c>
      <c r="Z18" s="19">
        <v>258</v>
      </c>
      <c r="AA18" s="19">
        <v>259</v>
      </c>
      <c r="AB18" s="19">
        <v>284</v>
      </c>
      <c r="AC18" s="19">
        <v>276</v>
      </c>
      <c r="AD18" s="19">
        <v>297</v>
      </c>
      <c r="AE18" s="19">
        <v>287</v>
      </c>
      <c r="AF18" s="19">
        <v>309</v>
      </c>
      <c r="AG18" s="19">
        <v>302</v>
      </c>
      <c r="AH18" s="19">
        <v>297</v>
      </c>
      <c r="AI18" s="19"/>
    </row>
    <row r="19" spans="2:52" x14ac:dyDescent="0.2">
      <c r="B19" s="16" t="s">
        <v>505</v>
      </c>
      <c r="C19" s="19">
        <f t="shared" ref="C19:AH19" si="0">C18+C17</f>
        <v>602</v>
      </c>
      <c r="D19" s="19">
        <f t="shared" si="0"/>
        <v>641</v>
      </c>
      <c r="E19" s="19">
        <f t="shared" si="0"/>
        <v>691</v>
      </c>
      <c r="F19" s="19">
        <f t="shared" si="0"/>
        <v>775</v>
      </c>
      <c r="G19" s="19">
        <f t="shared" si="0"/>
        <v>768</v>
      </c>
      <c r="H19" s="19">
        <f t="shared" si="0"/>
        <v>830</v>
      </c>
      <c r="I19" s="19">
        <f t="shared" si="0"/>
        <v>1028</v>
      </c>
      <c r="J19" s="19">
        <f t="shared" si="0"/>
        <v>803</v>
      </c>
      <c r="K19" s="19">
        <f t="shared" si="0"/>
        <v>991</v>
      </c>
      <c r="L19" s="19">
        <f t="shared" si="0"/>
        <v>1086</v>
      </c>
      <c r="M19" s="19">
        <f t="shared" si="0"/>
        <v>1096</v>
      </c>
      <c r="N19" s="19">
        <f t="shared" si="0"/>
        <v>1096</v>
      </c>
      <c r="O19" s="19">
        <f t="shared" si="0"/>
        <v>997</v>
      </c>
      <c r="P19" s="19">
        <f t="shared" si="0"/>
        <v>1015</v>
      </c>
      <c r="Q19" s="19">
        <f t="shared" si="0"/>
        <v>1005</v>
      </c>
      <c r="R19" s="19">
        <f t="shared" si="0"/>
        <v>967</v>
      </c>
      <c r="S19" s="19">
        <f t="shared" si="0"/>
        <v>977</v>
      </c>
      <c r="T19" s="19">
        <f t="shared" si="0"/>
        <v>875</v>
      </c>
      <c r="U19" s="19">
        <f t="shared" si="0"/>
        <v>887</v>
      </c>
      <c r="V19" s="19">
        <f t="shared" si="0"/>
        <v>850</v>
      </c>
      <c r="W19" s="19">
        <f t="shared" si="0"/>
        <v>836</v>
      </c>
      <c r="X19" s="19">
        <f t="shared" si="0"/>
        <v>846</v>
      </c>
      <c r="Y19" s="19">
        <f t="shared" si="0"/>
        <v>844</v>
      </c>
      <c r="Z19" s="19">
        <f t="shared" si="0"/>
        <v>798</v>
      </c>
      <c r="AA19" s="19">
        <f t="shared" si="0"/>
        <v>786</v>
      </c>
      <c r="AB19" s="19">
        <f t="shared" si="0"/>
        <v>808</v>
      </c>
      <c r="AC19" s="19">
        <f t="shared" si="0"/>
        <v>798</v>
      </c>
      <c r="AD19" s="19">
        <f t="shared" si="0"/>
        <v>788</v>
      </c>
      <c r="AE19" s="19">
        <f t="shared" si="0"/>
        <v>817</v>
      </c>
      <c r="AF19" s="19">
        <f t="shared" si="0"/>
        <v>758</v>
      </c>
      <c r="AG19" s="19">
        <f t="shared" si="0"/>
        <v>682</v>
      </c>
      <c r="AH19" s="19">
        <f t="shared" si="0"/>
        <v>628</v>
      </c>
      <c r="AI19" s="19"/>
    </row>
    <row r="20" spans="2:52" x14ac:dyDescent="0.2">
      <c r="B20" s="16" t="s">
        <v>506</v>
      </c>
      <c r="C20" s="16"/>
      <c r="D20" s="16"/>
      <c r="E20" s="16"/>
      <c r="F20" s="16"/>
      <c r="G20" s="10">
        <f t="shared" ref="G20:AH20" si="1">G19/C19-1</f>
        <v>0.27574750830564776</v>
      </c>
      <c r="H20" s="10">
        <f t="shared" si="1"/>
        <v>0.29485179407176276</v>
      </c>
      <c r="I20" s="10">
        <f t="shared" si="1"/>
        <v>0.48769898697539804</v>
      </c>
      <c r="J20" s="10">
        <f t="shared" si="1"/>
        <v>3.612903225806452E-2</v>
      </c>
      <c r="K20" s="10">
        <f t="shared" si="1"/>
        <v>0.29036458333333326</v>
      </c>
      <c r="L20" s="10">
        <f t="shared" si="1"/>
        <v>0.30843373493975901</v>
      </c>
      <c r="M20" s="10">
        <f t="shared" si="1"/>
        <v>6.6147859922178975E-2</v>
      </c>
      <c r="N20" s="10">
        <f t="shared" si="1"/>
        <v>0.36488169364881684</v>
      </c>
      <c r="O20" s="10">
        <f t="shared" si="1"/>
        <v>6.0544904137234123E-3</v>
      </c>
      <c r="P20" s="10">
        <f t="shared" si="1"/>
        <v>-6.5377532228360957E-2</v>
      </c>
      <c r="Q20" s="10">
        <f t="shared" si="1"/>
        <v>-8.3029197080291994E-2</v>
      </c>
      <c r="R20" s="10">
        <f t="shared" si="1"/>
        <v>-0.11770072992700731</v>
      </c>
      <c r="S20" s="10">
        <f t="shared" si="1"/>
        <v>-2.0060180541624839E-2</v>
      </c>
      <c r="T20" s="10">
        <f t="shared" si="1"/>
        <v>-0.13793103448275867</v>
      </c>
      <c r="U20" s="10">
        <f t="shared" si="1"/>
        <v>-0.11741293532338304</v>
      </c>
      <c r="V20" s="10">
        <f t="shared" si="1"/>
        <v>-0.12099276111685631</v>
      </c>
      <c r="W20" s="10">
        <f t="shared" si="1"/>
        <v>-0.14431934493346976</v>
      </c>
      <c r="X20" s="10">
        <f t="shared" si="1"/>
        <v>-3.3142857142857141E-2</v>
      </c>
      <c r="Y20" s="10">
        <f t="shared" si="1"/>
        <v>-4.8478015783540052E-2</v>
      </c>
      <c r="Z20" s="10">
        <f t="shared" si="1"/>
        <v>-6.1176470588235277E-2</v>
      </c>
      <c r="AA20" s="10">
        <f t="shared" si="1"/>
        <v>-5.9808612440191422E-2</v>
      </c>
      <c r="AB20" s="10">
        <f t="shared" si="1"/>
        <v>-4.4917257683215084E-2</v>
      </c>
      <c r="AC20" s="10">
        <f t="shared" si="1"/>
        <v>-5.4502369668246398E-2</v>
      </c>
      <c r="AD20" s="10">
        <f t="shared" si="1"/>
        <v>-1.253132832080206E-2</v>
      </c>
      <c r="AE20" s="10">
        <f t="shared" si="1"/>
        <v>3.9440203562340903E-2</v>
      </c>
      <c r="AF20" s="10">
        <f t="shared" si="1"/>
        <v>-6.1881188118811936E-2</v>
      </c>
      <c r="AG20" s="10">
        <f t="shared" si="1"/>
        <v>-0.14536340852130325</v>
      </c>
      <c r="AH20" s="10">
        <f t="shared" si="1"/>
        <v>-0.20304568527918787</v>
      </c>
      <c r="AI20" s="10"/>
    </row>
    <row r="21" spans="2:52" x14ac:dyDescent="0.2">
      <c r="B21" s="20" t="s">
        <v>507</v>
      </c>
      <c r="C21" s="20"/>
      <c r="D21" s="20"/>
      <c r="E21" s="20"/>
      <c r="F21" s="20"/>
      <c r="G21" s="20"/>
      <c r="H21" s="20"/>
      <c r="I21" s="20"/>
      <c r="J21" s="20"/>
      <c r="K21" s="6">
        <v>39</v>
      </c>
      <c r="L21" s="6">
        <v>56</v>
      </c>
      <c r="M21" s="6">
        <v>114</v>
      </c>
      <c r="N21" s="6">
        <v>207</v>
      </c>
      <c r="O21" s="6">
        <v>255</v>
      </c>
      <c r="P21" s="6">
        <v>348</v>
      </c>
      <c r="Q21" s="6">
        <v>438</v>
      </c>
      <c r="R21" s="6">
        <v>503</v>
      </c>
      <c r="S21" s="6">
        <v>543</v>
      </c>
      <c r="T21" s="6">
        <v>617</v>
      </c>
      <c r="U21" s="6">
        <v>608</v>
      </c>
      <c r="V21" s="6">
        <v>705</v>
      </c>
    </row>
    <row r="22" spans="2:52" x14ac:dyDescent="0.2">
      <c r="B22" s="20" t="s">
        <v>506</v>
      </c>
      <c r="C22" s="20"/>
      <c r="D22" s="20"/>
      <c r="E22" s="20"/>
      <c r="F22" s="20"/>
      <c r="G22" s="20"/>
      <c r="H22" s="20"/>
      <c r="I22" s="20"/>
      <c r="J22" s="20"/>
      <c r="K22" s="20"/>
      <c r="L22" s="20"/>
      <c r="M22" s="20"/>
      <c r="N22" s="20"/>
      <c r="O22" s="10">
        <f t="shared" ref="O22:V22" si="2">O21/K21-1</f>
        <v>5.5384615384615383</v>
      </c>
      <c r="P22" s="10">
        <f t="shared" si="2"/>
        <v>5.2142857142857144</v>
      </c>
      <c r="Q22" s="10">
        <f t="shared" si="2"/>
        <v>2.8421052631578947</v>
      </c>
      <c r="R22" s="10">
        <f t="shared" si="2"/>
        <v>1.4299516908212562</v>
      </c>
      <c r="S22" s="10">
        <f t="shared" si="2"/>
        <v>1.1294117647058823</v>
      </c>
      <c r="T22" s="10">
        <f t="shared" si="2"/>
        <v>0.77298850574712641</v>
      </c>
      <c r="U22" s="10">
        <f t="shared" si="2"/>
        <v>0.38812785388127846</v>
      </c>
      <c r="V22" s="10">
        <f t="shared" si="2"/>
        <v>0.40159045725646125</v>
      </c>
    </row>
    <row r="23" spans="2:52" x14ac:dyDescent="0.2">
      <c r="B23" s="20" t="s">
        <v>508</v>
      </c>
      <c r="C23" s="20"/>
      <c r="D23" s="20"/>
      <c r="E23" s="20"/>
      <c r="F23" s="20"/>
      <c r="G23" s="6">
        <v>503</v>
      </c>
      <c r="H23" s="6">
        <v>518</v>
      </c>
      <c r="I23" s="6">
        <v>517</v>
      </c>
      <c r="J23" s="6">
        <v>609</v>
      </c>
      <c r="K23" s="6">
        <v>512</v>
      </c>
      <c r="L23" s="6">
        <v>570</v>
      </c>
      <c r="M23" s="6">
        <v>558</v>
      </c>
      <c r="N23" s="6">
        <v>620</v>
      </c>
      <c r="O23" s="6">
        <v>547</v>
      </c>
      <c r="P23" s="6">
        <v>611</v>
      </c>
      <c r="Q23" s="6">
        <v>626</v>
      </c>
      <c r="R23" s="6">
        <v>651</v>
      </c>
      <c r="S23" s="6">
        <v>590</v>
      </c>
      <c r="T23" s="6">
        <v>633</v>
      </c>
      <c r="U23" s="6">
        <v>681</v>
      </c>
      <c r="V23" s="6">
        <v>697</v>
      </c>
    </row>
    <row r="24" spans="2:52" x14ac:dyDescent="0.2">
      <c r="B24" s="20" t="s">
        <v>506</v>
      </c>
      <c r="C24" s="20"/>
      <c r="D24" s="20"/>
      <c r="E24" s="20"/>
      <c r="F24" s="20"/>
      <c r="H24" s="20"/>
      <c r="I24" s="20"/>
      <c r="J24" s="20"/>
      <c r="K24" s="10">
        <f t="shared" ref="K24:V24" si="3">K23/G23-1</f>
        <v>1.7892644135188762E-2</v>
      </c>
      <c r="L24" s="10">
        <f t="shared" si="3"/>
        <v>0.10038610038610041</v>
      </c>
      <c r="M24" s="10">
        <f t="shared" si="3"/>
        <v>7.9303675048356004E-2</v>
      </c>
      <c r="N24" s="10">
        <f t="shared" si="3"/>
        <v>1.8062397372742289E-2</v>
      </c>
      <c r="O24" s="10">
        <f t="shared" si="3"/>
        <v>6.8359375E-2</v>
      </c>
      <c r="P24" s="10">
        <f t="shared" si="3"/>
        <v>7.192982456140351E-2</v>
      </c>
      <c r="Q24" s="10">
        <f t="shared" si="3"/>
        <v>0.12186379928315416</v>
      </c>
      <c r="R24" s="10">
        <f t="shared" si="3"/>
        <v>5.0000000000000044E-2</v>
      </c>
      <c r="S24" s="10">
        <f t="shared" si="3"/>
        <v>7.8610603290676373E-2</v>
      </c>
      <c r="T24" s="10">
        <f t="shared" si="3"/>
        <v>3.6006546644844484E-2</v>
      </c>
      <c r="U24" s="10">
        <f t="shared" si="3"/>
        <v>8.7859424920127882E-2</v>
      </c>
      <c r="V24" s="10">
        <f t="shared" si="3"/>
        <v>7.0660522273425563E-2</v>
      </c>
      <c r="W24" s="10"/>
    </row>
    <row r="25" spans="2:52" x14ac:dyDescent="0.2">
      <c r="B25" s="20" t="s">
        <v>509</v>
      </c>
      <c r="C25" s="20"/>
      <c r="D25" s="20"/>
      <c r="E25" s="20"/>
      <c r="F25" s="20"/>
      <c r="G25" s="7">
        <f t="shared" ref="G25:V25" si="4">G23+G19+G21</f>
        <v>1271</v>
      </c>
      <c r="H25" s="7">
        <f t="shared" si="4"/>
        <v>1348</v>
      </c>
      <c r="I25" s="7">
        <f t="shared" si="4"/>
        <v>1545</v>
      </c>
      <c r="J25" s="7">
        <f t="shared" si="4"/>
        <v>1412</v>
      </c>
      <c r="K25" s="7">
        <f t="shared" si="4"/>
        <v>1542</v>
      </c>
      <c r="L25" s="7">
        <f t="shared" si="4"/>
        <v>1712</v>
      </c>
      <c r="M25" s="7">
        <f t="shared" si="4"/>
        <v>1768</v>
      </c>
      <c r="N25" s="7">
        <f t="shared" si="4"/>
        <v>1923</v>
      </c>
      <c r="O25" s="7">
        <f t="shared" si="4"/>
        <v>1799</v>
      </c>
      <c r="P25" s="7">
        <f t="shared" si="4"/>
        <v>1974</v>
      </c>
      <c r="Q25" s="7">
        <f t="shared" si="4"/>
        <v>2069</v>
      </c>
      <c r="R25" s="7">
        <f t="shared" si="4"/>
        <v>2121</v>
      </c>
      <c r="S25" s="7">
        <f t="shared" si="4"/>
        <v>2110</v>
      </c>
      <c r="T25" s="7">
        <f t="shared" si="4"/>
        <v>2125</v>
      </c>
      <c r="U25" s="7">
        <f t="shared" si="4"/>
        <v>2176</v>
      </c>
      <c r="V25" s="7">
        <f t="shared" si="4"/>
        <v>2252</v>
      </c>
      <c r="W25" s="7"/>
      <c r="X25" s="7"/>
      <c r="Y25" s="7"/>
      <c r="Z25" s="7"/>
      <c r="AA25" s="7"/>
      <c r="AB25" s="7"/>
      <c r="AC25" s="7"/>
      <c r="AD25" s="7"/>
      <c r="AE25" s="7"/>
      <c r="AF25" s="7"/>
      <c r="AG25" s="7"/>
      <c r="AH25" s="7"/>
      <c r="AI25" s="7"/>
      <c r="AJ25" s="4"/>
      <c r="AK25" s="4"/>
      <c r="AL25" s="4"/>
      <c r="AM25" s="4"/>
    </row>
    <row r="26" spans="2:52" x14ac:dyDescent="0.2">
      <c r="B26" s="20" t="s">
        <v>506</v>
      </c>
      <c r="C26" s="20"/>
      <c r="D26" s="20"/>
      <c r="E26" s="20"/>
      <c r="F26" s="20"/>
      <c r="G26" s="7"/>
      <c r="H26" s="7"/>
      <c r="I26" s="7"/>
      <c r="J26" s="7"/>
      <c r="K26" s="10">
        <f t="shared" ref="K26:V26" si="5">K25/G25-1</f>
        <v>0.21321793863099914</v>
      </c>
      <c r="L26" s="10">
        <f t="shared" si="5"/>
        <v>0.27002967359050456</v>
      </c>
      <c r="M26" s="10">
        <f t="shared" si="5"/>
        <v>0.14433656957928798</v>
      </c>
      <c r="N26" s="10">
        <f t="shared" si="5"/>
        <v>0.36189801699716706</v>
      </c>
      <c r="O26" s="10">
        <f t="shared" si="5"/>
        <v>0.16666666666666674</v>
      </c>
      <c r="P26" s="10">
        <f t="shared" si="5"/>
        <v>0.15303738317756999</v>
      </c>
      <c r="Q26" s="10">
        <f t="shared" si="5"/>
        <v>0.1702488687782806</v>
      </c>
      <c r="R26" s="10">
        <f t="shared" si="5"/>
        <v>0.10296411856474252</v>
      </c>
      <c r="S26" s="10">
        <f t="shared" si="5"/>
        <v>0.17287381878821573</v>
      </c>
      <c r="T26" s="10">
        <f t="shared" si="5"/>
        <v>7.6494427558257305E-2</v>
      </c>
      <c r="U26" s="10">
        <f t="shared" si="5"/>
        <v>5.1715804736587767E-2</v>
      </c>
      <c r="V26" s="10">
        <f t="shared" si="5"/>
        <v>6.176331918906186E-2</v>
      </c>
      <c r="W26" s="10"/>
      <c r="X26" s="7"/>
      <c r="Y26" s="7"/>
      <c r="Z26" s="7"/>
      <c r="AA26" s="7"/>
      <c r="AB26" s="7"/>
      <c r="AC26" s="7"/>
      <c r="AD26" s="7"/>
      <c r="AE26" s="7"/>
      <c r="AF26" s="7"/>
      <c r="AG26" s="7"/>
      <c r="AH26" s="7"/>
      <c r="AI26" s="7"/>
      <c r="AJ26" s="4"/>
      <c r="AK26" s="4"/>
      <c r="AL26" s="4"/>
      <c r="AM26" s="4"/>
    </row>
    <row r="27" spans="2:52" x14ac:dyDescent="0.2">
      <c r="B27" s="20"/>
      <c r="C27" s="20"/>
      <c r="D27" s="20"/>
      <c r="E27" s="20"/>
      <c r="F27" s="20"/>
      <c r="G27" s="20"/>
      <c r="H27" s="20"/>
      <c r="I27" s="20"/>
      <c r="J27" s="20"/>
      <c r="K27" s="20"/>
      <c r="L27" s="20"/>
      <c r="M27" s="20"/>
      <c r="N27" s="20"/>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row>
    <row r="28" spans="2:52" x14ac:dyDescent="0.2">
      <c r="B28" s="16" t="s">
        <v>323</v>
      </c>
      <c r="C28" s="17">
        <v>1997</v>
      </c>
      <c r="D28" s="17">
        <v>1998</v>
      </c>
      <c r="E28" s="17">
        <v>1999</v>
      </c>
      <c r="F28" s="17">
        <v>2000</v>
      </c>
      <c r="G28" s="17">
        <v>2001</v>
      </c>
      <c r="H28" s="17">
        <v>2002</v>
      </c>
      <c r="I28" s="17">
        <v>2003</v>
      </c>
      <c r="J28" s="17">
        <v>2004</v>
      </c>
      <c r="K28" s="17">
        <v>2005</v>
      </c>
      <c r="L28" s="17">
        <v>2006</v>
      </c>
      <c r="M28" s="17">
        <v>2007</v>
      </c>
      <c r="N28" s="17" t="s">
        <v>510</v>
      </c>
      <c r="O28" s="17" t="s">
        <v>511</v>
      </c>
      <c r="P28" s="17" t="s">
        <v>512</v>
      </c>
      <c r="Q28" s="17" t="s">
        <v>513</v>
      </c>
      <c r="R28" s="17" t="s">
        <v>514</v>
      </c>
      <c r="S28" s="17" t="s">
        <v>515</v>
      </c>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row>
    <row r="29" spans="2:52" x14ac:dyDescent="0.2">
      <c r="B29" s="16" t="s">
        <v>503</v>
      </c>
      <c r="C29" s="19">
        <v>500</v>
      </c>
      <c r="D29" s="19">
        <v>752</v>
      </c>
      <c r="E29" s="19">
        <v>1240</v>
      </c>
      <c r="F29" s="19">
        <v>1810</v>
      </c>
      <c r="G29" s="19">
        <v>2335.3000000000002</v>
      </c>
      <c r="H29" s="19">
        <v>3034</v>
      </c>
      <c r="I29" s="19">
        <v>2804</v>
      </c>
      <c r="J29" s="19">
        <v>2461</v>
      </c>
      <c r="K29" s="19">
        <v>2246</v>
      </c>
      <c r="L29" s="19">
        <f>SUM(AA17:AD17)</f>
        <v>2064</v>
      </c>
      <c r="M29" s="19">
        <f>SUM(AE17:AH17)</f>
        <v>1690</v>
      </c>
      <c r="N29" s="19">
        <v>1250</v>
      </c>
      <c r="O29" s="19">
        <f>+N29*0.8</f>
        <v>1000</v>
      </c>
      <c r="P29" s="19">
        <f t="shared" ref="P29:S30" si="6">+O29*0.9</f>
        <v>900</v>
      </c>
      <c r="Q29" s="19">
        <f t="shared" si="6"/>
        <v>810</v>
      </c>
      <c r="R29" s="19">
        <f t="shared" si="6"/>
        <v>729</v>
      </c>
      <c r="S29" s="19">
        <f t="shared" si="6"/>
        <v>656.1</v>
      </c>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row>
    <row r="30" spans="2:52" x14ac:dyDescent="0.2">
      <c r="B30" s="16" t="s">
        <v>504</v>
      </c>
      <c r="C30" s="19">
        <v>635</v>
      </c>
      <c r="D30" s="19">
        <v>743</v>
      </c>
      <c r="E30" s="19">
        <v>854</v>
      </c>
      <c r="F30" s="19">
        <v>899</v>
      </c>
      <c r="G30" s="19">
        <v>1093.9000000000001</v>
      </c>
      <c r="H30" s="19">
        <v>1234.5</v>
      </c>
      <c r="I30" s="19">
        <v>1180</v>
      </c>
      <c r="J30" s="19">
        <v>1128</v>
      </c>
      <c r="K30" s="19">
        <v>1078</v>
      </c>
      <c r="L30" s="19">
        <f>SUM(AA18:AD18)</f>
        <v>1116</v>
      </c>
      <c r="M30" s="19">
        <f>SUM(AE18:AH18)</f>
        <v>1195</v>
      </c>
      <c r="N30" s="19">
        <v>1100</v>
      </c>
      <c r="O30" s="19">
        <f>+N30*0.9</f>
        <v>990</v>
      </c>
      <c r="P30" s="19">
        <f t="shared" si="6"/>
        <v>891</v>
      </c>
      <c r="Q30" s="19">
        <f t="shared" si="6"/>
        <v>801.9</v>
      </c>
      <c r="R30" s="19">
        <f t="shared" si="6"/>
        <v>721.71</v>
      </c>
      <c r="S30" s="19">
        <f t="shared" si="6"/>
        <v>649.5390000000001</v>
      </c>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row>
    <row r="31" spans="2:52" x14ac:dyDescent="0.2">
      <c r="B31" s="16" t="s">
        <v>505</v>
      </c>
      <c r="C31" s="19">
        <f t="shared" ref="C31:S31" si="7">SUM(C29:C30)</f>
        <v>1135</v>
      </c>
      <c r="D31" s="19">
        <f t="shared" si="7"/>
        <v>1495</v>
      </c>
      <c r="E31" s="19">
        <f t="shared" si="7"/>
        <v>2094</v>
      </c>
      <c r="F31" s="19">
        <f t="shared" si="7"/>
        <v>2709</v>
      </c>
      <c r="G31" s="19">
        <f t="shared" si="7"/>
        <v>3429.2000000000003</v>
      </c>
      <c r="H31" s="19">
        <f t="shared" si="7"/>
        <v>4268.5</v>
      </c>
      <c r="I31" s="19">
        <f t="shared" si="7"/>
        <v>3984</v>
      </c>
      <c r="J31" s="19">
        <f t="shared" si="7"/>
        <v>3589</v>
      </c>
      <c r="K31" s="19">
        <f t="shared" si="7"/>
        <v>3324</v>
      </c>
      <c r="L31" s="19">
        <f t="shared" si="7"/>
        <v>3180</v>
      </c>
      <c r="M31" s="19">
        <f t="shared" si="7"/>
        <v>2885</v>
      </c>
      <c r="N31" s="19">
        <f t="shared" si="7"/>
        <v>2350</v>
      </c>
      <c r="O31" s="19">
        <f t="shared" si="7"/>
        <v>1990</v>
      </c>
      <c r="P31" s="19">
        <f t="shared" si="7"/>
        <v>1791</v>
      </c>
      <c r="Q31" s="19">
        <f t="shared" si="7"/>
        <v>1611.9</v>
      </c>
      <c r="R31" s="19">
        <f t="shared" si="7"/>
        <v>1450.71</v>
      </c>
      <c r="S31" s="19">
        <f t="shared" si="7"/>
        <v>1305.6390000000001</v>
      </c>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row>
    <row r="32" spans="2:52" x14ac:dyDescent="0.2">
      <c r="B32" s="16" t="s">
        <v>506</v>
      </c>
      <c r="C32" s="10"/>
      <c r="D32" s="8">
        <f t="shared" ref="D32:S32" si="8">D31/C31-1</f>
        <v>0.31718061674008813</v>
      </c>
      <c r="E32" s="8">
        <f t="shared" si="8"/>
        <v>0.40066889632107028</v>
      </c>
      <c r="F32" s="8">
        <f t="shared" si="8"/>
        <v>0.29369627507163321</v>
      </c>
      <c r="G32" s="8">
        <f t="shared" si="8"/>
        <v>0.26585455887781473</v>
      </c>
      <c r="H32" s="8">
        <f t="shared" si="8"/>
        <v>0.24475096232357396</v>
      </c>
      <c r="I32" s="8">
        <f t="shared" si="8"/>
        <v>-6.6651048377650235E-2</v>
      </c>
      <c r="J32" s="8">
        <f t="shared" si="8"/>
        <v>-9.9146586345381538E-2</v>
      </c>
      <c r="K32" s="8">
        <f t="shared" si="8"/>
        <v>-7.3836723321259456E-2</v>
      </c>
      <c r="L32" s="8">
        <f t="shared" si="8"/>
        <v>-4.3321299638989119E-2</v>
      </c>
      <c r="M32" s="8">
        <f t="shared" si="8"/>
        <v>-9.2767295597484312E-2</v>
      </c>
      <c r="N32" s="8">
        <f t="shared" si="8"/>
        <v>-0.18544194107452339</v>
      </c>
      <c r="O32" s="8">
        <f t="shared" si="8"/>
        <v>-0.15319148936170213</v>
      </c>
      <c r="P32" s="8">
        <f t="shared" si="8"/>
        <v>-9.9999999999999978E-2</v>
      </c>
      <c r="Q32" s="8">
        <f t="shared" si="8"/>
        <v>-9.9999999999999978E-2</v>
      </c>
      <c r="R32" s="8">
        <f t="shared" si="8"/>
        <v>-9.9999999999999978E-2</v>
      </c>
      <c r="S32" s="8">
        <f t="shared" si="8"/>
        <v>-9.9999999999999978E-2</v>
      </c>
      <c r="AN32" s="8"/>
      <c r="AO32" s="8"/>
      <c r="AP32" s="8"/>
      <c r="AQ32" s="8"/>
      <c r="AR32" s="8"/>
      <c r="AS32" s="8"/>
      <c r="AT32" s="8"/>
      <c r="AU32" s="8"/>
      <c r="AV32" s="8"/>
      <c r="AW32" s="8"/>
      <c r="AX32" s="8"/>
      <c r="AY32" s="8"/>
      <c r="AZ32" s="8"/>
    </row>
    <row r="33" spans="2:52" x14ac:dyDescent="0.2">
      <c r="B33" s="20" t="s">
        <v>507</v>
      </c>
      <c r="G33" s="21">
        <v>42</v>
      </c>
      <c r="H33" s="21">
        <v>415.6</v>
      </c>
      <c r="I33" s="21">
        <v>1543.8</v>
      </c>
      <c r="J33" s="21">
        <v>2472.9</v>
      </c>
      <c r="K33" s="21">
        <v>3273</v>
      </c>
      <c r="L33" s="21">
        <v>3838.3249927500001</v>
      </c>
      <c r="M33" s="21">
        <f>+L33*(1+M34)</f>
        <v>4479.3252665392502</v>
      </c>
      <c r="N33" s="21">
        <f>+M33*(1+N34)</f>
        <v>3583.4602132314003</v>
      </c>
      <c r="O33" s="21">
        <f>+N33*0.8</f>
        <v>2866.7681705851205</v>
      </c>
      <c r="P33" s="21">
        <f>O33*0.95</f>
        <v>2723.4297620558646</v>
      </c>
      <c r="Q33" s="21">
        <f>P33*0.95</f>
        <v>2587.2582739530712</v>
      </c>
      <c r="R33" s="21">
        <f>Q33*0.95</f>
        <v>2457.8953602554175</v>
      </c>
      <c r="S33" s="21">
        <f>R33*0.95</f>
        <v>2335.0005922426467</v>
      </c>
      <c r="AN33" s="8"/>
      <c r="AO33" s="8"/>
      <c r="AP33" s="8"/>
      <c r="AQ33" s="8"/>
      <c r="AR33" s="8"/>
      <c r="AS33" s="8"/>
      <c r="AT33" s="8"/>
      <c r="AU33" s="8"/>
      <c r="AV33" s="8"/>
      <c r="AW33" s="8"/>
      <c r="AX33" s="8"/>
      <c r="AY33" s="8"/>
      <c r="AZ33" s="8"/>
    </row>
    <row r="34" spans="2:52" x14ac:dyDescent="0.2">
      <c r="B34" s="20"/>
      <c r="G34" s="21"/>
      <c r="H34" s="8">
        <f>+H33/G33-1</f>
        <v>8.8952380952380956</v>
      </c>
      <c r="I34" s="8">
        <f>+I33/H33-1</f>
        <v>2.7146294513955724</v>
      </c>
      <c r="J34" s="22">
        <f>+J33/I33-1</f>
        <v>0.60182666148464836</v>
      </c>
      <c r="K34" s="22">
        <f>+K33/J33-1</f>
        <v>0.32354725221399971</v>
      </c>
      <c r="L34" s="22">
        <f>+L33/K33-1</f>
        <v>0.1727237985792851</v>
      </c>
      <c r="M34" s="22">
        <v>0.16700000000000001</v>
      </c>
      <c r="N34" s="22">
        <v>-0.2</v>
      </c>
      <c r="O34" s="22">
        <f>+O33/N33-1</f>
        <v>-0.19999999999999996</v>
      </c>
      <c r="P34" s="22">
        <f>+P33/O33-1</f>
        <v>-4.9999999999999933E-2</v>
      </c>
      <c r="Q34" s="22">
        <f>+Q33/P33-1</f>
        <v>-5.0000000000000044E-2</v>
      </c>
      <c r="R34" s="22">
        <f>+R33/Q33-1</f>
        <v>-5.0000000000000044E-2</v>
      </c>
      <c r="S34" s="22">
        <f>+S33/R33-1</f>
        <v>-4.9999999999999933E-2</v>
      </c>
      <c r="AN34" s="8"/>
      <c r="AO34" s="8"/>
      <c r="AP34" s="8"/>
      <c r="AQ34" s="8"/>
      <c r="AR34" s="8"/>
      <c r="AS34" s="8"/>
      <c r="AT34" s="8"/>
      <c r="AU34" s="8"/>
      <c r="AV34" s="8"/>
      <c r="AW34" s="8"/>
      <c r="AX34" s="8"/>
      <c r="AY34" s="8"/>
      <c r="AZ34" s="8"/>
    </row>
    <row r="35" spans="2:52" x14ac:dyDescent="0.2">
      <c r="B35" s="20" t="s">
        <v>508</v>
      </c>
      <c r="F35" s="7">
        <v>1962.4</v>
      </c>
      <c r="G35" s="7">
        <v>2108.1</v>
      </c>
      <c r="H35" s="7">
        <v>2260</v>
      </c>
      <c r="I35" s="7">
        <v>2434.6</v>
      </c>
      <c r="J35" s="7">
        <v>2600.6</v>
      </c>
      <c r="K35" s="7">
        <v>2455</v>
      </c>
      <c r="L35" s="7">
        <v>2460.7399999999998</v>
      </c>
      <c r="M35" s="7">
        <f t="shared" ref="M35:S35" si="9">+L35*(1+M36)</f>
        <v>2485.3473999999997</v>
      </c>
      <c r="N35" s="7">
        <f t="shared" si="9"/>
        <v>2361.0800299999996</v>
      </c>
      <c r="O35" s="7">
        <f t="shared" si="9"/>
        <v>2313.8584293999997</v>
      </c>
      <c r="P35" s="7">
        <f t="shared" si="9"/>
        <v>2313.8584293999997</v>
      </c>
      <c r="Q35" s="7">
        <f t="shared" si="9"/>
        <v>2336.9970136939996</v>
      </c>
      <c r="R35" s="7">
        <f t="shared" si="9"/>
        <v>2360.3669838309397</v>
      </c>
      <c r="S35" s="7">
        <f t="shared" si="9"/>
        <v>2383.9706536692493</v>
      </c>
      <c r="AN35" s="8"/>
      <c r="AO35" s="8"/>
      <c r="AP35" s="8"/>
      <c r="AQ35" s="8"/>
      <c r="AR35" s="8"/>
      <c r="AS35" s="8"/>
      <c r="AT35" s="8"/>
      <c r="AU35" s="8"/>
      <c r="AV35" s="8"/>
      <c r="AW35" s="8"/>
      <c r="AX35" s="8"/>
      <c r="AY35" s="8"/>
      <c r="AZ35" s="8"/>
    </row>
    <row r="36" spans="2:52" x14ac:dyDescent="0.2">
      <c r="B36" s="20"/>
      <c r="G36" s="22">
        <f t="shared" ref="G36:L36" si="10">+G35/F35-1</f>
        <v>7.4245821443130744E-2</v>
      </c>
      <c r="H36" s="22">
        <f t="shared" si="10"/>
        <v>7.2055405341302725E-2</v>
      </c>
      <c r="I36" s="22">
        <f t="shared" si="10"/>
        <v>7.7256637168141573E-2</v>
      </c>
      <c r="J36" s="22">
        <f t="shared" si="10"/>
        <v>6.8183685204961764E-2</v>
      </c>
      <c r="K36" s="22">
        <f t="shared" si="10"/>
        <v>-5.598707990463736E-2</v>
      </c>
      <c r="L36" s="22">
        <f t="shared" si="10"/>
        <v>2.3380855397148181E-3</v>
      </c>
      <c r="M36" s="22">
        <v>0.01</v>
      </c>
      <c r="N36" s="22">
        <v>-0.05</v>
      </c>
      <c r="O36" s="22">
        <v>-0.02</v>
      </c>
      <c r="P36" s="22">
        <v>0</v>
      </c>
      <c r="Q36" s="22">
        <v>0.01</v>
      </c>
      <c r="R36" s="22">
        <v>0.01</v>
      </c>
      <c r="S36" s="22">
        <v>0.01</v>
      </c>
      <c r="AN36" s="8"/>
      <c r="AO36" s="8"/>
      <c r="AP36" s="8"/>
      <c r="AQ36" s="8"/>
      <c r="AR36" s="8"/>
      <c r="AS36" s="8"/>
      <c r="AT36" s="8"/>
      <c r="AU36" s="8"/>
      <c r="AV36" s="8"/>
      <c r="AW36" s="8"/>
      <c r="AX36" s="8"/>
      <c r="AY36" s="8"/>
      <c r="AZ36" s="8"/>
    </row>
    <row r="37" spans="2:52" x14ac:dyDescent="0.2">
      <c r="B37" s="20" t="s">
        <v>509</v>
      </c>
      <c r="C37" s="7"/>
      <c r="D37" s="7"/>
      <c r="E37" s="7"/>
      <c r="F37" s="7">
        <f t="shared" ref="F37:S37" si="11">+F31+F33+F35</f>
        <v>4671.3999999999996</v>
      </c>
      <c r="G37" s="7">
        <f t="shared" si="11"/>
        <v>5579.3</v>
      </c>
      <c r="H37" s="7">
        <f t="shared" si="11"/>
        <v>6944.1</v>
      </c>
      <c r="I37" s="7">
        <f t="shared" si="11"/>
        <v>7962.4</v>
      </c>
      <c r="J37" s="7">
        <f t="shared" si="11"/>
        <v>8662.5</v>
      </c>
      <c r="K37" s="7">
        <f t="shared" si="11"/>
        <v>9052</v>
      </c>
      <c r="L37" s="7">
        <f t="shared" si="11"/>
        <v>9479.0649927499999</v>
      </c>
      <c r="M37" s="7">
        <f t="shared" si="11"/>
        <v>9849.6726665392489</v>
      </c>
      <c r="N37" s="7">
        <f t="shared" si="11"/>
        <v>8294.5402432314004</v>
      </c>
      <c r="O37" s="7">
        <f t="shared" si="11"/>
        <v>7170.6265999851203</v>
      </c>
      <c r="P37" s="7">
        <f t="shared" si="11"/>
        <v>6828.2881914558639</v>
      </c>
      <c r="Q37" s="7">
        <f t="shared" si="11"/>
        <v>6536.1552876470705</v>
      </c>
      <c r="R37" s="7">
        <f t="shared" si="11"/>
        <v>6268.9723440863572</v>
      </c>
      <c r="S37" s="7">
        <f t="shared" si="11"/>
        <v>6024.6102459118956</v>
      </c>
      <c r="AN37" s="8"/>
      <c r="AO37" s="8"/>
      <c r="AP37" s="8"/>
      <c r="AQ37" s="8"/>
      <c r="AR37" s="8"/>
      <c r="AS37" s="8"/>
      <c r="AT37" s="8"/>
      <c r="AU37" s="8"/>
      <c r="AV37" s="8"/>
      <c r="AW37" s="8"/>
      <c r="AX37" s="8"/>
      <c r="AY37" s="8"/>
      <c r="AZ37" s="8"/>
    </row>
    <row r="38" spans="2:52" x14ac:dyDescent="0.2">
      <c r="C38" s="4"/>
      <c r="D38" s="4"/>
      <c r="E38" s="4"/>
      <c r="F38" s="4"/>
      <c r="G38" s="8">
        <f t="shared" ref="G38:S38" si="12">G37/F37-1</f>
        <v>0.19435287065975948</v>
      </c>
      <c r="H38" s="8">
        <f t="shared" si="12"/>
        <v>0.24461850052874023</v>
      </c>
      <c r="I38" s="8">
        <f t="shared" si="12"/>
        <v>0.1466424734666838</v>
      </c>
      <c r="J38" s="8">
        <f t="shared" si="12"/>
        <v>8.7925751029840349E-2</v>
      </c>
      <c r="K38" s="8">
        <f t="shared" si="12"/>
        <v>4.4963924963924873E-2</v>
      </c>
      <c r="L38" s="8">
        <f t="shared" si="12"/>
        <v>4.7179075646266E-2</v>
      </c>
      <c r="M38" s="8">
        <f t="shared" si="12"/>
        <v>3.9097492640118636E-2</v>
      </c>
      <c r="N38" s="8">
        <f t="shared" si="12"/>
        <v>-0.15788671115851971</v>
      </c>
      <c r="O38" s="8">
        <f t="shared" si="12"/>
        <v>-0.13550041476541486</v>
      </c>
      <c r="P38" s="8">
        <f t="shared" si="12"/>
        <v>-4.7741770367734193E-2</v>
      </c>
      <c r="Q38" s="8">
        <f t="shared" si="12"/>
        <v>-4.2782743729875783E-2</v>
      </c>
      <c r="R38" s="8">
        <f t="shared" si="12"/>
        <v>-4.0877692129755894E-2</v>
      </c>
      <c r="S38" s="8">
        <f t="shared" si="12"/>
        <v>-3.8979610175657098E-2</v>
      </c>
      <c r="AN38" s="8"/>
      <c r="AO38" s="8"/>
      <c r="AP38" s="8"/>
      <c r="AQ38" s="8"/>
      <c r="AR38" s="8"/>
      <c r="AS38" s="8"/>
      <c r="AT38" s="8"/>
      <c r="AU38" s="8"/>
      <c r="AV38" s="8"/>
      <c r="AW38" s="8"/>
      <c r="AX38" s="8"/>
      <c r="AY38" s="8"/>
      <c r="AZ38" s="8"/>
    </row>
    <row r="39" spans="2:52" x14ac:dyDescent="0.2">
      <c r="C39" s="4"/>
      <c r="D39" s="4"/>
      <c r="E39" s="4"/>
      <c r="F39" s="4"/>
      <c r="G39" s="4"/>
      <c r="H39" s="4"/>
      <c r="I39" s="4"/>
      <c r="J39" s="4"/>
      <c r="K39" s="4"/>
      <c r="L39" s="4"/>
      <c r="M39" s="4"/>
      <c r="N39" s="4"/>
      <c r="AN39" s="8"/>
      <c r="AO39" s="8"/>
      <c r="AP39" s="8"/>
      <c r="AQ39" s="8"/>
      <c r="AR39" s="8"/>
      <c r="AS39" s="8"/>
      <c r="AT39" s="8"/>
      <c r="AU39" s="8"/>
      <c r="AV39" s="8"/>
      <c r="AW39" s="8"/>
      <c r="AX39" s="8"/>
      <c r="AY39" s="8"/>
      <c r="AZ39" s="8"/>
    </row>
    <row r="40" spans="2:52" x14ac:dyDescent="0.2">
      <c r="B40" s="4" t="s">
        <v>516</v>
      </c>
      <c r="C40" s="23"/>
      <c r="D40" s="23"/>
      <c r="E40" s="23"/>
      <c r="F40" s="23"/>
      <c r="G40" s="23"/>
      <c r="H40" s="23"/>
      <c r="I40" s="23"/>
      <c r="J40" s="23"/>
      <c r="K40" s="23"/>
      <c r="L40" s="23"/>
      <c r="M40" s="23"/>
      <c r="N40" s="23"/>
      <c r="O40" s="23"/>
      <c r="P40" s="23"/>
      <c r="Q40" s="23"/>
      <c r="R40" s="23"/>
      <c r="S40" s="23"/>
      <c r="T40" s="23"/>
      <c r="U40" s="23"/>
      <c r="V40" s="23"/>
      <c r="W40" s="23"/>
      <c r="X40" s="23"/>
      <c r="Y40" s="23"/>
      <c r="AI40" s="4"/>
      <c r="AJ40" s="4"/>
      <c r="AK40" s="4"/>
      <c r="AL40" s="4"/>
      <c r="AM40" s="4"/>
    </row>
    <row r="41" spans="2:52" x14ac:dyDescent="0.2">
      <c r="B41" s="9" t="s">
        <v>517</v>
      </c>
      <c r="C41" s="10"/>
      <c r="D41" s="10"/>
      <c r="E41" s="10"/>
      <c r="F41" s="10"/>
      <c r="G41" s="10"/>
      <c r="H41" s="10"/>
      <c r="I41" s="10"/>
      <c r="J41" s="10"/>
      <c r="K41" s="10"/>
      <c r="L41" s="10"/>
      <c r="M41" s="10"/>
      <c r="N41" s="10"/>
      <c r="O41" s="10"/>
      <c r="P41" s="10"/>
      <c r="Q41" s="10"/>
      <c r="R41" s="10"/>
      <c r="S41" s="10"/>
      <c r="T41" s="10"/>
      <c r="U41" s="10"/>
      <c r="V41" s="10"/>
      <c r="W41" s="10"/>
      <c r="X41" s="10"/>
      <c r="Y41" s="10"/>
      <c r="AJ41" s="4"/>
      <c r="AK41" s="4"/>
      <c r="AL41" s="4"/>
      <c r="AM41" s="4"/>
    </row>
    <row r="42" spans="2:52" s="15" customFormat="1" x14ac:dyDescent="0.2">
      <c r="B42" s="15" t="s">
        <v>350</v>
      </c>
      <c r="C42" s="8">
        <v>0.9</v>
      </c>
      <c r="D42" s="8">
        <v>0.9</v>
      </c>
      <c r="E42" s="8">
        <v>0.9</v>
      </c>
      <c r="F42" s="8">
        <v>0.9</v>
      </c>
      <c r="G42" s="8">
        <v>0.9</v>
      </c>
      <c r="H42" s="8">
        <v>0.9</v>
      </c>
      <c r="I42" s="8">
        <v>0.9</v>
      </c>
      <c r="J42" s="8">
        <v>0.9</v>
      </c>
      <c r="K42" s="8">
        <v>0.9</v>
      </c>
      <c r="L42" s="8">
        <v>0.9</v>
      </c>
      <c r="M42" s="8">
        <v>0.9</v>
      </c>
      <c r="N42" s="8">
        <v>0.9</v>
      </c>
      <c r="O42" s="8">
        <v>0.9</v>
      </c>
      <c r="P42" s="8">
        <v>0.9</v>
      </c>
      <c r="Q42" s="8">
        <v>0.9</v>
      </c>
      <c r="R42" s="8">
        <v>0.9</v>
      </c>
      <c r="S42" s="8">
        <v>0.9</v>
      </c>
      <c r="T42" s="8">
        <v>0.9</v>
      </c>
      <c r="U42" s="8">
        <v>0.9</v>
      </c>
      <c r="V42" s="8">
        <v>0.9</v>
      </c>
      <c r="W42" s="8"/>
      <c r="X42" s="8"/>
      <c r="Y42" s="8"/>
      <c r="Z42" s="8"/>
      <c r="AA42" s="8"/>
      <c r="AB42" s="8"/>
      <c r="AC42" s="8"/>
      <c r="AD42" s="8"/>
      <c r="AE42" s="8"/>
      <c r="AF42" s="8"/>
      <c r="AG42" s="8"/>
      <c r="AH42" s="8"/>
      <c r="AI42" s="8"/>
      <c r="AJ42" s="8"/>
      <c r="AK42" s="8"/>
      <c r="AL42" s="8"/>
      <c r="AM42" s="8"/>
    </row>
    <row r="43" spans="2:52" x14ac:dyDescent="0.2">
      <c r="B43" s="4" t="s">
        <v>337</v>
      </c>
      <c r="C43" s="7">
        <f t="shared" ref="C43:V43" si="13">C42*O19</f>
        <v>897.30000000000007</v>
      </c>
      <c r="D43" s="7">
        <f t="shared" si="13"/>
        <v>913.5</v>
      </c>
      <c r="E43" s="7">
        <f t="shared" si="13"/>
        <v>904.5</v>
      </c>
      <c r="F43" s="7">
        <f t="shared" si="13"/>
        <v>870.30000000000007</v>
      </c>
      <c r="G43" s="7">
        <f t="shared" si="13"/>
        <v>879.30000000000007</v>
      </c>
      <c r="H43" s="7">
        <f t="shared" si="13"/>
        <v>787.5</v>
      </c>
      <c r="I43" s="7">
        <f t="shared" si="13"/>
        <v>798.30000000000007</v>
      </c>
      <c r="J43" s="7">
        <f t="shared" si="13"/>
        <v>765</v>
      </c>
      <c r="K43" s="7">
        <f t="shared" si="13"/>
        <v>752.4</v>
      </c>
      <c r="L43" s="7">
        <f t="shared" si="13"/>
        <v>761.4</v>
      </c>
      <c r="M43" s="7">
        <f t="shared" si="13"/>
        <v>759.6</v>
      </c>
      <c r="N43" s="7">
        <f t="shared" si="13"/>
        <v>718.2</v>
      </c>
      <c r="O43" s="7">
        <f t="shared" si="13"/>
        <v>707.4</v>
      </c>
      <c r="P43" s="7">
        <f t="shared" si="13"/>
        <v>727.2</v>
      </c>
      <c r="Q43" s="7">
        <f t="shared" si="13"/>
        <v>718.2</v>
      </c>
      <c r="R43" s="7">
        <f t="shared" si="13"/>
        <v>709.2</v>
      </c>
      <c r="S43" s="7">
        <f t="shared" si="13"/>
        <v>735.30000000000007</v>
      </c>
      <c r="T43" s="7">
        <f t="shared" si="13"/>
        <v>682.2</v>
      </c>
      <c r="U43" s="7">
        <f t="shared" si="13"/>
        <v>613.80000000000007</v>
      </c>
      <c r="V43" s="7">
        <f t="shared" si="13"/>
        <v>565.20000000000005</v>
      </c>
      <c r="W43" s="7"/>
      <c r="X43" s="7"/>
      <c r="Y43" s="7"/>
    </row>
    <row r="44" spans="2:52" x14ac:dyDescent="0.2">
      <c r="B44" s="4" t="s">
        <v>518</v>
      </c>
      <c r="C44" s="6">
        <v>700</v>
      </c>
      <c r="D44" s="6">
        <v>700</v>
      </c>
      <c r="E44" s="6">
        <v>700</v>
      </c>
      <c r="F44" s="6">
        <v>700</v>
      </c>
      <c r="G44" s="6">
        <v>700</v>
      </c>
      <c r="H44" s="6">
        <f t="shared" ref="H44:V44" si="14">G44</f>
        <v>700</v>
      </c>
      <c r="I44" s="6">
        <f t="shared" si="14"/>
        <v>700</v>
      </c>
      <c r="J44" s="6">
        <f t="shared" si="14"/>
        <v>700</v>
      </c>
      <c r="K44" s="6">
        <f t="shared" si="14"/>
        <v>700</v>
      </c>
      <c r="L44" s="6">
        <f t="shared" si="14"/>
        <v>700</v>
      </c>
      <c r="M44" s="6">
        <f t="shared" si="14"/>
        <v>700</v>
      </c>
      <c r="N44" s="6">
        <f t="shared" si="14"/>
        <v>700</v>
      </c>
      <c r="O44" s="6">
        <f t="shared" si="14"/>
        <v>700</v>
      </c>
      <c r="P44" s="6">
        <f t="shared" si="14"/>
        <v>700</v>
      </c>
      <c r="Q44" s="6">
        <f t="shared" si="14"/>
        <v>700</v>
      </c>
      <c r="R44" s="6">
        <f t="shared" si="14"/>
        <v>700</v>
      </c>
      <c r="S44" s="6">
        <f t="shared" si="14"/>
        <v>700</v>
      </c>
      <c r="T44" s="6">
        <f t="shared" si="14"/>
        <v>700</v>
      </c>
      <c r="U44" s="6">
        <f t="shared" si="14"/>
        <v>700</v>
      </c>
      <c r="V44" s="6">
        <f t="shared" si="14"/>
        <v>700</v>
      </c>
    </row>
    <row r="45" spans="2:52" x14ac:dyDescent="0.2">
      <c r="B45" s="4" t="s">
        <v>519</v>
      </c>
      <c r="C45" s="6">
        <f>0.3/4</f>
        <v>7.4999999999999997E-2</v>
      </c>
      <c r="D45" s="6">
        <f>0.3/4</f>
        <v>7.4999999999999997E-2</v>
      </c>
      <c r="E45" s="6">
        <f>0.3/4</f>
        <v>7.4999999999999997E-2</v>
      </c>
      <c r="F45" s="6">
        <f>0.3/4</f>
        <v>7.4999999999999997E-2</v>
      </c>
      <c r="G45" s="6">
        <f>0.3/4</f>
        <v>7.4999999999999997E-2</v>
      </c>
      <c r="H45" s="6">
        <f t="shared" ref="H45:V45" si="15">0.3/4</f>
        <v>7.4999999999999997E-2</v>
      </c>
      <c r="I45" s="6">
        <f t="shared" si="15"/>
        <v>7.4999999999999997E-2</v>
      </c>
      <c r="J45" s="6">
        <f t="shared" si="15"/>
        <v>7.4999999999999997E-2</v>
      </c>
      <c r="K45" s="6">
        <f t="shared" si="15"/>
        <v>7.4999999999999997E-2</v>
      </c>
      <c r="L45" s="6">
        <f t="shared" si="15"/>
        <v>7.4999999999999997E-2</v>
      </c>
      <c r="M45" s="6">
        <f t="shared" si="15"/>
        <v>7.4999999999999997E-2</v>
      </c>
      <c r="N45" s="6">
        <f t="shared" si="15"/>
        <v>7.4999999999999997E-2</v>
      </c>
      <c r="O45" s="6">
        <f t="shared" si="15"/>
        <v>7.4999999999999997E-2</v>
      </c>
      <c r="P45" s="6">
        <f t="shared" si="15"/>
        <v>7.4999999999999997E-2</v>
      </c>
      <c r="Q45" s="6">
        <f t="shared" si="15"/>
        <v>7.4999999999999997E-2</v>
      </c>
      <c r="R45" s="6">
        <f t="shared" si="15"/>
        <v>7.4999999999999997E-2</v>
      </c>
      <c r="S45" s="6">
        <f t="shared" si="15"/>
        <v>7.4999999999999997E-2</v>
      </c>
      <c r="T45" s="6">
        <f t="shared" si="15"/>
        <v>7.4999999999999997E-2</v>
      </c>
      <c r="U45" s="6">
        <f t="shared" si="15"/>
        <v>7.4999999999999997E-2</v>
      </c>
      <c r="V45" s="6">
        <f t="shared" si="15"/>
        <v>7.4999999999999997E-2</v>
      </c>
    </row>
    <row r="46" spans="2:52" x14ac:dyDescent="0.2">
      <c r="B46" s="4" t="s">
        <v>520</v>
      </c>
      <c r="C46" s="7">
        <f t="shared" ref="C46:V46" si="16">C45*C44</f>
        <v>52.5</v>
      </c>
      <c r="D46" s="7">
        <f t="shared" si="16"/>
        <v>52.5</v>
      </c>
      <c r="E46" s="7">
        <f t="shared" si="16"/>
        <v>52.5</v>
      </c>
      <c r="F46" s="7">
        <f t="shared" si="16"/>
        <v>52.5</v>
      </c>
      <c r="G46" s="7">
        <f t="shared" si="16"/>
        <v>52.5</v>
      </c>
      <c r="H46" s="7">
        <f t="shared" si="16"/>
        <v>52.5</v>
      </c>
      <c r="I46" s="7">
        <f t="shared" si="16"/>
        <v>52.5</v>
      </c>
      <c r="J46" s="7">
        <f t="shared" si="16"/>
        <v>52.5</v>
      </c>
      <c r="K46" s="7">
        <f t="shared" si="16"/>
        <v>52.5</v>
      </c>
      <c r="L46" s="7">
        <f t="shared" si="16"/>
        <v>52.5</v>
      </c>
      <c r="M46" s="7">
        <f t="shared" si="16"/>
        <v>52.5</v>
      </c>
      <c r="N46" s="7">
        <f t="shared" si="16"/>
        <v>52.5</v>
      </c>
      <c r="O46" s="7">
        <f t="shared" si="16"/>
        <v>52.5</v>
      </c>
      <c r="P46" s="7">
        <f t="shared" si="16"/>
        <v>52.5</v>
      </c>
      <c r="Q46" s="7">
        <f t="shared" si="16"/>
        <v>52.5</v>
      </c>
      <c r="R46" s="7">
        <f t="shared" si="16"/>
        <v>52.5</v>
      </c>
      <c r="S46" s="7">
        <f t="shared" si="16"/>
        <v>52.5</v>
      </c>
      <c r="T46" s="7">
        <f t="shared" si="16"/>
        <v>52.5</v>
      </c>
      <c r="U46" s="7">
        <f t="shared" si="16"/>
        <v>52.5</v>
      </c>
      <c r="V46" s="7">
        <f t="shared" si="16"/>
        <v>52.5</v>
      </c>
      <c r="W46" s="7"/>
      <c r="X46" s="7"/>
      <c r="Y46" s="7"/>
    </row>
    <row r="47" spans="2:52" x14ac:dyDescent="0.2">
      <c r="B47" s="4" t="s">
        <v>521</v>
      </c>
      <c r="C47" s="7">
        <f t="shared" ref="C47:V47" si="17">SUM(C46:C46)</f>
        <v>52.5</v>
      </c>
      <c r="D47" s="7">
        <f t="shared" si="17"/>
        <v>52.5</v>
      </c>
      <c r="E47" s="7">
        <f t="shared" si="17"/>
        <v>52.5</v>
      </c>
      <c r="F47" s="7">
        <f t="shared" si="17"/>
        <v>52.5</v>
      </c>
      <c r="G47" s="7">
        <f t="shared" si="17"/>
        <v>52.5</v>
      </c>
      <c r="H47" s="7">
        <f t="shared" si="17"/>
        <v>52.5</v>
      </c>
      <c r="I47" s="7">
        <f t="shared" si="17"/>
        <v>52.5</v>
      </c>
      <c r="J47" s="7">
        <f t="shared" si="17"/>
        <v>52.5</v>
      </c>
      <c r="K47" s="7">
        <f t="shared" si="17"/>
        <v>52.5</v>
      </c>
      <c r="L47" s="7">
        <f t="shared" si="17"/>
        <v>52.5</v>
      </c>
      <c r="M47" s="7">
        <f t="shared" si="17"/>
        <v>52.5</v>
      </c>
      <c r="N47" s="7">
        <f t="shared" si="17"/>
        <v>52.5</v>
      </c>
      <c r="O47" s="7">
        <f t="shared" si="17"/>
        <v>52.5</v>
      </c>
      <c r="P47" s="7">
        <f t="shared" si="17"/>
        <v>52.5</v>
      </c>
      <c r="Q47" s="7">
        <f t="shared" si="17"/>
        <v>52.5</v>
      </c>
      <c r="R47" s="7">
        <f t="shared" si="17"/>
        <v>52.5</v>
      </c>
      <c r="S47" s="7">
        <f t="shared" si="17"/>
        <v>52.5</v>
      </c>
      <c r="T47" s="7">
        <f t="shared" si="17"/>
        <v>52.5</v>
      </c>
      <c r="U47" s="7">
        <f t="shared" si="17"/>
        <v>52.5</v>
      </c>
      <c r="V47" s="7">
        <f t="shared" si="17"/>
        <v>52.5</v>
      </c>
      <c r="W47" s="7"/>
      <c r="X47" s="7"/>
      <c r="Y47" s="7"/>
    </row>
    <row r="48" spans="2:52" x14ac:dyDescent="0.2">
      <c r="B48" s="4" t="s">
        <v>340</v>
      </c>
      <c r="C48" s="7">
        <f t="shared" ref="C48:V48" si="18">C43-C47</f>
        <v>844.80000000000007</v>
      </c>
      <c r="D48" s="7">
        <f t="shared" si="18"/>
        <v>861</v>
      </c>
      <c r="E48" s="7">
        <f t="shared" si="18"/>
        <v>852</v>
      </c>
      <c r="F48" s="7">
        <f t="shared" si="18"/>
        <v>817.80000000000007</v>
      </c>
      <c r="G48" s="7">
        <f t="shared" si="18"/>
        <v>826.80000000000007</v>
      </c>
      <c r="H48" s="7">
        <f t="shared" si="18"/>
        <v>735</v>
      </c>
      <c r="I48" s="7">
        <f t="shared" si="18"/>
        <v>745.80000000000007</v>
      </c>
      <c r="J48" s="7">
        <f t="shared" si="18"/>
        <v>712.5</v>
      </c>
      <c r="K48" s="7">
        <f t="shared" si="18"/>
        <v>699.9</v>
      </c>
      <c r="L48" s="7">
        <f t="shared" si="18"/>
        <v>708.9</v>
      </c>
      <c r="M48" s="7">
        <f t="shared" si="18"/>
        <v>707.1</v>
      </c>
      <c r="N48" s="7">
        <f t="shared" si="18"/>
        <v>665.7</v>
      </c>
      <c r="O48" s="7">
        <f t="shared" si="18"/>
        <v>654.9</v>
      </c>
      <c r="P48" s="7">
        <f t="shared" si="18"/>
        <v>674.7</v>
      </c>
      <c r="Q48" s="7">
        <f t="shared" si="18"/>
        <v>665.7</v>
      </c>
      <c r="R48" s="7">
        <f t="shared" si="18"/>
        <v>656.7</v>
      </c>
      <c r="S48" s="7">
        <f t="shared" si="18"/>
        <v>682.80000000000007</v>
      </c>
      <c r="T48" s="7">
        <f t="shared" si="18"/>
        <v>629.70000000000005</v>
      </c>
      <c r="U48" s="7">
        <f t="shared" si="18"/>
        <v>561.30000000000007</v>
      </c>
      <c r="V48" s="7">
        <f t="shared" si="18"/>
        <v>512.70000000000005</v>
      </c>
      <c r="W48" s="7"/>
      <c r="X48" s="7"/>
      <c r="Y48" s="7"/>
    </row>
    <row r="49" spans="2:25" x14ac:dyDescent="0.2">
      <c r="B49" s="4" t="s">
        <v>351</v>
      </c>
      <c r="C49" s="8">
        <f t="shared" ref="C49:V49" si="19">C48/O19</f>
        <v>0.84734202607823472</v>
      </c>
      <c r="D49" s="8">
        <f t="shared" si="19"/>
        <v>0.84827586206896555</v>
      </c>
      <c r="E49" s="8">
        <f t="shared" si="19"/>
        <v>0.84776119402985073</v>
      </c>
      <c r="F49" s="8">
        <f t="shared" si="19"/>
        <v>0.84570837642192354</v>
      </c>
      <c r="G49" s="8">
        <f t="shared" si="19"/>
        <v>0.84626407369498469</v>
      </c>
      <c r="H49" s="8">
        <f t="shared" si="19"/>
        <v>0.84</v>
      </c>
      <c r="I49" s="8">
        <f t="shared" si="19"/>
        <v>0.84081172491544542</v>
      </c>
      <c r="J49" s="8">
        <f t="shared" si="19"/>
        <v>0.83823529411764708</v>
      </c>
      <c r="K49" s="8">
        <f t="shared" si="19"/>
        <v>0.83720095693779906</v>
      </c>
      <c r="L49" s="8">
        <f t="shared" si="19"/>
        <v>0.83794326241134753</v>
      </c>
      <c r="M49" s="8">
        <f t="shared" si="19"/>
        <v>0.83779620853080572</v>
      </c>
      <c r="N49" s="8">
        <f t="shared" si="19"/>
        <v>0.83421052631578951</v>
      </c>
      <c r="O49" s="8">
        <f t="shared" si="19"/>
        <v>0.833206106870229</v>
      </c>
      <c r="P49" s="8">
        <f t="shared" si="19"/>
        <v>0.83502475247524754</v>
      </c>
      <c r="Q49" s="8">
        <f t="shared" si="19"/>
        <v>0.83421052631578951</v>
      </c>
      <c r="R49" s="8">
        <f t="shared" si="19"/>
        <v>0.83337563451776653</v>
      </c>
      <c r="S49" s="8">
        <f t="shared" si="19"/>
        <v>0.83574051407588745</v>
      </c>
      <c r="T49" s="8">
        <f t="shared" si="19"/>
        <v>0.83073878627968345</v>
      </c>
      <c r="U49" s="8">
        <f t="shared" si="19"/>
        <v>0.82302052785923763</v>
      </c>
      <c r="V49" s="8">
        <f t="shared" si="19"/>
        <v>0.81640127388535044</v>
      </c>
      <c r="W49" s="8"/>
      <c r="X49" s="8"/>
      <c r="Y49" s="8"/>
    </row>
    <row r="50" spans="2:25" x14ac:dyDescent="0.2">
      <c r="B50" s="4" t="s">
        <v>522</v>
      </c>
      <c r="C50" s="7"/>
      <c r="D50" s="7"/>
      <c r="E50" s="7"/>
      <c r="F50" s="7"/>
      <c r="G50" s="7"/>
      <c r="H50" s="7"/>
      <c r="I50" s="7"/>
      <c r="J50" s="7"/>
      <c r="K50" s="7"/>
      <c r="L50" s="7"/>
      <c r="M50" s="7"/>
      <c r="N50" s="7"/>
      <c r="O50" s="7"/>
      <c r="P50" s="7"/>
      <c r="Q50" s="7"/>
      <c r="R50" s="7"/>
      <c r="S50" s="7"/>
      <c r="T50" s="7"/>
      <c r="U50" s="7"/>
      <c r="V50" s="7"/>
      <c r="W50" s="7"/>
      <c r="X50" s="7"/>
      <c r="Y50" s="7"/>
    </row>
    <row r="51" spans="2:25" x14ac:dyDescent="0.2">
      <c r="B51" s="9" t="s">
        <v>523</v>
      </c>
      <c r="C51" s="10"/>
      <c r="D51" s="10"/>
      <c r="E51" s="10"/>
      <c r="F51" s="10"/>
      <c r="G51" s="10"/>
      <c r="H51" s="10"/>
      <c r="I51" s="10"/>
      <c r="J51" s="10"/>
      <c r="K51" s="10"/>
      <c r="L51" s="10"/>
      <c r="M51" s="10"/>
      <c r="N51" s="10"/>
      <c r="O51" s="10"/>
      <c r="P51" s="10"/>
      <c r="Q51" s="10"/>
      <c r="R51" s="10"/>
      <c r="S51" s="10"/>
      <c r="T51" s="10"/>
      <c r="U51" s="10"/>
      <c r="V51" s="10"/>
      <c r="W51" s="10"/>
      <c r="X51" s="10"/>
      <c r="Y51" s="10"/>
    </row>
    <row r="54" spans="2:25" x14ac:dyDescent="0.2">
      <c r="D54" s="7"/>
      <c r="E54" s="7"/>
      <c r="F54" s="7"/>
      <c r="G54" s="102">
        <v>2006</v>
      </c>
      <c r="H54" s="102">
        <v>2007</v>
      </c>
      <c r="I54" s="102">
        <v>2008</v>
      </c>
      <c r="J54" s="102">
        <v>2009</v>
      </c>
      <c r="K54" s="102">
        <v>2010</v>
      </c>
      <c r="L54" s="102">
        <v>2011</v>
      </c>
      <c r="M54" s="102">
        <v>2012</v>
      </c>
      <c r="N54" s="102">
        <v>2013</v>
      </c>
      <c r="O54" s="102">
        <v>2014</v>
      </c>
      <c r="P54" s="102">
        <v>2015</v>
      </c>
      <c r="Q54" s="102">
        <v>2016</v>
      </c>
      <c r="R54" s="102">
        <v>2017</v>
      </c>
      <c r="S54" s="102">
        <v>2018</v>
      </c>
    </row>
    <row r="55" spans="2:25" x14ac:dyDescent="0.2">
      <c r="D55" s="7"/>
      <c r="E55" s="103" t="s">
        <v>668</v>
      </c>
      <c r="F55" s="7"/>
      <c r="H55" s="104">
        <v>0</v>
      </c>
      <c r="I55" s="104">
        <v>0</v>
      </c>
      <c r="J55" s="104">
        <v>0</v>
      </c>
      <c r="K55" s="104">
        <v>0</v>
      </c>
      <c r="L55" s="104">
        <v>0</v>
      </c>
      <c r="M55" s="104">
        <v>-0.05</v>
      </c>
      <c r="N55" s="104">
        <v>-0.1</v>
      </c>
      <c r="O55" s="104">
        <v>-0.1</v>
      </c>
      <c r="P55" s="104">
        <v>-0.1</v>
      </c>
      <c r="Q55" s="104">
        <v>-0.1</v>
      </c>
      <c r="R55" s="104">
        <v>-0.1</v>
      </c>
      <c r="S55" s="104">
        <v>-0.1</v>
      </c>
    </row>
    <row r="56" spans="2:25" x14ac:dyDescent="0.2">
      <c r="D56" s="7"/>
      <c r="E56" s="103" t="s">
        <v>1107</v>
      </c>
      <c r="F56" s="7"/>
      <c r="H56" s="104">
        <v>-0.02</v>
      </c>
      <c r="I56" s="104">
        <v>-0.02</v>
      </c>
      <c r="J56" s="104">
        <v>-0.02</v>
      </c>
      <c r="K56" s="104">
        <v>-0.02</v>
      </c>
      <c r="L56" s="104">
        <v>-0.02</v>
      </c>
      <c r="M56" s="104">
        <v>-0.02</v>
      </c>
      <c r="N56" s="104">
        <v>-0.02</v>
      </c>
      <c r="O56" s="104">
        <v>-0.02</v>
      </c>
      <c r="P56" s="104">
        <v>-0.02</v>
      </c>
      <c r="Q56" s="104">
        <v>-0.02</v>
      </c>
      <c r="R56" s="104">
        <v>-0.02</v>
      </c>
      <c r="S56" s="104">
        <v>-0.02</v>
      </c>
    </row>
    <row r="57" spans="2:25" x14ac:dyDescent="0.2">
      <c r="D57" s="7"/>
      <c r="E57" s="103" t="s">
        <v>669</v>
      </c>
      <c r="F57" s="7"/>
      <c r="H57" s="104">
        <v>-0.02</v>
      </c>
      <c r="I57" s="104">
        <v>-0.02</v>
      </c>
      <c r="J57" s="104">
        <v>-0.02</v>
      </c>
      <c r="K57" s="104">
        <v>-0.02</v>
      </c>
      <c r="L57" s="104">
        <v>-0.02</v>
      </c>
      <c r="M57" s="104">
        <v>-0.02</v>
      </c>
      <c r="N57" s="104">
        <v>-0.02</v>
      </c>
      <c r="O57" s="104">
        <v>-0.02</v>
      </c>
      <c r="P57" s="104">
        <v>-0.02</v>
      </c>
      <c r="Q57" s="104">
        <v>-0.02</v>
      </c>
      <c r="R57" s="104">
        <v>-0.02</v>
      </c>
      <c r="S57" s="104">
        <v>-0.02</v>
      </c>
    </row>
    <row r="58" spans="2:25" x14ac:dyDescent="0.2">
      <c r="D58" s="7"/>
      <c r="E58" s="103" t="s">
        <v>670</v>
      </c>
      <c r="F58" s="7"/>
      <c r="H58" s="104">
        <v>-0.2</v>
      </c>
      <c r="I58" s="104">
        <v>-0.2</v>
      </c>
      <c r="J58" s="104">
        <v>-0.1</v>
      </c>
      <c r="K58" s="104">
        <v>-0.05</v>
      </c>
      <c r="L58" s="104">
        <v>-0.05</v>
      </c>
      <c r="M58" s="104">
        <v>-0.05</v>
      </c>
      <c r="N58" s="104">
        <v>-0.05</v>
      </c>
      <c r="O58" s="104">
        <v>-0.05</v>
      </c>
      <c r="P58" s="104">
        <v>-0.05</v>
      </c>
      <c r="Q58" s="104">
        <v>-0.05</v>
      </c>
      <c r="R58" s="104">
        <v>-0.05</v>
      </c>
      <c r="S58" s="104">
        <v>-0.05</v>
      </c>
    </row>
    <row r="59" spans="2:25" x14ac:dyDescent="0.2">
      <c r="D59" s="7"/>
      <c r="E59" s="20" t="s">
        <v>671</v>
      </c>
      <c r="H59" s="8">
        <v>-0.05</v>
      </c>
      <c r="I59" s="8">
        <v>-0.05</v>
      </c>
      <c r="J59" s="8">
        <v>-0.02</v>
      </c>
      <c r="K59" s="8">
        <v>-0.02</v>
      </c>
      <c r="L59" s="8">
        <v>-0.02</v>
      </c>
      <c r="M59" s="8">
        <v>-0.02</v>
      </c>
      <c r="N59" s="8">
        <v>-0.02</v>
      </c>
      <c r="O59" s="8">
        <v>-0.02</v>
      </c>
      <c r="P59" s="8">
        <v>-0.02</v>
      </c>
      <c r="Q59" s="8">
        <v>-0.02</v>
      </c>
      <c r="R59" s="8">
        <v>-0.02</v>
      </c>
      <c r="S59" s="8">
        <v>-0.02</v>
      </c>
    </row>
    <row r="60" spans="2:25" x14ac:dyDescent="0.2">
      <c r="D60" s="7"/>
      <c r="E60" s="20" t="s">
        <v>672</v>
      </c>
      <c r="H60" s="8">
        <v>0</v>
      </c>
      <c r="I60" s="8">
        <v>0</v>
      </c>
      <c r="J60" s="8">
        <v>0</v>
      </c>
      <c r="K60" s="8">
        <v>0</v>
      </c>
      <c r="L60" s="8">
        <v>0</v>
      </c>
      <c r="M60" s="8">
        <v>0</v>
      </c>
      <c r="N60" s="8">
        <v>0</v>
      </c>
      <c r="O60" s="8">
        <v>0</v>
      </c>
      <c r="P60" s="8">
        <v>0</v>
      </c>
      <c r="Q60" s="8">
        <v>0</v>
      </c>
      <c r="R60" s="8">
        <v>0</v>
      </c>
      <c r="S60" s="8">
        <v>0</v>
      </c>
    </row>
    <row r="61" spans="2:25" x14ac:dyDescent="0.2">
      <c r="D61" s="7"/>
      <c r="E61" s="20"/>
      <c r="H61" s="8"/>
      <c r="I61" s="8"/>
      <c r="J61" s="8"/>
      <c r="K61" s="8"/>
      <c r="L61" s="8"/>
      <c r="M61" s="8"/>
      <c r="N61" s="8"/>
      <c r="O61" s="8"/>
      <c r="P61" s="8"/>
      <c r="Q61" s="8"/>
      <c r="R61" s="8"/>
      <c r="S61" s="8"/>
    </row>
    <row r="62" spans="2:25" x14ac:dyDescent="0.2">
      <c r="D62" s="7"/>
      <c r="E62" s="20" t="s">
        <v>673</v>
      </c>
      <c r="F62" s="15">
        <v>0.4</v>
      </c>
      <c r="G62" s="105">
        <f>G65*(F62)</f>
        <v>802.40000000000009</v>
      </c>
      <c r="H62" s="106">
        <f t="shared" ref="H62:S62" si="20">G62*(1+H55)*(1+H56)*(1+H57)*(1+H59)*(1+H60)</f>
        <v>732.0937120000001</v>
      </c>
      <c r="I62" s="106">
        <f t="shared" si="20"/>
        <v>667.94766095456009</v>
      </c>
      <c r="J62" s="106">
        <f t="shared" si="20"/>
        <v>628.66699490914436</v>
      </c>
      <c r="K62" s="106">
        <f t="shared" si="20"/>
        <v>591.69634627252742</v>
      </c>
      <c r="L62" s="106">
        <f t="shared" si="20"/>
        <v>556.89986754093252</v>
      </c>
      <c r="M62" s="106">
        <f t="shared" si="20"/>
        <v>497.94221512405602</v>
      </c>
      <c r="N62" s="106">
        <f t="shared" si="20"/>
        <v>421.79330640333649</v>
      </c>
      <c r="O62" s="106">
        <f t="shared" si="20"/>
        <v>357.28963707633216</v>
      </c>
      <c r="P62" s="106">
        <f t="shared" si="20"/>
        <v>302.65033328923244</v>
      </c>
      <c r="Q62" s="106">
        <f t="shared" si="20"/>
        <v>256.36686524024338</v>
      </c>
      <c r="R62" s="106">
        <f t="shared" si="20"/>
        <v>217.16139836627562</v>
      </c>
      <c r="S62" s="106">
        <f t="shared" si="20"/>
        <v>183.95151376603653</v>
      </c>
    </row>
    <row r="63" spans="2:25" x14ac:dyDescent="0.2">
      <c r="D63" s="7"/>
      <c r="E63" s="20" t="s">
        <v>237</v>
      </c>
      <c r="F63" s="15">
        <v>0.6</v>
      </c>
      <c r="G63" s="106">
        <f>G65*(F63)</f>
        <v>1203.5999999999999</v>
      </c>
      <c r="H63" s="106">
        <f t="shared" ref="H63:S63" si="21">G63*(1+H55)*(1+H56)*(1+H58)*(1+H59)*(1+H60)</f>
        <v>896.44127999999978</v>
      </c>
      <c r="I63" s="106">
        <f t="shared" si="21"/>
        <v>667.66946534399983</v>
      </c>
      <c r="J63" s="106">
        <f t="shared" si="21"/>
        <v>577.10677906473973</v>
      </c>
      <c r="K63" s="106">
        <f t="shared" si="21"/>
        <v>526.54068308308717</v>
      </c>
      <c r="L63" s="106">
        <f t="shared" si="21"/>
        <v>480.40518843134697</v>
      </c>
      <c r="M63" s="106">
        <f t="shared" si="21"/>
        <v>416.39648152994272</v>
      </c>
      <c r="N63" s="106">
        <f t="shared" si="21"/>
        <v>341.92063963646018</v>
      </c>
      <c r="O63" s="106">
        <f t="shared" si="21"/>
        <v>280.76539787236214</v>
      </c>
      <c r="P63" s="106">
        <f t="shared" si="21"/>
        <v>230.54826033970718</v>
      </c>
      <c r="Q63" s="106">
        <f t="shared" si="21"/>
        <v>189.31285959186783</v>
      </c>
      <c r="R63" s="106">
        <f t="shared" si="21"/>
        <v>155.45274015098553</v>
      </c>
      <c r="S63" s="106">
        <f t="shared" si="21"/>
        <v>127.64877395306056</v>
      </c>
    </row>
    <row r="64" spans="2:25" x14ac:dyDescent="0.2">
      <c r="D64" s="7"/>
      <c r="F64" s="4"/>
      <c r="G64" s="4"/>
      <c r="H64" s="4"/>
      <c r="L64" s="8"/>
      <c r="M64" s="8"/>
      <c r="N64" s="8"/>
      <c r="O64" s="8"/>
      <c r="P64" s="8"/>
      <c r="Q64" s="8"/>
      <c r="R64" s="8"/>
      <c r="S64" s="8"/>
    </row>
    <row r="65" spans="4:19" x14ac:dyDescent="0.2">
      <c r="D65" s="7"/>
      <c r="E65" s="6" t="s">
        <v>674</v>
      </c>
      <c r="F65" s="4"/>
      <c r="G65" s="7">
        <f>L28</f>
        <v>2006</v>
      </c>
      <c r="H65" s="106">
        <f>SUM(H62:H63)</f>
        <v>1628.5349919999999</v>
      </c>
      <c r="I65" s="106">
        <f t="shared" ref="I65:S65" si="22">SUM(I62:I64)</f>
        <v>1335.6171262985599</v>
      </c>
      <c r="J65" s="106">
        <f t="shared" si="22"/>
        <v>1205.7737739738841</v>
      </c>
      <c r="K65" s="106">
        <f t="shared" si="22"/>
        <v>1118.2370293556146</v>
      </c>
      <c r="L65" s="106">
        <f t="shared" si="22"/>
        <v>1037.3050559722794</v>
      </c>
      <c r="M65" s="106">
        <f t="shared" si="22"/>
        <v>914.3386966539988</v>
      </c>
      <c r="N65" s="106">
        <f t="shared" si="22"/>
        <v>763.71394603979661</v>
      </c>
      <c r="O65" s="106">
        <f t="shared" si="22"/>
        <v>638.05503494869436</v>
      </c>
      <c r="P65" s="106">
        <f t="shared" si="22"/>
        <v>533.19859362893965</v>
      </c>
      <c r="Q65" s="106">
        <f t="shared" si="22"/>
        <v>445.67972483211122</v>
      </c>
      <c r="R65" s="106">
        <f t="shared" si="22"/>
        <v>372.61413851726115</v>
      </c>
      <c r="S65" s="106">
        <f t="shared" si="22"/>
        <v>311.60028771909708</v>
      </c>
    </row>
    <row r="66" spans="4:19" x14ac:dyDescent="0.2">
      <c r="D66" s="7"/>
      <c r="F66" s="4"/>
      <c r="G66" s="7"/>
      <c r="H66" s="106"/>
      <c r="I66" s="106"/>
      <c r="J66" s="106"/>
      <c r="K66" s="106"/>
      <c r="L66" s="106"/>
      <c r="M66" s="106"/>
      <c r="N66" s="106"/>
      <c r="O66" s="106"/>
      <c r="P66" s="106"/>
      <c r="Q66" s="106"/>
      <c r="R66" s="106"/>
      <c r="S66" s="106"/>
    </row>
    <row r="67" spans="4:19" x14ac:dyDescent="0.2">
      <c r="D67" s="7"/>
      <c r="F67" s="4"/>
      <c r="L67" s="4"/>
      <c r="M67" s="4"/>
      <c r="N67" s="4"/>
      <c r="O67" s="4"/>
      <c r="P67" s="4"/>
      <c r="Q67" s="4"/>
      <c r="R67" s="4"/>
      <c r="S67" s="4"/>
    </row>
    <row r="68" spans="4:19" x14ac:dyDescent="0.2">
      <c r="D68" s="7"/>
      <c r="F68" s="4" t="s">
        <v>504</v>
      </c>
      <c r="G68" s="7">
        <f>L29</f>
        <v>2064</v>
      </c>
      <c r="H68" s="7">
        <f t="shared" ref="H68:S68" si="23">SUM(H69:H71)</f>
        <v>2218.8000000000002</v>
      </c>
      <c r="I68" s="7">
        <f t="shared" si="23"/>
        <v>2053.6800000000003</v>
      </c>
      <c r="J68" s="7">
        <f t="shared" si="23"/>
        <v>1902.2340000000002</v>
      </c>
      <c r="K68" s="7">
        <f t="shared" si="23"/>
        <v>1763.2365</v>
      </c>
      <c r="L68" s="7">
        <f t="shared" si="23"/>
        <v>1635.5774550000001</v>
      </c>
      <c r="M68" s="7">
        <f t="shared" si="23"/>
        <v>1518.2510842500001</v>
      </c>
      <c r="N68" s="7">
        <f t="shared" si="23"/>
        <v>1410.3457818375</v>
      </c>
      <c r="O68" s="7">
        <f t="shared" si="23"/>
        <v>1311.035019365625</v>
      </c>
      <c r="P68" s="7">
        <f t="shared" si="23"/>
        <v>1219.5691423553437</v>
      </c>
      <c r="Q68" s="7">
        <f t="shared" si="23"/>
        <v>1135.2679717997764</v>
      </c>
      <c r="R68" s="7">
        <f t="shared" si="23"/>
        <v>1057.5141311157677</v>
      </c>
      <c r="S68" s="7">
        <f t="shared" si="23"/>
        <v>985.74702667536121</v>
      </c>
    </row>
    <row r="69" spans="4:19" x14ac:dyDescent="0.2">
      <c r="E69" s="20" t="s">
        <v>675</v>
      </c>
      <c r="F69" s="15">
        <v>0.25</v>
      </c>
      <c r="G69" s="7">
        <f>G68*F69</f>
        <v>516</v>
      </c>
      <c r="H69" s="7">
        <f>G69*1.1</f>
        <v>567.6</v>
      </c>
      <c r="I69" s="7">
        <f t="shared" ref="I69:S70" si="24">H69*0.95</f>
        <v>539.22</v>
      </c>
      <c r="J69" s="7">
        <f t="shared" si="24"/>
        <v>512.25900000000001</v>
      </c>
      <c r="K69" s="7">
        <f t="shared" si="24"/>
        <v>486.64605</v>
      </c>
      <c r="L69" s="7">
        <f t="shared" si="24"/>
        <v>462.31374749999998</v>
      </c>
      <c r="M69" s="7">
        <f t="shared" si="24"/>
        <v>439.19806012499998</v>
      </c>
      <c r="N69" s="7">
        <f t="shared" si="24"/>
        <v>417.23815711874994</v>
      </c>
      <c r="O69" s="7">
        <f t="shared" si="24"/>
        <v>396.37624926281245</v>
      </c>
      <c r="P69" s="7">
        <f t="shared" si="24"/>
        <v>376.55743679967179</v>
      </c>
      <c r="Q69" s="7">
        <f t="shared" si="24"/>
        <v>357.72956495968816</v>
      </c>
      <c r="R69" s="7">
        <f t="shared" si="24"/>
        <v>339.84308671170373</v>
      </c>
      <c r="S69" s="7">
        <f t="shared" si="24"/>
        <v>322.85093237611852</v>
      </c>
    </row>
    <row r="70" spans="4:19" x14ac:dyDescent="0.2">
      <c r="E70" s="6" t="s">
        <v>676</v>
      </c>
      <c r="F70" s="15">
        <v>0.25</v>
      </c>
      <c r="G70" s="7">
        <f>G68*F70</f>
        <v>516</v>
      </c>
      <c r="H70" s="7">
        <f>G70*1.1</f>
        <v>567.6</v>
      </c>
      <c r="I70" s="7">
        <f t="shared" si="24"/>
        <v>539.22</v>
      </c>
      <c r="J70" s="7">
        <f t="shared" si="24"/>
        <v>512.25900000000001</v>
      </c>
      <c r="K70" s="7">
        <f t="shared" si="24"/>
        <v>486.64605</v>
      </c>
      <c r="L70" s="7">
        <f t="shared" si="24"/>
        <v>462.31374749999998</v>
      </c>
      <c r="M70" s="7">
        <f t="shared" si="24"/>
        <v>439.19806012499998</v>
      </c>
      <c r="N70" s="7">
        <f t="shared" si="24"/>
        <v>417.23815711874994</v>
      </c>
      <c r="O70" s="7">
        <f t="shared" si="24"/>
        <v>396.37624926281245</v>
      </c>
      <c r="P70" s="7">
        <f t="shared" si="24"/>
        <v>376.55743679967179</v>
      </c>
      <c r="Q70" s="7">
        <f t="shared" si="24"/>
        <v>357.72956495968816</v>
      </c>
      <c r="R70" s="7">
        <f t="shared" si="24"/>
        <v>339.84308671170373</v>
      </c>
      <c r="S70" s="7">
        <f t="shared" si="24"/>
        <v>322.85093237611852</v>
      </c>
    </row>
    <row r="71" spans="4:19" x14ac:dyDescent="0.2">
      <c r="E71" s="6" t="s">
        <v>237</v>
      </c>
      <c r="F71" s="15">
        <v>0.5</v>
      </c>
      <c r="G71" s="7">
        <f>G68*F71</f>
        <v>1032</v>
      </c>
      <c r="H71" s="7">
        <f>G71*1.05</f>
        <v>1083.6000000000001</v>
      </c>
      <c r="I71" s="7">
        <f>H71*0.9</f>
        <v>975.24000000000012</v>
      </c>
      <c r="J71" s="7">
        <f>I71*0.9</f>
        <v>877.71600000000012</v>
      </c>
      <c r="K71" s="7">
        <f>J71*0.9</f>
        <v>789.94440000000009</v>
      </c>
      <c r="L71" s="7">
        <f>K71*0.9</f>
        <v>710.94996000000015</v>
      </c>
      <c r="M71" s="7">
        <f>L71*0.9</f>
        <v>639.85496400000011</v>
      </c>
      <c r="N71" s="7">
        <f t="shared" ref="N71:S71" si="25">M71*0.9</f>
        <v>575.86946760000012</v>
      </c>
      <c r="O71" s="7">
        <f t="shared" si="25"/>
        <v>518.28252084000007</v>
      </c>
      <c r="P71" s="7">
        <f t="shared" si="25"/>
        <v>466.45426875600009</v>
      </c>
      <c r="Q71" s="7">
        <f t="shared" si="25"/>
        <v>419.80884188040011</v>
      </c>
      <c r="R71" s="7">
        <f t="shared" si="25"/>
        <v>377.82795769236009</v>
      </c>
      <c r="S71" s="7">
        <f t="shared" si="25"/>
        <v>340.04516192312411</v>
      </c>
    </row>
    <row r="72" spans="4:19" x14ac:dyDescent="0.2">
      <c r="F72" s="20"/>
      <c r="G72" s="7"/>
      <c r="L72" s="4"/>
      <c r="M72" s="4"/>
      <c r="N72" s="4"/>
      <c r="O72" s="4"/>
      <c r="P72" s="4"/>
      <c r="Q72" s="4"/>
      <c r="R72" s="4"/>
      <c r="S72" s="4"/>
    </row>
    <row r="74" spans="4:19" x14ac:dyDescent="0.2">
      <c r="F74" s="20" t="s">
        <v>677</v>
      </c>
      <c r="G74" s="7">
        <f t="shared" ref="G74:S74" si="26">SUM(G65,G69:G71)</f>
        <v>4070</v>
      </c>
      <c r="H74" s="7">
        <f t="shared" si="26"/>
        <v>3847.3349920000001</v>
      </c>
      <c r="I74" s="7">
        <f t="shared" si="26"/>
        <v>3389.2971262985602</v>
      </c>
      <c r="J74" s="7">
        <f t="shared" si="26"/>
        <v>3108.0077739738845</v>
      </c>
      <c r="K74" s="7">
        <f t="shared" si="26"/>
        <v>2881.473529355615</v>
      </c>
      <c r="L74" s="7">
        <f t="shared" si="26"/>
        <v>2672.8825109722793</v>
      </c>
      <c r="M74" s="7">
        <f t="shared" si="26"/>
        <v>2432.5897809039989</v>
      </c>
      <c r="N74" s="7">
        <f t="shared" si="26"/>
        <v>2174.0597278772966</v>
      </c>
      <c r="O74" s="7">
        <f t="shared" si="26"/>
        <v>1949.0900543143193</v>
      </c>
      <c r="P74" s="7">
        <f t="shared" si="26"/>
        <v>1752.7677359842833</v>
      </c>
      <c r="Q74" s="7">
        <f t="shared" si="26"/>
        <v>1580.9476966318875</v>
      </c>
      <c r="R74" s="7">
        <f t="shared" si="26"/>
        <v>1430.1282696330288</v>
      </c>
      <c r="S74" s="7">
        <f t="shared" si="26"/>
        <v>1297.3473143944582</v>
      </c>
    </row>
    <row r="75" spans="4:19" x14ac:dyDescent="0.2">
      <c r="H75" s="104">
        <f t="shared" ref="H75:S75" si="27">H74/G74-1</f>
        <v>-5.4708847174447128E-2</v>
      </c>
      <c r="I75" s="104">
        <f t="shared" si="27"/>
        <v>-0.11905328406646842</v>
      </c>
      <c r="J75" s="104">
        <f t="shared" si="27"/>
        <v>-8.2993417762658894E-2</v>
      </c>
      <c r="K75" s="104">
        <f t="shared" si="27"/>
        <v>-7.2887283781991274E-2</v>
      </c>
      <c r="L75" s="104">
        <f t="shared" si="27"/>
        <v>-7.2390398960209379E-2</v>
      </c>
      <c r="M75" s="104">
        <f t="shared" si="27"/>
        <v>-8.9900221607897124E-2</v>
      </c>
      <c r="N75" s="104">
        <f t="shared" si="27"/>
        <v>-0.10627770249475743</v>
      </c>
      <c r="O75" s="104">
        <f t="shared" si="27"/>
        <v>-0.10347906760714098</v>
      </c>
      <c r="P75" s="104">
        <f t="shared" si="27"/>
        <v>-0.10072511421187325</v>
      </c>
      <c r="Q75" s="104">
        <f t="shared" si="27"/>
        <v>-9.8027842380330354E-2</v>
      </c>
      <c r="R75" s="104">
        <f t="shared" si="27"/>
        <v>-9.5398112992713391E-2</v>
      </c>
      <c r="S75" s="104">
        <f t="shared" si="27"/>
        <v>-9.284548670074344E-2</v>
      </c>
    </row>
    <row r="77" spans="4:19" x14ac:dyDescent="0.2">
      <c r="G77" s="7"/>
      <c r="H77" s="7"/>
      <c r="I77" s="7"/>
      <c r="J77" s="7"/>
      <c r="K77" s="7"/>
      <c r="L77" s="7"/>
      <c r="M77" s="7"/>
      <c r="N77" s="7"/>
      <c r="O77" s="7"/>
      <c r="P77" s="7"/>
      <c r="Q77" s="7"/>
      <c r="R77" s="7"/>
      <c r="S77" s="7"/>
    </row>
  </sheetData>
  <phoneticPr fontId="11" type="noConversion"/>
  <hyperlinks>
    <hyperlink ref="A1" location="Main!A1" display="Main" xr:uid="{00000000-0004-0000-0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46"/>
  <sheetViews>
    <sheetView zoomScale="130" zoomScaleNormal="130" workbookViewId="0">
      <selection activeCell="B3" sqref="B3:C5"/>
    </sheetView>
  </sheetViews>
  <sheetFormatPr defaultColWidth="9.140625" defaultRowHeight="12.75" x14ac:dyDescent="0.2"/>
  <cols>
    <col min="1" max="1" width="5" style="108" customWidth="1"/>
    <col min="2" max="2" width="16" style="108" bestFit="1" customWidth="1"/>
    <col min="3" max="16384" width="9.140625" style="108"/>
  </cols>
  <sheetData>
    <row r="1" spans="1:12" x14ac:dyDescent="0.2">
      <c r="A1" s="107" t="s">
        <v>154</v>
      </c>
    </row>
    <row r="2" spans="1:12" x14ac:dyDescent="0.2">
      <c r="B2" s="93" t="s">
        <v>485</v>
      </c>
      <c r="C2" s="108" t="s">
        <v>193</v>
      </c>
    </row>
    <row r="3" spans="1:12" x14ac:dyDescent="0.2">
      <c r="B3" s="93" t="s">
        <v>486</v>
      </c>
      <c r="C3" s="108" t="s">
        <v>1146</v>
      </c>
    </row>
    <row r="4" spans="1:12" x14ac:dyDescent="0.2">
      <c r="B4" s="93" t="s">
        <v>489</v>
      </c>
      <c r="C4" s="108" t="s">
        <v>1147</v>
      </c>
    </row>
    <row r="5" spans="1:12" x14ac:dyDescent="0.2">
      <c r="B5" s="93" t="s">
        <v>642</v>
      </c>
      <c r="C5" s="108" t="s">
        <v>1148</v>
      </c>
    </row>
    <row r="6" spans="1:12" x14ac:dyDescent="0.2">
      <c r="B6" s="93" t="s">
        <v>495</v>
      </c>
      <c r="C6" s="108" t="s">
        <v>679</v>
      </c>
    </row>
    <row r="7" spans="1:12" x14ac:dyDescent="0.2">
      <c r="B7" s="93" t="s">
        <v>488</v>
      </c>
      <c r="C7" s="109" t="s">
        <v>680</v>
      </c>
    </row>
    <row r="8" spans="1:12" x14ac:dyDescent="0.2">
      <c r="B8" s="93" t="s">
        <v>159</v>
      </c>
      <c r="C8" s="108" t="s">
        <v>681</v>
      </c>
      <c r="L8" s="108" t="s">
        <v>682</v>
      </c>
    </row>
    <row r="9" spans="1:12" x14ac:dyDescent="0.2">
      <c r="B9" s="93"/>
      <c r="C9" s="108" t="s">
        <v>683</v>
      </c>
    </row>
    <row r="10" spans="1:12" x14ac:dyDescent="0.2">
      <c r="B10" s="93" t="s">
        <v>163</v>
      </c>
      <c r="C10" s="110" t="s">
        <v>684</v>
      </c>
    </row>
    <row r="11" spans="1:12" x14ac:dyDescent="0.2">
      <c r="B11" s="93" t="s">
        <v>536</v>
      </c>
      <c r="C11" s="108" t="s">
        <v>685</v>
      </c>
    </row>
    <row r="12" spans="1:12" x14ac:dyDescent="0.2">
      <c r="B12" s="93" t="s">
        <v>165</v>
      </c>
      <c r="C12" s="108" t="s">
        <v>686</v>
      </c>
    </row>
    <row r="13" spans="1:12" x14ac:dyDescent="0.2">
      <c r="B13" s="93" t="s">
        <v>768</v>
      </c>
      <c r="C13" s="108" t="s">
        <v>687</v>
      </c>
    </row>
    <row r="14" spans="1:12" x14ac:dyDescent="0.2">
      <c r="B14" s="93" t="s">
        <v>531</v>
      </c>
    </row>
    <row r="15" spans="1:12" x14ac:dyDescent="0.2">
      <c r="B15" s="93"/>
      <c r="C15" s="111" t="s">
        <v>688</v>
      </c>
    </row>
    <row r="16" spans="1:12" x14ac:dyDescent="0.2">
      <c r="B16" s="93"/>
      <c r="C16" s="108" t="s">
        <v>689</v>
      </c>
    </row>
    <row r="17" spans="2:3" x14ac:dyDescent="0.2">
      <c r="B17" s="93"/>
      <c r="C17" s="108" t="s">
        <v>690</v>
      </c>
    </row>
    <row r="18" spans="2:3" x14ac:dyDescent="0.2">
      <c r="B18" s="93"/>
      <c r="C18" s="108" t="s">
        <v>691</v>
      </c>
    </row>
    <row r="19" spans="2:3" x14ac:dyDescent="0.2">
      <c r="B19" s="93"/>
    </row>
    <row r="20" spans="2:3" x14ac:dyDescent="0.2">
      <c r="B20" s="93" t="s">
        <v>692</v>
      </c>
      <c r="C20" s="108" t="s">
        <v>693</v>
      </c>
    </row>
    <row r="21" spans="2:3" x14ac:dyDescent="0.2">
      <c r="B21" s="93"/>
    </row>
    <row r="22" spans="2:3" x14ac:dyDescent="0.2">
      <c r="B22" s="93"/>
      <c r="C22" s="111" t="s">
        <v>694</v>
      </c>
    </row>
    <row r="23" spans="2:3" x14ac:dyDescent="0.2">
      <c r="B23" s="93"/>
      <c r="C23" s="108" t="s">
        <v>695</v>
      </c>
    </row>
    <row r="24" spans="2:3" x14ac:dyDescent="0.2">
      <c r="B24" s="93"/>
      <c r="C24" s="108" t="s">
        <v>696</v>
      </c>
    </row>
    <row r="25" spans="2:3" x14ac:dyDescent="0.2">
      <c r="B25" s="93"/>
    </row>
    <row r="26" spans="2:3" x14ac:dyDescent="0.2">
      <c r="B26" s="93"/>
      <c r="C26" s="111" t="s">
        <v>697</v>
      </c>
    </row>
    <row r="27" spans="2:3" x14ac:dyDescent="0.2">
      <c r="B27" s="93"/>
      <c r="C27" s="108" t="s">
        <v>698</v>
      </c>
    </row>
    <row r="28" spans="2:3" x14ac:dyDescent="0.2">
      <c r="B28" s="93"/>
      <c r="C28" s="112" t="s">
        <v>699</v>
      </c>
    </row>
    <row r="29" spans="2:3" x14ac:dyDescent="0.2">
      <c r="B29" s="93"/>
      <c r="C29" s="111"/>
    </row>
    <row r="30" spans="2:3" x14ac:dyDescent="0.2">
      <c r="B30" s="93"/>
      <c r="C30" s="111"/>
    </row>
    <row r="31" spans="2:3" x14ac:dyDescent="0.2">
      <c r="B31" s="93"/>
      <c r="C31" s="111"/>
    </row>
    <row r="32" spans="2:3" x14ac:dyDescent="0.2">
      <c r="B32" s="93"/>
    </row>
    <row r="33" spans="2:7" x14ac:dyDescent="0.2">
      <c r="B33" s="93"/>
      <c r="C33" s="111" t="s">
        <v>700</v>
      </c>
    </row>
    <row r="34" spans="2:7" x14ac:dyDescent="0.2">
      <c r="B34" s="93"/>
    </row>
    <row r="35" spans="2:7" x14ac:dyDescent="0.2">
      <c r="B35" s="93"/>
    </row>
    <row r="36" spans="2:7" x14ac:dyDescent="0.2">
      <c r="B36" s="93"/>
    </row>
    <row r="37" spans="2:7" x14ac:dyDescent="0.2">
      <c r="B37" s="93"/>
    </row>
    <row r="38" spans="2:7" x14ac:dyDescent="0.2">
      <c r="B38" s="93"/>
    </row>
    <row r="39" spans="2:7" x14ac:dyDescent="0.2">
      <c r="B39" s="93"/>
    </row>
    <row r="40" spans="2:7" x14ac:dyDescent="0.2">
      <c r="B40" s="108" t="s">
        <v>379</v>
      </c>
      <c r="C40" s="108" t="s">
        <v>701</v>
      </c>
    </row>
    <row r="45" spans="2:7" x14ac:dyDescent="0.2">
      <c r="C45" s="108">
        <v>2004</v>
      </c>
      <c r="D45" s="108">
        <v>2005</v>
      </c>
      <c r="E45" s="108">
        <v>2006</v>
      </c>
      <c r="F45" s="108">
        <v>2007</v>
      </c>
      <c r="G45" s="108">
        <v>2008</v>
      </c>
    </row>
    <row r="46" spans="2:7" x14ac:dyDescent="0.2">
      <c r="B46" s="108" t="s">
        <v>822</v>
      </c>
      <c r="C46" s="113" t="e">
        <f>#REF!</f>
        <v>#REF!</v>
      </c>
      <c r="D46" s="113" t="e">
        <f>#REF!</f>
        <v>#REF!</v>
      </c>
      <c r="E46" s="113"/>
      <c r="F46" s="113"/>
      <c r="G46" s="114"/>
    </row>
  </sheetData>
  <phoneticPr fontId="11" type="noConversion"/>
  <hyperlinks>
    <hyperlink ref="A1" location="Main!A1" display="Main" xr:uid="{00000000-0004-0000-0E00-000000000000}"/>
    <hyperlink ref="C7" r:id="rId1" xr:uid="{00000000-0004-0000-0E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legacy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K30"/>
  <sheetViews>
    <sheetView zoomScaleNormal="130" workbookViewId="0"/>
  </sheetViews>
  <sheetFormatPr defaultColWidth="9.140625" defaultRowHeight="12.75" x14ac:dyDescent="0.2"/>
  <cols>
    <col min="1" max="1" width="5" style="4" customWidth="1"/>
    <col min="2" max="2" width="16" style="4" customWidth="1"/>
    <col min="3" max="16384" width="9.140625" style="4"/>
  </cols>
  <sheetData>
    <row r="1" spans="1:3" x14ac:dyDescent="0.2">
      <c r="A1" s="5" t="s">
        <v>154</v>
      </c>
    </row>
    <row r="2" spans="1:3" x14ac:dyDescent="0.2">
      <c r="B2" s="4" t="s">
        <v>485</v>
      </c>
      <c r="C2" s="4" t="s">
        <v>181</v>
      </c>
    </row>
    <row r="3" spans="1:3" x14ac:dyDescent="0.2">
      <c r="B3" s="4" t="s">
        <v>486</v>
      </c>
      <c r="C3" s="4" t="s">
        <v>1152</v>
      </c>
    </row>
    <row r="4" spans="1:3" x14ac:dyDescent="0.2">
      <c r="B4" s="4" t="s">
        <v>489</v>
      </c>
      <c r="C4" s="4" t="s">
        <v>1153</v>
      </c>
    </row>
    <row r="5" spans="1:3" x14ac:dyDescent="0.2">
      <c r="B5" s="4" t="s">
        <v>642</v>
      </c>
      <c r="C5" s="4" t="s">
        <v>1154</v>
      </c>
    </row>
    <row r="6" spans="1:3" x14ac:dyDescent="0.2">
      <c r="B6" s="4" t="s">
        <v>495</v>
      </c>
      <c r="C6" s="4" t="s">
        <v>170</v>
      </c>
    </row>
    <row r="7" spans="1:3" x14ac:dyDescent="0.2">
      <c r="B7" s="4" t="s">
        <v>488</v>
      </c>
      <c r="C7" s="4" t="s">
        <v>209</v>
      </c>
    </row>
    <row r="8" spans="1:3" x14ac:dyDescent="0.2">
      <c r="B8" s="4" t="s">
        <v>531</v>
      </c>
      <c r="C8" s="4" t="s">
        <v>758</v>
      </c>
    </row>
    <row r="9" spans="1:3" x14ac:dyDescent="0.2">
      <c r="C9" s="4" t="s">
        <v>759</v>
      </c>
    </row>
    <row r="10" spans="1:3" x14ac:dyDescent="0.2">
      <c r="B10" s="4" t="s">
        <v>163</v>
      </c>
      <c r="C10" s="4" t="s">
        <v>760</v>
      </c>
    </row>
    <row r="11" spans="1:3" x14ac:dyDescent="0.2">
      <c r="B11" s="4" t="s">
        <v>536</v>
      </c>
      <c r="C11" s="4" t="s">
        <v>761</v>
      </c>
    </row>
    <row r="12" spans="1:3" x14ac:dyDescent="0.2">
      <c r="B12" s="4" t="s">
        <v>762</v>
      </c>
      <c r="C12" s="4" t="s">
        <v>763</v>
      </c>
    </row>
    <row r="18" spans="2:37" x14ac:dyDescent="0.2">
      <c r="B18" s="136"/>
      <c r="C18" s="137" t="s">
        <v>596</v>
      </c>
      <c r="D18" s="137" t="s">
        <v>578</v>
      </c>
      <c r="E18" s="137" t="s">
        <v>579</v>
      </c>
      <c r="F18" s="137" t="s">
        <v>580</v>
      </c>
      <c r="G18" s="137" t="s">
        <v>600</v>
      </c>
      <c r="H18" s="137" t="s">
        <v>578</v>
      </c>
      <c r="I18" s="137" t="s">
        <v>579</v>
      </c>
      <c r="J18" s="137" t="s">
        <v>580</v>
      </c>
      <c r="K18" s="137" t="s">
        <v>604</v>
      </c>
      <c r="L18" s="137" t="s">
        <v>578</v>
      </c>
      <c r="M18" s="137" t="s">
        <v>579</v>
      </c>
      <c r="N18" s="137" t="s">
        <v>580</v>
      </c>
      <c r="O18" s="137" t="s">
        <v>608</v>
      </c>
      <c r="P18" s="137" t="s">
        <v>578</v>
      </c>
      <c r="Q18" s="137" t="s">
        <v>579</v>
      </c>
      <c r="R18" s="137" t="s">
        <v>580</v>
      </c>
      <c r="S18" s="137" t="s">
        <v>612</v>
      </c>
      <c r="T18" s="137" t="s">
        <v>578</v>
      </c>
      <c r="U18" s="137" t="s">
        <v>579</v>
      </c>
      <c r="V18" s="137" t="s">
        <v>580</v>
      </c>
      <c r="W18" s="137" t="s">
        <v>916</v>
      </c>
      <c r="X18" s="137" t="s">
        <v>578</v>
      </c>
      <c r="Y18" s="137" t="s">
        <v>579</v>
      </c>
      <c r="Z18" s="137" t="s">
        <v>580</v>
      </c>
      <c r="AA18" s="137" t="s">
        <v>960</v>
      </c>
      <c r="AB18" s="137"/>
      <c r="AC18" s="137"/>
      <c r="AD18" s="137"/>
      <c r="AE18" s="138"/>
      <c r="AF18" s="138"/>
      <c r="AG18" s="138"/>
      <c r="AH18" s="138"/>
      <c r="AI18" s="138"/>
      <c r="AJ18" s="138"/>
      <c r="AK18" s="138"/>
    </row>
    <row r="19" spans="2:37" s="26" customFormat="1" ht="12.6" customHeight="1" x14ac:dyDescent="0.2">
      <c r="B19" s="139" t="s">
        <v>756</v>
      </c>
      <c r="C19" s="140">
        <v>117</v>
      </c>
      <c r="D19" s="141">
        <v>109</v>
      </c>
      <c r="E19" s="141">
        <v>143</v>
      </c>
      <c r="F19" s="141">
        <v>159</v>
      </c>
      <c r="G19" s="140">
        <v>181</v>
      </c>
      <c r="H19" s="141">
        <v>205</v>
      </c>
      <c r="I19" s="141">
        <v>192</v>
      </c>
      <c r="J19" s="141">
        <v>226</v>
      </c>
      <c r="K19" s="140">
        <v>254</v>
      </c>
      <c r="L19" s="141">
        <v>257</v>
      </c>
      <c r="M19" s="141">
        <v>287</v>
      </c>
      <c r="N19" s="141">
        <v>293</v>
      </c>
      <c r="O19" s="140">
        <v>310</v>
      </c>
      <c r="P19" s="141">
        <v>334</v>
      </c>
      <c r="Q19" s="141">
        <v>327</v>
      </c>
      <c r="R19" s="141">
        <v>319</v>
      </c>
      <c r="S19" s="140">
        <v>373</v>
      </c>
      <c r="T19" s="141">
        <v>393</v>
      </c>
      <c r="U19" s="141">
        <v>435</v>
      </c>
      <c r="V19" s="141">
        <v>429</v>
      </c>
      <c r="W19" s="140">
        <v>501</v>
      </c>
      <c r="X19" s="141">
        <v>472</v>
      </c>
      <c r="Y19" s="141">
        <v>498</v>
      </c>
      <c r="Z19" s="141">
        <v>535</v>
      </c>
      <c r="AA19" s="140">
        <v>520</v>
      </c>
      <c r="AB19" s="142"/>
      <c r="AC19" s="142"/>
      <c r="AD19" s="143"/>
      <c r="AE19" s="138"/>
      <c r="AF19" s="138"/>
      <c r="AG19" s="138"/>
      <c r="AH19" s="138"/>
      <c r="AI19" s="138"/>
      <c r="AJ19" s="138"/>
      <c r="AK19" s="138"/>
    </row>
    <row r="20" spans="2:37" x14ac:dyDescent="0.2">
      <c r="B20" s="139" t="s">
        <v>581</v>
      </c>
      <c r="C20" s="144">
        <v>32</v>
      </c>
      <c r="D20" s="141">
        <v>39</v>
      </c>
      <c r="E20" s="141">
        <v>41</v>
      </c>
      <c r="F20" s="141">
        <v>47</v>
      </c>
      <c r="G20" s="144">
        <v>50</v>
      </c>
      <c r="H20" s="141">
        <v>58</v>
      </c>
      <c r="I20" s="141">
        <v>60</v>
      </c>
      <c r="J20" s="141">
        <v>70</v>
      </c>
      <c r="K20" s="144">
        <v>75</v>
      </c>
      <c r="L20" s="141">
        <v>78</v>
      </c>
      <c r="M20" s="141">
        <v>79</v>
      </c>
      <c r="N20" s="141">
        <v>88</v>
      </c>
      <c r="O20" s="144">
        <v>96</v>
      </c>
      <c r="P20" s="141">
        <v>97</v>
      </c>
      <c r="Q20" s="141">
        <v>102</v>
      </c>
      <c r="R20" s="141">
        <v>94</v>
      </c>
      <c r="S20" s="144">
        <v>98</v>
      </c>
      <c r="T20" s="141">
        <v>102</v>
      </c>
      <c r="U20" s="141">
        <v>98</v>
      </c>
      <c r="V20" s="141">
        <v>100</v>
      </c>
      <c r="W20" s="144">
        <v>109</v>
      </c>
      <c r="X20" s="141">
        <v>106</v>
      </c>
      <c r="Y20" s="141">
        <v>115</v>
      </c>
      <c r="Z20" s="141">
        <v>117</v>
      </c>
      <c r="AA20" s="144">
        <v>126</v>
      </c>
      <c r="AB20" s="142"/>
      <c r="AC20" s="142"/>
      <c r="AD20" s="145"/>
      <c r="AE20" s="138"/>
      <c r="AF20" s="138"/>
      <c r="AG20" s="138"/>
      <c r="AH20" s="138"/>
      <c r="AI20" s="138"/>
      <c r="AJ20" s="138"/>
      <c r="AK20" s="138"/>
    </row>
    <row r="21" spans="2:37" x14ac:dyDescent="0.2">
      <c r="B21" s="139" t="s">
        <v>582</v>
      </c>
      <c r="C21" s="144">
        <f t="shared" ref="C21:AD21" si="0">SUM(C19:C20)</f>
        <v>149</v>
      </c>
      <c r="D21" s="141">
        <f t="shared" si="0"/>
        <v>148</v>
      </c>
      <c r="E21" s="141">
        <f t="shared" si="0"/>
        <v>184</v>
      </c>
      <c r="F21" s="141">
        <f t="shared" si="0"/>
        <v>206</v>
      </c>
      <c r="G21" s="144">
        <f t="shared" si="0"/>
        <v>231</v>
      </c>
      <c r="H21" s="141">
        <f t="shared" si="0"/>
        <v>263</v>
      </c>
      <c r="I21" s="141">
        <f t="shared" si="0"/>
        <v>252</v>
      </c>
      <c r="J21" s="146">
        <f t="shared" si="0"/>
        <v>296</v>
      </c>
      <c r="K21" s="144">
        <f t="shared" si="0"/>
        <v>329</v>
      </c>
      <c r="L21" s="141">
        <f t="shared" si="0"/>
        <v>335</v>
      </c>
      <c r="M21" s="141">
        <f t="shared" si="0"/>
        <v>366</v>
      </c>
      <c r="N21" s="141">
        <f t="shared" si="0"/>
        <v>381</v>
      </c>
      <c r="O21" s="144">
        <f t="shared" si="0"/>
        <v>406</v>
      </c>
      <c r="P21" s="141">
        <f t="shared" si="0"/>
        <v>431</v>
      </c>
      <c r="Q21" s="141">
        <f t="shared" si="0"/>
        <v>429</v>
      </c>
      <c r="R21" s="141">
        <f t="shared" si="0"/>
        <v>413</v>
      </c>
      <c r="S21" s="144">
        <f t="shared" si="0"/>
        <v>471</v>
      </c>
      <c r="T21" s="141">
        <f t="shared" si="0"/>
        <v>495</v>
      </c>
      <c r="U21" s="141">
        <f t="shared" si="0"/>
        <v>533</v>
      </c>
      <c r="V21" s="146">
        <f t="shared" si="0"/>
        <v>529</v>
      </c>
      <c r="W21" s="144">
        <f t="shared" si="0"/>
        <v>610</v>
      </c>
      <c r="X21" s="141">
        <f t="shared" si="0"/>
        <v>578</v>
      </c>
      <c r="Y21" s="141">
        <f t="shared" si="0"/>
        <v>613</v>
      </c>
      <c r="Z21" s="141">
        <f t="shared" si="0"/>
        <v>652</v>
      </c>
      <c r="AA21" s="144">
        <f t="shared" si="0"/>
        <v>646</v>
      </c>
      <c r="AB21" s="142">
        <f t="shared" si="0"/>
        <v>0</v>
      </c>
      <c r="AC21" s="142">
        <f t="shared" si="0"/>
        <v>0</v>
      </c>
      <c r="AD21" s="145">
        <f t="shared" si="0"/>
        <v>0</v>
      </c>
      <c r="AE21" s="138"/>
      <c r="AF21" s="138"/>
      <c r="AG21" s="138"/>
      <c r="AH21" s="138"/>
      <c r="AI21" s="138"/>
      <c r="AJ21" s="138"/>
      <c r="AK21" s="138"/>
    </row>
    <row r="22" spans="2:37" x14ac:dyDescent="0.2">
      <c r="B22" s="108"/>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row>
    <row r="23" spans="2:37" x14ac:dyDescent="0.2">
      <c r="B23" s="136"/>
      <c r="C23" s="137">
        <v>2001</v>
      </c>
      <c r="D23" s="147">
        <v>2002</v>
      </c>
      <c r="E23" s="147">
        <f>D23+1</f>
        <v>2003</v>
      </c>
      <c r="F23" s="147">
        <f t="shared" ref="F23:Q23" si="1">E23+1</f>
        <v>2004</v>
      </c>
      <c r="G23" s="147">
        <f t="shared" si="1"/>
        <v>2005</v>
      </c>
      <c r="H23" s="147">
        <f t="shared" si="1"/>
        <v>2006</v>
      </c>
      <c r="I23" s="147">
        <f t="shared" si="1"/>
        <v>2007</v>
      </c>
      <c r="J23" s="147">
        <f t="shared" si="1"/>
        <v>2008</v>
      </c>
      <c r="K23" s="147">
        <f t="shared" si="1"/>
        <v>2009</v>
      </c>
      <c r="L23" s="147">
        <f t="shared" si="1"/>
        <v>2010</v>
      </c>
      <c r="M23" s="147">
        <f t="shared" si="1"/>
        <v>2011</v>
      </c>
      <c r="N23" s="147">
        <f t="shared" si="1"/>
        <v>2012</v>
      </c>
      <c r="O23" s="147">
        <f>N23+1</f>
        <v>2013</v>
      </c>
      <c r="P23" s="147">
        <f>O23+1</f>
        <v>2014</v>
      </c>
      <c r="Q23" s="147">
        <f t="shared" si="1"/>
        <v>2015</v>
      </c>
      <c r="R23" s="131"/>
      <c r="S23" s="131"/>
      <c r="T23" s="131"/>
      <c r="U23" s="148"/>
      <c r="V23" s="131"/>
      <c r="W23" s="131"/>
      <c r="X23" s="131"/>
      <c r="Y23" s="131"/>
      <c r="Z23" s="131"/>
      <c r="AA23" s="131"/>
      <c r="AB23" s="131"/>
      <c r="AC23" s="131"/>
      <c r="AD23" s="131"/>
      <c r="AE23" s="131"/>
      <c r="AF23" s="131"/>
      <c r="AG23" s="131"/>
      <c r="AH23" s="131"/>
      <c r="AI23" s="131"/>
      <c r="AJ23" s="131"/>
      <c r="AK23" s="131"/>
    </row>
    <row r="24" spans="2:37" x14ac:dyDescent="0.2">
      <c r="B24" s="136" t="s">
        <v>756</v>
      </c>
      <c r="C24" s="140">
        <v>358.3</v>
      </c>
      <c r="D24" s="141">
        <v>528</v>
      </c>
      <c r="E24" s="141">
        <v>804</v>
      </c>
      <c r="F24" s="141">
        <v>1091</v>
      </c>
      <c r="G24" s="141">
        <v>1290</v>
      </c>
      <c r="H24" s="141">
        <v>1630</v>
      </c>
      <c r="I24" s="141">
        <v>2006</v>
      </c>
      <c r="J24" s="149">
        <f>I24*1.15</f>
        <v>2306.8999999999996</v>
      </c>
      <c r="K24" s="150"/>
      <c r="L24" s="150"/>
      <c r="M24" s="150"/>
      <c r="N24" s="150"/>
      <c r="O24" s="150"/>
      <c r="P24" s="150"/>
      <c r="Q24" s="150"/>
      <c r="R24" s="131"/>
      <c r="S24" s="131"/>
      <c r="T24" s="131"/>
      <c r="U24" s="131"/>
      <c r="V24" s="131"/>
      <c r="W24" s="131"/>
      <c r="X24" s="131"/>
      <c r="Y24" s="131"/>
      <c r="Z24" s="131"/>
      <c r="AA24" s="131"/>
      <c r="AB24" s="131"/>
      <c r="AC24" s="131"/>
      <c r="AD24" s="131"/>
      <c r="AE24" s="131"/>
      <c r="AF24" s="131"/>
      <c r="AG24" s="131"/>
      <c r="AH24" s="131"/>
      <c r="AI24" s="131"/>
      <c r="AJ24" s="131"/>
      <c r="AK24" s="131"/>
    </row>
    <row r="25" spans="2:37" x14ac:dyDescent="0.2">
      <c r="B25" s="136" t="s">
        <v>581</v>
      </c>
      <c r="C25" s="144">
        <v>119</v>
      </c>
      <c r="D25" s="141">
        <v>159</v>
      </c>
      <c r="E25" s="141">
        <v>238</v>
      </c>
      <c r="F25" s="141">
        <v>320</v>
      </c>
      <c r="G25" s="141">
        <v>389</v>
      </c>
      <c r="H25" s="141">
        <v>398</v>
      </c>
      <c r="I25" s="141">
        <v>447</v>
      </c>
      <c r="J25" s="149">
        <f>I25*1.15</f>
        <v>514.04999999999995</v>
      </c>
      <c r="K25" s="150"/>
      <c r="L25" s="150"/>
      <c r="M25" s="150"/>
      <c r="N25" s="150"/>
      <c r="O25" s="150"/>
      <c r="P25" s="150"/>
      <c r="Q25" s="150"/>
      <c r="R25" s="131"/>
      <c r="S25" s="131"/>
      <c r="T25" s="131"/>
      <c r="U25" s="131"/>
      <c r="V25" s="131"/>
      <c r="W25" s="131"/>
      <c r="X25" s="131"/>
      <c r="Y25" s="131"/>
      <c r="Z25" s="131"/>
      <c r="AA25" s="131"/>
      <c r="AB25" s="131"/>
      <c r="AC25" s="131"/>
      <c r="AD25" s="131"/>
      <c r="AE25" s="131"/>
      <c r="AF25" s="131"/>
      <c r="AG25" s="131"/>
      <c r="AH25" s="131"/>
      <c r="AI25" s="131"/>
      <c r="AJ25" s="131"/>
      <c r="AK25" s="131"/>
    </row>
    <row r="26" spans="2:37" x14ac:dyDescent="0.2">
      <c r="B26" s="136" t="s">
        <v>582</v>
      </c>
      <c r="C26" s="144">
        <v>477.3</v>
      </c>
      <c r="D26" s="141">
        <v>687</v>
      </c>
      <c r="E26" s="141">
        <v>1042</v>
      </c>
      <c r="F26" s="141">
        <v>1411</v>
      </c>
      <c r="G26" s="141">
        <v>1679</v>
      </c>
      <c r="H26" s="141">
        <v>2028</v>
      </c>
      <c r="I26" s="141">
        <v>2453</v>
      </c>
      <c r="J26" s="149">
        <f>SUM(J24:J25)</f>
        <v>2820.95</v>
      </c>
      <c r="K26" s="149">
        <f t="shared" ref="K26:Q26" si="2">SUM(K24:K25)</f>
        <v>0</v>
      </c>
      <c r="L26" s="149">
        <f t="shared" si="2"/>
        <v>0</v>
      </c>
      <c r="M26" s="149">
        <f t="shared" si="2"/>
        <v>0</v>
      </c>
      <c r="N26" s="149">
        <f t="shared" si="2"/>
        <v>0</v>
      </c>
      <c r="O26" s="149">
        <f t="shared" si="2"/>
        <v>0</v>
      </c>
      <c r="P26" s="149">
        <f t="shared" si="2"/>
        <v>0</v>
      </c>
      <c r="Q26" s="149">
        <f t="shared" si="2"/>
        <v>0</v>
      </c>
      <c r="R26" s="131"/>
      <c r="S26" s="131"/>
      <c r="T26" s="131"/>
      <c r="U26" s="131"/>
      <c r="V26" s="131"/>
      <c r="W26" s="131"/>
      <c r="X26" s="131"/>
      <c r="Y26" s="131"/>
      <c r="Z26" s="131"/>
      <c r="AA26" s="131"/>
      <c r="AB26" s="131"/>
      <c r="AC26" s="131"/>
      <c r="AD26" s="131"/>
      <c r="AE26" s="131"/>
      <c r="AF26" s="131"/>
      <c r="AG26" s="131"/>
      <c r="AH26" s="131"/>
      <c r="AI26" s="131"/>
      <c r="AJ26" s="131"/>
      <c r="AK26" s="131"/>
    </row>
    <row r="27" spans="2:37" x14ac:dyDescent="0.2">
      <c r="B27" s="108"/>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row>
    <row r="28" spans="2:37" x14ac:dyDescent="0.2">
      <c r="B28" s="108" t="s">
        <v>757</v>
      </c>
      <c r="C28" s="131"/>
      <c r="D28" s="151">
        <f t="shared" ref="D28:I30" si="3">D24/C24-1</f>
        <v>0.47362545353056085</v>
      </c>
      <c r="E28" s="151">
        <f t="shared" si="3"/>
        <v>0.52272727272727271</v>
      </c>
      <c r="F28" s="151">
        <f t="shared" si="3"/>
        <v>0.35696517412935314</v>
      </c>
      <c r="G28" s="151">
        <f t="shared" si="3"/>
        <v>0.18240146654445466</v>
      </c>
      <c r="H28" s="151">
        <f t="shared" si="3"/>
        <v>0.26356589147286824</v>
      </c>
      <c r="I28" s="151">
        <f t="shared" si="3"/>
        <v>0.23067484662576687</v>
      </c>
      <c r="J28" s="131"/>
      <c r="K28" s="152">
        <f>AVERAGE(D28:I28)</f>
        <v>0.33832668417171274</v>
      </c>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row>
    <row r="29" spans="2:37" x14ac:dyDescent="0.2">
      <c r="B29" s="93" t="s">
        <v>504</v>
      </c>
      <c r="C29" s="95"/>
      <c r="D29" s="151">
        <f>D25/C25-1</f>
        <v>0.33613445378151252</v>
      </c>
      <c r="E29" s="151">
        <f t="shared" si="3"/>
        <v>0.49685534591194958</v>
      </c>
      <c r="F29" s="151">
        <f t="shared" si="3"/>
        <v>0.34453781512605053</v>
      </c>
      <c r="G29" s="151">
        <f t="shared" si="3"/>
        <v>0.21562499999999996</v>
      </c>
      <c r="H29" s="151">
        <f t="shared" si="3"/>
        <v>2.3136246786632286E-2</v>
      </c>
      <c r="I29" s="151">
        <f t="shared" si="3"/>
        <v>0.12311557788944727</v>
      </c>
      <c r="J29" s="95"/>
      <c r="K29" s="152">
        <f>AVERAGE(D29:I29)</f>
        <v>0.25656740658259869</v>
      </c>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row>
    <row r="30" spans="2:37" x14ac:dyDescent="0.2">
      <c r="B30" s="93" t="s">
        <v>539</v>
      </c>
      <c r="C30" s="95"/>
      <c r="D30" s="151">
        <f>D26/C26-1</f>
        <v>0.43934632306725319</v>
      </c>
      <c r="E30" s="151">
        <f t="shared" si="3"/>
        <v>0.51673944687045115</v>
      </c>
      <c r="F30" s="151">
        <f t="shared" si="3"/>
        <v>0.35412667946257192</v>
      </c>
      <c r="G30" s="151">
        <f t="shared" si="3"/>
        <v>0.18993621545003547</v>
      </c>
      <c r="H30" s="151">
        <f t="shared" si="3"/>
        <v>0.2078618225134008</v>
      </c>
      <c r="I30" s="151">
        <f t="shared" si="3"/>
        <v>0.20956607495069024</v>
      </c>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row>
  </sheetData>
  <phoneticPr fontId="11" type="noConversion"/>
  <hyperlinks>
    <hyperlink ref="A1" location="Main!A1" display="Main" xr:uid="{00000000-0004-0000-10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31"/>
  <sheetViews>
    <sheetView zoomScale="115" zoomScaleNormal="115" workbookViewId="0">
      <selection activeCell="C9" sqref="C9"/>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154</v>
      </c>
    </row>
    <row r="2" spans="1:3" x14ac:dyDescent="0.2">
      <c r="B2" s="4" t="s">
        <v>485</v>
      </c>
      <c r="C2" s="4" t="s">
        <v>1224</v>
      </c>
    </row>
    <row r="3" spans="1:3" x14ac:dyDescent="0.2">
      <c r="B3" s="4" t="s">
        <v>486</v>
      </c>
      <c r="C3" s="4" t="s">
        <v>1225</v>
      </c>
    </row>
    <row r="4" spans="1:3" x14ac:dyDescent="0.2">
      <c r="B4" s="4" t="s">
        <v>489</v>
      </c>
      <c r="C4" s="4" t="s">
        <v>1166</v>
      </c>
    </row>
    <row r="5" spans="1:3" x14ac:dyDescent="0.2">
      <c r="C5" s="4" t="s">
        <v>1167</v>
      </c>
    </row>
    <row r="6" spans="1:3" x14ac:dyDescent="0.2">
      <c r="B6" s="4" t="s">
        <v>495</v>
      </c>
      <c r="C6" s="4" t="s">
        <v>170</v>
      </c>
    </row>
    <row r="7" spans="1:3" x14ac:dyDescent="0.2">
      <c r="B7" s="4" t="s">
        <v>159</v>
      </c>
      <c r="C7" s="4" t="s">
        <v>214</v>
      </c>
    </row>
    <row r="8" spans="1:3" x14ac:dyDescent="0.2">
      <c r="B8" s="4" t="s">
        <v>163</v>
      </c>
      <c r="C8" s="4" t="s">
        <v>1228</v>
      </c>
    </row>
    <row r="9" spans="1:3" x14ac:dyDescent="0.2">
      <c r="B9" s="4" t="s">
        <v>762</v>
      </c>
      <c r="C9" s="4" t="s">
        <v>1031</v>
      </c>
    </row>
    <row r="10" spans="1:3" x14ac:dyDescent="0.2">
      <c r="B10" s="4" t="s">
        <v>536</v>
      </c>
      <c r="C10" s="4" t="s">
        <v>1032</v>
      </c>
    </row>
    <row r="11" spans="1:3" x14ac:dyDescent="0.2">
      <c r="B11" s="4" t="s">
        <v>901</v>
      </c>
      <c r="C11" s="4" t="s">
        <v>1227</v>
      </c>
    </row>
    <row r="12" spans="1:3" x14ac:dyDescent="0.2">
      <c r="B12" s="4" t="s">
        <v>316</v>
      </c>
      <c r="C12" s="4" t="s">
        <v>1033</v>
      </c>
    </row>
    <row r="13" spans="1:3" x14ac:dyDescent="0.2">
      <c r="B13" s="4" t="s">
        <v>531</v>
      </c>
    </row>
    <row r="14" spans="1:3" x14ac:dyDescent="0.2">
      <c r="C14" s="4" t="s">
        <v>1034</v>
      </c>
    </row>
    <row r="15" spans="1:3" x14ac:dyDescent="0.2">
      <c r="C15" s="4" t="s">
        <v>1035</v>
      </c>
    </row>
    <row r="16" spans="1:3" x14ac:dyDescent="0.2">
      <c r="C16" s="4" t="s">
        <v>1036</v>
      </c>
    </row>
    <row r="17" spans="2:11" x14ac:dyDescent="0.2">
      <c r="C17" s="4" t="s">
        <v>1037</v>
      </c>
    </row>
    <row r="18" spans="2:11" x14ac:dyDescent="0.2">
      <c r="C18" s="4" t="s">
        <v>1039</v>
      </c>
    </row>
    <row r="19" spans="2:11" x14ac:dyDescent="0.2">
      <c r="D19" s="4" t="s">
        <v>1040</v>
      </c>
    </row>
    <row r="20" spans="2:11" x14ac:dyDescent="0.2">
      <c r="C20" s="4" t="s">
        <v>1041</v>
      </c>
    </row>
    <row r="21" spans="2:11" x14ac:dyDescent="0.2">
      <c r="D21" s="4" t="s">
        <v>1042</v>
      </c>
      <c r="F21" s="12">
        <v>1</v>
      </c>
      <c r="G21" s="12">
        <v>2</v>
      </c>
      <c r="H21" s="12">
        <v>3</v>
      </c>
    </row>
    <row r="22" spans="2:11" x14ac:dyDescent="0.2">
      <c r="C22" s="4" t="s">
        <v>1043</v>
      </c>
    </row>
    <row r="23" spans="2:11" x14ac:dyDescent="0.2">
      <c r="F23" s="12">
        <v>3</v>
      </c>
      <c r="G23" s="12">
        <v>4</v>
      </c>
      <c r="H23" s="12">
        <v>5</v>
      </c>
    </row>
    <row r="26" spans="2:11" x14ac:dyDescent="0.2">
      <c r="C26" s="11">
        <v>2006</v>
      </c>
      <c r="D26" s="11">
        <v>2007</v>
      </c>
      <c r="E26" s="11">
        <v>2008</v>
      </c>
      <c r="F26" s="11">
        <v>2009</v>
      </c>
      <c r="G26" s="11">
        <v>2010</v>
      </c>
      <c r="H26" s="11">
        <v>2011</v>
      </c>
      <c r="I26" s="11">
        <v>2012</v>
      </c>
      <c r="J26" s="11">
        <v>2013</v>
      </c>
      <c r="K26" s="11">
        <v>2014</v>
      </c>
    </row>
    <row r="27" spans="2:11" x14ac:dyDescent="0.2">
      <c r="B27" s="4" t="s">
        <v>1044</v>
      </c>
      <c r="C27" s="7">
        <f>C31</f>
        <v>30</v>
      </c>
      <c r="D27" s="7">
        <f>D31*0.85</f>
        <v>248.2</v>
      </c>
      <c r="E27" s="7">
        <f t="shared" ref="E27:K27" si="0">E31*0.75</f>
        <v>413.25</v>
      </c>
      <c r="F27" s="7">
        <f t="shared" si="0"/>
        <v>565.5</v>
      </c>
      <c r="G27" s="7">
        <f t="shared" si="0"/>
        <v>672.75</v>
      </c>
      <c r="H27" s="7">
        <f t="shared" si="0"/>
        <v>746.79</v>
      </c>
      <c r="I27" s="7">
        <f t="shared" si="0"/>
        <v>834.02850000000001</v>
      </c>
      <c r="J27" s="7">
        <f t="shared" si="0"/>
        <v>905.88568500000008</v>
      </c>
      <c r="K27" s="7">
        <f t="shared" si="0"/>
        <v>960.95633354999995</v>
      </c>
    </row>
    <row r="28" spans="2:11" x14ac:dyDescent="0.2">
      <c r="B28" s="4" t="s">
        <v>1226</v>
      </c>
      <c r="C28" s="7">
        <v>25</v>
      </c>
      <c r="D28" s="7">
        <v>181</v>
      </c>
      <c r="E28" s="7">
        <v>413</v>
      </c>
      <c r="F28" s="7">
        <v>611</v>
      </c>
      <c r="G28" s="7">
        <v>781</v>
      </c>
      <c r="H28" s="7"/>
      <c r="I28" s="7"/>
      <c r="J28" s="7"/>
      <c r="K28" s="7"/>
    </row>
    <row r="30" spans="2:11" x14ac:dyDescent="0.2">
      <c r="C30" s="11">
        <v>2000</v>
      </c>
      <c r="D30" s="11">
        <v>2001</v>
      </c>
      <c r="E30" s="11">
        <v>2002</v>
      </c>
      <c r="F30" s="11">
        <v>2003</v>
      </c>
      <c r="G30" s="11">
        <v>2004</v>
      </c>
      <c r="H30" s="11">
        <v>2005</v>
      </c>
      <c r="I30" s="11">
        <v>2006</v>
      </c>
      <c r="J30" s="11">
        <v>2007</v>
      </c>
      <c r="K30" s="11">
        <v>2008</v>
      </c>
    </row>
    <row r="31" spans="2:11" x14ac:dyDescent="0.2">
      <c r="B31" s="4" t="s">
        <v>215</v>
      </c>
      <c r="C31" s="7">
        <v>30</v>
      </c>
      <c r="D31" s="7">
        <v>292</v>
      </c>
      <c r="E31" s="7">
        <v>551</v>
      </c>
      <c r="F31" s="7">
        <v>754</v>
      </c>
      <c r="G31" s="7">
        <v>897</v>
      </c>
      <c r="H31" s="7">
        <v>995.72</v>
      </c>
      <c r="I31" s="7">
        <v>1112.038</v>
      </c>
      <c r="J31" s="7">
        <v>1207.8475800000001</v>
      </c>
      <c r="K31" s="7">
        <v>1281.2751114</v>
      </c>
    </row>
  </sheetData>
  <phoneticPr fontId="11" type="noConversion"/>
  <hyperlinks>
    <hyperlink ref="A1" location="Main!A1" display="Main" xr:uid="{00000000-0004-0000-17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4"/>
  <sheetViews>
    <sheetView workbookViewId="0">
      <selection activeCell="C3" sqref="C3"/>
    </sheetView>
  </sheetViews>
  <sheetFormatPr defaultColWidth="8.85546875" defaultRowHeight="12.75" x14ac:dyDescent="0.2"/>
  <cols>
    <col min="1" max="1" width="5" bestFit="1" customWidth="1"/>
    <col min="2" max="2" width="19.42578125" style="256" customWidth="1"/>
    <col min="3" max="4" width="10.140625" style="76" bestFit="1" customWidth="1"/>
    <col min="5" max="11" width="9.140625" style="76"/>
    <col min="12" max="12" width="15.85546875" style="76" bestFit="1" customWidth="1"/>
    <col min="13" max="14" width="9.140625" style="76"/>
    <col min="15" max="15" width="10.140625" style="76" bestFit="1" customWidth="1"/>
    <col min="16" max="16" width="9.140625" style="76"/>
    <col min="17" max="17" width="10.140625" style="76" bestFit="1" customWidth="1"/>
    <col min="18" max="19" width="9.140625" style="76"/>
  </cols>
  <sheetData>
    <row r="1" spans="1:19" x14ac:dyDescent="0.2">
      <c r="A1" s="116" t="s">
        <v>154</v>
      </c>
    </row>
    <row r="2" spans="1:19" x14ac:dyDescent="0.2">
      <c r="B2" s="257" t="s">
        <v>263</v>
      </c>
    </row>
    <row r="4" spans="1:19" x14ac:dyDescent="0.2">
      <c r="B4" s="256" t="s">
        <v>158</v>
      </c>
      <c r="C4" s="76" t="s">
        <v>1236</v>
      </c>
      <c r="D4" s="76" t="s">
        <v>1356</v>
      </c>
      <c r="E4" s="76" t="s">
        <v>1357</v>
      </c>
      <c r="F4" s="76" t="s">
        <v>1342</v>
      </c>
      <c r="G4" s="76" t="s">
        <v>1343</v>
      </c>
      <c r="H4" s="76" t="s">
        <v>1344</v>
      </c>
      <c r="I4" s="76" t="s">
        <v>155</v>
      </c>
      <c r="J4" s="76" t="s">
        <v>1346</v>
      </c>
      <c r="K4" s="76" t="s">
        <v>362</v>
      </c>
      <c r="L4" s="76" t="s">
        <v>1347</v>
      </c>
      <c r="M4" s="76" t="s">
        <v>1350</v>
      </c>
      <c r="N4" s="76" t="s">
        <v>1352</v>
      </c>
      <c r="O4" s="76" t="s">
        <v>1353</v>
      </c>
      <c r="P4" s="76" t="s">
        <v>1354</v>
      </c>
      <c r="Q4" s="76" t="s">
        <v>1355</v>
      </c>
      <c r="R4" s="76" t="s">
        <v>1359</v>
      </c>
    </row>
    <row r="5" spans="1:19" x14ac:dyDescent="0.2">
      <c r="B5" s="256" t="s">
        <v>1365</v>
      </c>
      <c r="C5" s="163">
        <v>41136</v>
      </c>
      <c r="D5" s="163">
        <v>39310</v>
      </c>
      <c r="E5" s="76" t="s">
        <v>1367</v>
      </c>
      <c r="F5" s="76">
        <v>600</v>
      </c>
      <c r="G5" s="255">
        <v>5.1499999999999997E-2</v>
      </c>
      <c r="H5" s="76" t="s">
        <v>1345</v>
      </c>
      <c r="I5" s="76">
        <v>108.89400000000001</v>
      </c>
      <c r="J5" s="255">
        <v>1.12E-2</v>
      </c>
      <c r="K5" s="255" t="s">
        <v>1374</v>
      </c>
      <c r="L5" s="76" t="s">
        <v>1366</v>
      </c>
      <c r="M5" s="76" t="s">
        <v>1351</v>
      </c>
      <c r="N5" s="255">
        <v>5.1999999999999998E-2</v>
      </c>
      <c r="O5" s="163">
        <v>39370</v>
      </c>
      <c r="P5" s="255">
        <v>7.7099999999999998E-3</v>
      </c>
      <c r="Q5" s="163">
        <v>40260</v>
      </c>
      <c r="R5" s="255">
        <v>7.7999999999999996E-3</v>
      </c>
      <c r="S5" s="255">
        <f t="shared" ref="S5:S14" si="0">+J5-R5</f>
        <v>3.4000000000000002E-3</v>
      </c>
    </row>
    <row r="6" spans="1:19" x14ac:dyDescent="0.2">
      <c r="B6" s="256" t="s">
        <v>1370</v>
      </c>
      <c r="C6" s="163">
        <v>41409</v>
      </c>
      <c r="D6" s="163">
        <v>37760</v>
      </c>
      <c r="E6" s="76" t="s">
        <v>1369</v>
      </c>
      <c r="F6" s="76">
        <v>500</v>
      </c>
      <c r="G6" s="255">
        <v>3.7999999999999999E-2</v>
      </c>
      <c r="H6" s="76" t="s">
        <v>1368</v>
      </c>
      <c r="I6" s="76">
        <v>105.56</v>
      </c>
      <c r="J6" s="255">
        <v>1.8800000000000001E-2</v>
      </c>
      <c r="K6" s="255" t="s">
        <v>1374</v>
      </c>
      <c r="L6" s="76" t="s">
        <v>1366</v>
      </c>
      <c r="M6" s="76" t="s">
        <v>1351</v>
      </c>
      <c r="N6" s="255">
        <v>5.8259999999999999E-2</v>
      </c>
      <c r="O6" s="163">
        <v>39251</v>
      </c>
      <c r="P6" s="255">
        <v>1.073E-2</v>
      </c>
      <c r="Q6" s="163">
        <v>40298</v>
      </c>
      <c r="R6" s="255">
        <v>1.29E-2</v>
      </c>
      <c r="S6" s="255">
        <f t="shared" si="0"/>
        <v>5.9000000000000007E-3</v>
      </c>
    </row>
    <row r="7" spans="1:19" x14ac:dyDescent="0.2">
      <c r="B7" s="256" t="s">
        <v>1371</v>
      </c>
      <c r="C7" s="163">
        <v>42962</v>
      </c>
      <c r="D7" s="163">
        <v>39307</v>
      </c>
      <c r="E7" s="76" t="s">
        <v>1372</v>
      </c>
      <c r="F7" s="76">
        <v>1000</v>
      </c>
      <c r="G7" s="255">
        <v>5.5500000000000001E-2</v>
      </c>
      <c r="H7" s="76" t="s">
        <v>1345</v>
      </c>
      <c r="I7" s="76">
        <v>113.53700000000001</v>
      </c>
      <c r="J7" s="255">
        <v>3.4200000000000001E-2</v>
      </c>
      <c r="K7" s="255" t="s">
        <v>1374</v>
      </c>
      <c r="L7" s="76" t="s">
        <v>1366</v>
      </c>
      <c r="M7" s="76" t="s">
        <v>1351</v>
      </c>
      <c r="N7" s="255">
        <v>5.9049999999999998E-2</v>
      </c>
      <c r="O7" s="163">
        <v>39735</v>
      </c>
      <c r="P7" s="255">
        <v>3.0290000000000001E-2</v>
      </c>
      <c r="Q7" s="163">
        <v>39867</v>
      </c>
      <c r="R7" s="255">
        <v>2.87E-2</v>
      </c>
      <c r="S7" s="255">
        <f t="shared" si="0"/>
        <v>5.5000000000000014E-3</v>
      </c>
    </row>
    <row r="8" spans="1:19" x14ac:dyDescent="0.2">
      <c r="B8" s="256" t="s">
        <v>1375</v>
      </c>
      <c r="C8" s="163">
        <v>43296</v>
      </c>
      <c r="D8" s="163">
        <v>39617</v>
      </c>
      <c r="E8" s="76" t="s">
        <v>1373</v>
      </c>
      <c r="F8" s="76">
        <v>900</v>
      </c>
      <c r="G8" s="255">
        <v>5.1499999999999997E-2</v>
      </c>
      <c r="H8" s="76" t="s">
        <v>1345</v>
      </c>
      <c r="I8" s="76">
        <v>110.286</v>
      </c>
      <c r="J8" s="255">
        <v>3.6799999999999999E-2</v>
      </c>
      <c r="K8" s="255" t="s">
        <v>1374</v>
      </c>
      <c r="L8" s="76" t="s">
        <v>1348</v>
      </c>
      <c r="M8" s="76" t="s">
        <v>1351</v>
      </c>
      <c r="N8" s="255">
        <v>5.7639999999999997E-2</v>
      </c>
      <c r="O8" s="163">
        <v>39735</v>
      </c>
      <c r="P8" s="255">
        <v>3.2250000000000001E-2</v>
      </c>
      <c r="Q8" s="163">
        <v>39868</v>
      </c>
      <c r="R8" s="255">
        <v>2.9700000000000001E-2</v>
      </c>
      <c r="S8" s="255">
        <f t="shared" si="0"/>
        <v>7.0999999999999987E-3</v>
      </c>
    </row>
    <row r="9" spans="1:19" x14ac:dyDescent="0.2">
      <c r="B9" s="256" t="s">
        <v>1376</v>
      </c>
      <c r="C9" s="163">
        <v>43775</v>
      </c>
      <c r="D9" s="163">
        <v>39385</v>
      </c>
      <c r="E9" s="76" t="s">
        <v>1377</v>
      </c>
      <c r="F9" s="76">
        <v>1000</v>
      </c>
      <c r="G9" s="255">
        <v>4.7500000000000001E-2</v>
      </c>
      <c r="H9" s="76" t="s">
        <v>1345</v>
      </c>
      <c r="I9" s="76">
        <v>112.91370000000001</v>
      </c>
      <c r="J9" s="255">
        <v>3.15E-2</v>
      </c>
      <c r="K9" s="255" t="s">
        <v>1378</v>
      </c>
      <c r="L9" s="76" t="s">
        <v>1366</v>
      </c>
      <c r="M9" s="76" t="s">
        <v>1351</v>
      </c>
      <c r="N9" s="255">
        <v>5.6779999999999997E-2</v>
      </c>
      <c r="O9" s="163">
        <v>39735</v>
      </c>
      <c r="P9" s="255">
        <v>3.125E-2</v>
      </c>
      <c r="Q9" s="163">
        <v>40304</v>
      </c>
      <c r="R9" s="255">
        <v>3.3500000000000002E-2</v>
      </c>
      <c r="S9" s="255">
        <f t="shared" si="0"/>
        <v>-2.0000000000000018E-3</v>
      </c>
    </row>
    <row r="10" spans="1:19" x14ac:dyDescent="0.2">
      <c r="B10" s="256" t="s">
        <v>1379</v>
      </c>
      <c r="C10" s="163">
        <v>45245</v>
      </c>
      <c r="D10" s="163">
        <v>34289</v>
      </c>
      <c r="E10" s="76" t="s">
        <v>1380</v>
      </c>
      <c r="F10" s="76">
        <v>250</v>
      </c>
      <c r="G10" s="255">
        <v>6.7299999999999999E-2</v>
      </c>
      <c r="H10" s="76" t="s">
        <v>1368</v>
      </c>
      <c r="I10" s="76">
        <v>125.001</v>
      </c>
      <c r="J10" s="255">
        <v>4.2700000000000002E-2</v>
      </c>
      <c r="K10" s="255" t="s">
        <v>1374</v>
      </c>
      <c r="L10" s="76" t="s">
        <v>1366</v>
      </c>
      <c r="M10" s="76" t="s">
        <v>1351</v>
      </c>
      <c r="N10" s="255">
        <v>7.6319999999999999E-2</v>
      </c>
      <c r="O10" s="163">
        <v>39741</v>
      </c>
      <c r="P10" s="255">
        <v>4.0099999999999997E-2</v>
      </c>
      <c r="Q10" s="163">
        <v>39828</v>
      </c>
      <c r="R10" s="255">
        <v>3.5499999999999997E-2</v>
      </c>
      <c r="S10" s="255">
        <f t="shared" si="0"/>
        <v>7.200000000000005E-3</v>
      </c>
    </row>
    <row r="11" spans="1:19" x14ac:dyDescent="0.2">
      <c r="B11" s="256" t="s">
        <v>1381</v>
      </c>
      <c r="C11" s="163">
        <v>45602</v>
      </c>
      <c r="D11" s="163">
        <v>39385</v>
      </c>
      <c r="E11" s="76" t="s">
        <v>1382</v>
      </c>
      <c r="F11" s="76">
        <v>500</v>
      </c>
      <c r="G11" s="255">
        <v>5.5E-2</v>
      </c>
      <c r="H11" s="76" t="s">
        <v>1345</v>
      </c>
      <c r="I11" s="76">
        <v>106.005</v>
      </c>
      <c r="J11" s="255">
        <v>4.8800000000000003E-2</v>
      </c>
      <c r="K11" s="255" t="s">
        <v>1383</v>
      </c>
      <c r="L11" s="76" t="s">
        <v>1366</v>
      </c>
      <c r="M11" s="76" t="s">
        <v>1351</v>
      </c>
      <c r="N11" s="255">
        <v>6.0879999999999997E-2</v>
      </c>
      <c r="O11" s="163">
        <v>39735</v>
      </c>
      <c r="P11" s="255">
        <v>4.4979999999999999E-2</v>
      </c>
      <c r="Q11" s="163">
        <v>40056</v>
      </c>
      <c r="R11" s="255">
        <v>3.6499999999999998E-2</v>
      </c>
      <c r="S11" s="255">
        <f t="shared" si="0"/>
        <v>1.2300000000000005E-2</v>
      </c>
    </row>
    <row r="12" spans="1:19" x14ac:dyDescent="0.2">
      <c r="B12" s="256" t="s">
        <v>1384</v>
      </c>
      <c r="C12" s="163">
        <v>47362</v>
      </c>
      <c r="D12" s="163">
        <v>36402</v>
      </c>
      <c r="E12" s="76" t="s">
        <v>1385</v>
      </c>
      <c r="F12" s="76">
        <v>293</v>
      </c>
      <c r="G12" s="255">
        <v>6.9500000000000006E-2</v>
      </c>
      <c r="H12" s="76" t="s">
        <v>1368</v>
      </c>
      <c r="I12" s="76">
        <v>131.88200000000001</v>
      </c>
      <c r="J12" s="255">
        <v>4.446E-2</v>
      </c>
      <c r="K12" s="255" t="s">
        <v>1374</v>
      </c>
      <c r="L12" s="76" t="s">
        <v>1366</v>
      </c>
      <c r="M12" s="76" t="s">
        <v>1351</v>
      </c>
      <c r="N12" s="255">
        <v>6.9029999999999994E-2</v>
      </c>
      <c r="O12" s="163">
        <v>40039</v>
      </c>
      <c r="P12" s="255">
        <v>4.1110000000000001E-2</v>
      </c>
      <c r="Q12" s="163">
        <v>37785</v>
      </c>
      <c r="R12" s="255">
        <v>3.6499999999999998E-2</v>
      </c>
      <c r="S12" s="255">
        <f t="shared" si="0"/>
        <v>7.9600000000000018E-3</v>
      </c>
    </row>
    <row r="13" spans="1:19" x14ac:dyDescent="0.2">
      <c r="B13" s="256" t="s">
        <v>1386</v>
      </c>
      <c r="C13" s="163">
        <v>48714</v>
      </c>
      <c r="D13" s="163">
        <v>37760</v>
      </c>
      <c r="E13" s="76" t="s">
        <v>1387</v>
      </c>
      <c r="F13" s="76">
        <v>500</v>
      </c>
      <c r="G13" s="255">
        <v>4.9500000000000002E-2</v>
      </c>
      <c r="H13" s="76" t="s">
        <v>1368</v>
      </c>
      <c r="I13" s="76">
        <v>109.919</v>
      </c>
      <c r="J13" s="255">
        <v>4.2630000000000001E-2</v>
      </c>
      <c r="K13" s="255" t="s">
        <v>1374</v>
      </c>
      <c r="L13" s="76" t="s">
        <v>1366</v>
      </c>
      <c r="M13" s="76" t="s">
        <v>1351</v>
      </c>
      <c r="N13" s="255">
        <v>7.7630000000000005E-2</v>
      </c>
      <c r="O13" s="163">
        <v>39735</v>
      </c>
      <c r="P13" s="255">
        <v>4.0050000000000002E-2</v>
      </c>
      <c r="Q13" s="163">
        <v>40414</v>
      </c>
      <c r="R13" s="255">
        <v>3.6999999999999998E-2</v>
      </c>
      <c r="S13" s="255">
        <f t="shared" si="0"/>
        <v>5.6300000000000031E-3</v>
      </c>
    </row>
    <row r="14" spans="1:19" x14ac:dyDescent="0.2">
      <c r="B14" s="256" t="s">
        <v>1388</v>
      </c>
      <c r="C14" s="163">
        <v>50267</v>
      </c>
      <c r="D14" s="163">
        <v>39307</v>
      </c>
      <c r="E14" s="76" t="s">
        <v>1389</v>
      </c>
      <c r="F14" s="76">
        <v>995</v>
      </c>
      <c r="G14" s="255">
        <v>5.9499999999999997E-2</v>
      </c>
      <c r="H14" s="76" t="s">
        <v>1345</v>
      </c>
      <c r="I14" s="76">
        <v>123.142</v>
      </c>
      <c r="J14" s="255">
        <v>4.4639999999999999E-2</v>
      </c>
      <c r="K14" s="255" t="s">
        <v>1374</v>
      </c>
      <c r="L14" s="76" t="s">
        <v>1348</v>
      </c>
      <c r="M14" s="76" t="s">
        <v>1351</v>
      </c>
      <c r="N14" s="255">
        <v>6.318E-2</v>
      </c>
      <c r="O14" s="163">
        <v>39738</v>
      </c>
      <c r="P14" s="255">
        <v>4.1369999999999997E-2</v>
      </c>
      <c r="Q14" s="163">
        <v>40421</v>
      </c>
      <c r="R14" s="255">
        <v>3.78E-2</v>
      </c>
      <c r="S14" s="255">
        <f t="shared" si="0"/>
        <v>6.8399999999999989E-3</v>
      </c>
    </row>
    <row r="15" spans="1:19" x14ac:dyDescent="0.2">
      <c r="B15" s="256" t="s">
        <v>1349</v>
      </c>
      <c r="C15" s="163">
        <v>50601</v>
      </c>
      <c r="D15" s="163">
        <v>39617</v>
      </c>
      <c r="E15" s="163" t="s">
        <v>1435</v>
      </c>
      <c r="F15" s="76">
        <v>700</v>
      </c>
      <c r="G15" s="255">
        <v>5.8500000000000003E-2</v>
      </c>
      <c r="H15" s="76" t="s">
        <v>1345</v>
      </c>
      <c r="I15" s="76">
        <v>122.22</v>
      </c>
      <c r="J15" s="255">
        <v>4.4499999999999998E-2</v>
      </c>
      <c r="K15" s="255" t="s">
        <v>1374</v>
      </c>
      <c r="L15" s="76" t="s">
        <v>1348</v>
      </c>
      <c r="M15" s="76" t="s">
        <v>1351</v>
      </c>
      <c r="N15" s="255">
        <v>7.0529999999999995E-2</v>
      </c>
      <c r="O15" s="163">
        <v>39738</v>
      </c>
      <c r="P15" s="255">
        <v>4.165E-2</v>
      </c>
      <c r="Q15" s="163">
        <v>40415</v>
      </c>
      <c r="R15" s="255">
        <v>3.7900000000000003E-2</v>
      </c>
      <c r="S15" s="255">
        <f>J15-R15</f>
        <v>6.5999999999999948E-3</v>
      </c>
    </row>
    <row r="16" spans="1:19" x14ac:dyDescent="0.2">
      <c r="B16" s="256" t="s">
        <v>1433</v>
      </c>
      <c r="C16" s="163">
        <v>51380</v>
      </c>
      <c r="D16" s="163">
        <v>40407</v>
      </c>
      <c r="E16" s="76" t="s">
        <v>1358</v>
      </c>
      <c r="F16" s="76">
        <v>550</v>
      </c>
      <c r="G16" s="255">
        <v>4.4999999999999998E-2</v>
      </c>
      <c r="H16" s="76" t="s">
        <v>1434</v>
      </c>
      <c r="I16" s="76">
        <v>101.13200000000001</v>
      </c>
      <c r="J16" s="255">
        <v>4.4299999999999999E-2</v>
      </c>
      <c r="K16" s="255" t="s">
        <v>1374</v>
      </c>
      <c r="L16" s="76" t="s">
        <v>1348</v>
      </c>
      <c r="M16" s="76" t="s">
        <v>1351</v>
      </c>
      <c r="N16" s="255">
        <v>4.6179999999999999E-2</v>
      </c>
      <c r="O16" s="163">
        <v>40402</v>
      </c>
      <c r="P16" s="255">
        <v>4.1230000000000003E-2</v>
      </c>
      <c r="Q16" s="163">
        <v>40415</v>
      </c>
      <c r="R16" s="255">
        <v>3.8100000000000002E-2</v>
      </c>
      <c r="S16" s="255">
        <f>J16-R16</f>
        <v>6.1999999999999972E-3</v>
      </c>
    </row>
    <row r="20" spans="2:2" x14ac:dyDescent="0.2">
      <c r="B20" t="s">
        <v>1567</v>
      </c>
    </row>
    <row r="21" spans="2:2" x14ac:dyDescent="0.2">
      <c r="B21" t="s">
        <v>1568</v>
      </c>
    </row>
    <row r="22" spans="2:2" x14ac:dyDescent="0.2">
      <c r="B22" t="s">
        <v>1569</v>
      </c>
    </row>
    <row r="23" spans="2:2" x14ac:dyDescent="0.2">
      <c r="B23" t="s">
        <v>1707</v>
      </c>
    </row>
    <row r="24" spans="2:2" x14ac:dyDescent="0.2">
      <c r="B24" t="s">
        <v>1715</v>
      </c>
    </row>
  </sheetData>
  <hyperlinks>
    <hyperlink ref="A1" location="Main!A1" display="Main" xr:uid="{00000000-0004-0000-0400-000000000000}"/>
  </hyperlink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3910E-E0E9-4D02-8B7C-21035DD43715}">
  <dimension ref="A1:C15"/>
  <sheetViews>
    <sheetView zoomScale="205" zoomScaleNormal="205" workbookViewId="0"/>
  </sheetViews>
  <sheetFormatPr defaultRowHeight="12.75" x14ac:dyDescent="0.2"/>
  <cols>
    <col min="1" max="1" width="5" bestFit="1" customWidth="1"/>
    <col min="2" max="2" width="12.140625" bestFit="1" customWidth="1"/>
  </cols>
  <sheetData>
    <row r="1" spans="1:3" x14ac:dyDescent="0.2">
      <c r="A1" s="116" t="s">
        <v>154</v>
      </c>
    </row>
    <row r="2" spans="1:3" x14ac:dyDescent="0.2">
      <c r="B2" t="s">
        <v>1693</v>
      </c>
      <c r="C2" t="s">
        <v>2004</v>
      </c>
    </row>
    <row r="3" spans="1:3" x14ac:dyDescent="0.2">
      <c r="B3" t="s">
        <v>1274</v>
      </c>
      <c r="C3" t="s">
        <v>2003</v>
      </c>
    </row>
    <row r="4" spans="1:3" x14ac:dyDescent="0.2">
      <c r="B4" t="s">
        <v>159</v>
      </c>
      <c r="C4" t="s">
        <v>1930</v>
      </c>
    </row>
    <row r="5" spans="1:3" x14ac:dyDescent="0.2">
      <c r="B5" t="s">
        <v>1694</v>
      </c>
      <c r="C5" t="s">
        <v>2005</v>
      </c>
    </row>
    <row r="6" spans="1:3" x14ac:dyDescent="0.2">
      <c r="B6" t="s">
        <v>902</v>
      </c>
      <c r="C6" t="s">
        <v>2156</v>
      </c>
    </row>
    <row r="7" spans="1:3" x14ac:dyDescent="0.2">
      <c r="B7" t="s">
        <v>773</v>
      </c>
    </row>
    <row r="8" spans="1:3" x14ac:dyDescent="0.2">
      <c r="C8" s="184" t="s">
        <v>2157</v>
      </c>
    </row>
    <row r="9" spans="1:3" x14ac:dyDescent="0.2">
      <c r="C9" t="s">
        <v>2008</v>
      </c>
    </row>
    <row r="10" spans="1:3" x14ac:dyDescent="0.2">
      <c r="C10" t="s">
        <v>2009</v>
      </c>
    </row>
    <row r="11" spans="1:3" x14ac:dyDescent="0.2">
      <c r="C11" t="s">
        <v>2010</v>
      </c>
    </row>
    <row r="14" spans="1:3" x14ac:dyDescent="0.2">
      <c r="C14" s="184" t="s">
        <v>2007</v>
      </c>
    </row>
    <row r="15" spans="1:3" x14ac:dyDescent="0.2">
      <c r="C15" t="s">
        <v>2006</v>
      </c>
    </row>
  </sheetData>
  <hyperlinks>
    <hyperlink ref="A1" location="Main!A1" display="Main" xr:uid="{C1D2EB3D-F5AE-4EFB-B2EB-EECD0FBF35DA}"/>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31"/>
  <sheetViews>
    <sheetView zoomScale="130" zoomScaleNormal="130" workbookViewId="0">
      <selection activeCell="C11" sqref="C11"/>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154</v>
      </c>
    </row>
    <row r="2" spans="1:3" x14ac:dyDescent="0.2">
      <c r="B2" s="4" t="s">
        <v>485</v>
      </c>
      <c r="C2" s="4" t="s">
        <v>1136</v>
      </c>
    </row>
    <row r="3" spans="1:3" x14ac:dyDescent="0.2">
      <c r="B3" s="4" t="s">
        <v>486</v>
      </c>
      <c r="C3" s="4" t="s">
        <v>1163</v>
      </c>
    </row>
    <row r="4" spans="1:3" x14ac:dyDescent="0.2">
      <c r="B4" s="4" t="s">
        <v>489</v>
      </c>
      <c r="C4" s="4" t="s">
        <v>1164</v>
      </c>
    </row>
    <row r="5" spans="1:3" x14ac:dyDescent="0.2">
      <c r="B5" s="4" t="s">
        <v>495</v>
      </c>
      <c r="C5" s="4" t="s">
        <v>1165</v>
      </c>
    </row>
    <row r="6" spans="1:3" x14ac:dyDescent="0.2">
      <c r="B6" s="4" t="s">
        <v>159</v>
      </c>
      <c r="C6" s="4" t="s">
        <v>214</v>
      </c>
    </row>
    <row r="7" spans="1:3" x14ac:dyDescent="0.2">
      <c r="B7" s="4" t="s">
        <v>163</v>
      </c>
      <c r="C7" s="4" t="s">
        <v>1061</v>
      </c>
    </row>
    <row r="8" spans="1:3" x14ac:dyDescent="0.2">
      <c r="B8" s="4" t="s">
        <v>527</v>
      </c>
      <c r="C8" s="4" t="s">
        <v>1062</v>
      </c>
    </row>
    <row r="9" spans="1:3" x14ac:dyDescent="0.2">
      <c r="B9" s="4" t="s">
        <v>536</v>
      </c>
      <c r="C9" s="4" t="s">
        <v>1063</v>
      </c>
    </row>
    <row r="10" spans="1:3" x14ac:dyDescent="0.2">
      <c r="B10" s="4" t="s">
        <v>901</v>
      </c>
      <c r="C10" s="4" t="s">
        <v>1064</v>
      </c>
    </row>
    <row r="11" spans="1:3" x14ac:dyDescent="0.2">
      <c r="B11" s="4" t="s">
        <v>1065</v>
      </c>
      <c r="C11" s="4" t="s">
        <v>1066</v>
      </c>
    </row>
    <row r="12" spans="1:3" x14ac:dyDescent="0.2">
      <c r="B12" s="4" t="s">
        <v>531</v>
      </c>
    </row>
    <row r="13" spans="1:3" x14ac:dyDescent="0.2">
      <c r="C13" s="30" t="s">
        <v>1067</v>
      </c>
    </row>
    <row r="14" spans="1:3" x14ac:dyDescent="0.2">
      <c r="C14" s="4" t="s">
        <v>1068</v>
      </c>
    </row>
    <row r="15" spans="1:3" x14ac:dyDescent="0.2">
      <c r="C15" s="4" t="s">
        <v>1069</v>
      </c>
    </row>
    <row r="16" spans="1:3" x14ac:dyDescent="0.2">
      <c r="C16" s="4" t="s">
        <v>1070</v>
      </c>
    </row>
    <row r="17" spans="3:8" x14ac:dyDescent="0.2">
      <c r="C17" s="4" t="s">
        <v>1071</v>
      </c>
    </row>
    <row r="19" spans="3:8" x14ac:dyDescent="0.2">
      <c r="C19" s="30" t="s">
        <v>1072</v>
      </c>
    </row>
    <row r="20" spans="3:8" x14ac:dyDescent="0.2">
      <c r="C20" s="4" t="s">
        <v>1073</v>
      </c>
    </row>
    <row r="21" spans="3:8" x14ac:dyDescent="0.2">
      <c r="C21" s="4" t="s">
        <v>1074</v>
      </c>
    </row>
    <row r="24" spans="3:8" x14ac:dyDescent="0.2">
      <c r="C24" s="30" t="s">
        <v>1075</v>
      </c>
      <c r="F24" s="12"/>
      <c r="G24" s="12"/>
      <c r="H24" s="12"/>
    </row>
    <row r="31" spans="3:8" x14ac:dyDescent="0.2">
      <c r="F31" s="12"/>
      <c r="G31" s="12"/>
      <c r="H31" s="12"/>
    </row>
  </sheetData>
  <phoneticPr fontId="11" type="noConversion"/>
  <hyperlinks>
    <hyperlink ref="A1" location="Main!A1" display="Main" xr:uid="{00000000-0004-0000-1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30"/>
  <sheetViews>
    <sheetView zoomScale="130" zoomScaleNormal="130" workbookViewId="0">
      <selection activeCell="C8" sqref="C8"/>
    </sheetView>
  </sheetViews>
  <sheetFormatPr defaultColWidth="9.140625" defaultRowHeight="12.75" x14ac:dyDescent="0.2"/>
  <cols>
    <col min="1" max="1" width="5" style="6" customWidth="1"/>
    <col min="2" max="2" width="13.7109375" style="6" customWidth="1"/>
    <col min="3" max="3" width="9.42578125" style="6" customWidth="1"/>
    <col min="4" max="5" width="8.7109375" style="6" customWidth="1"/>
    <col min="6" max="13" width="5.28515625" style="6" customWidth="1"/>
    <col min="14" max="16384" width="9.140625" style="6"/>
  </cols>
  <sheetData>
    <row r="1" spans="1:3" x14ac:dyDescent="0.2">
      <c r="A1" s="5" t="s">
        <v>154</v>
      </c>
    </row>
    <row r="2" spans="1:3" x14ac:dyDescent="0.2">
      <c r="B2" s="4" t="s">
        <v>485</v>
      </c>
      <c r="C2" s="4" t="s">
        <v>811</v>
      </c>
    </row>
    <row r="3" spans="1:3" x14ac:dyDescent="0.2">
      <c r="B3" s="4" t="s">
        <v>486</v>
      </c>
      <c r="C3" s="4" t="s">
        <v>1157</v>
      </c>
    </row>
    <row r="4" spans="1:3" x14ac:dyDescent="0.2">
      <c r="B4" s="4" t="s">
        <v>488</v>
      </c>
      <c r="C4" s="4" t="s">
        <v>1158</v>
      </c>
    </row>
    <row r="5" spans="1:3" x14ac:dyDescent="0.2">
      <c r="B5" s="4" t="s">
        <v>159</v>
      </c>
      <c r="C5" s="4" t="s">
        <v>188</v>
      </c>
    </row>
    <row r="6" spans="1:3" x14ac:dyDescent="0.2">
      <c r="B6" s="4" t="s">
        <v>489</v>
      </c>
      <c r="C6" s="4" t="s">
        <v>812</v>
      </c>
    </row>
    <row r="7" spans="1:3" x14ac:dyDescent="0.2">
      <c r="B7" s="4" t="s">
        <v>770</v>
      </c>
      <c r="C7" s="35" t="s">
        <v>813</v>
      </c>
    </row>
    <row r="8" spans="1:3" x14ac:dyDescent="0.2">
      <c r="B8" s="4" t="s">
        <v>165</v>
      </c>
      <c r="C8" s="4" t="s">
        <v>814</v>
      </c>
    </row>
    <row r="9" spans="1:3" x14ac:dyDescent="0.2">
      <c r="B9" s="4" t="s">
        <v>163</v>
      </c>
      <c r="C9" s="4" t="s">
        <v>815</v>
      </c>
    </row>
    <row r="10" spans="1:3" x14ac:dyDescent="0.2">
      <c r="B10" s="4"/>
      <c r="C10" s="4" t="s">
        <v>816</v>
      </c>
    </row>
    <row r="11" spans="1:3" x14ac:dyDescent="0.2">
      <c r="B11" s="4"/>
      <c r="C11" s="5" t="s">
        <v>817</v>
      </c>
    </row>
    <row r="12" spans="1:3" x14ac:dyDescent="0.2">
      <c r="B12" s="4" t="s">
        <v>768</v>
      </c>
      <c r="C12" s="36">
        <v>1</v>
      </c>
    </row>
    <row r="13" spans="1:3" x14ac:dyDescent="0.2">
      <c r="B13" s="4" t="s">
        <v>531</v>
      </c>
      <c r="C13" s="4"/>
    </row>
    <row r="14" spans="1:3" x14ac:dyDescent="0.2">
      <c r="B14" s="4"/>
      <c r="C14" s="30" t="s">
        <v>818</v>
      </c>
    </row>
    <row r="15" spans="1:3" x14ac:dyDescent="0.2">
      <c r="B15" s="4"/>
      <c r="C15" s="4" t="s">
        <v>819</v>
      </c>
    </row>
    <row r="16" spans="1:3" x14ac:dyDescent="0.2">
      <c r="B16" s="4"/>
      <c r="C16" s="4" t="s">
        <v>820</v>
      </c>
    </row>
    <row r="17" spans="2:13" x14ac:dyDescent="0.2">
      <c r="B17" s="4"/>
      <c r="C17" s="4" t="s">
        <v>821</v>
      </c>
    </row>
    <row r="18" spans="2:13" x14ac:dyDescent="0.2">
      <c r="B18" s="4"/>
      <c r="C18" s="4"/>
    </row>
    <row r="19" spans="2:13" x14ac:dyDescent="0.2">
      <c r="B19" s="4"/>
      <c r="C19" s="4"/>
    </row>
    <row r="20" spans="2:13" x14ac:dyDescent="0.2">
      <c r="B20" s="4" t="s">
        <v>542</v>
      </c>
      <c r="D20" s="6" t="s">
        <v>543</v>
      </c>
      <c r="E20" s="6" t="s">
        <v>544</v>
      </c>
    </row>
    <row r="21" spans="2:13" s="4" customFormat="1" x14ac:dyDescent="0.2">
      <c r="C21" s="37">
        <v>39234</v>
      </c>
      <c r="D21" s="14">
        <v>132809</v>
      </c>
      <c r="E21" s="14">
        <v>132496</v>
      </c>
    </row>
    <row r="22" spans="2:13" s="4" customFormat="1" x14ac:dyDescent="0.2">
      <c r="C22" s="37">
        <f>C21-7</f>
        <v>39227</v>
      </c>
      <c r="D22" s="14">
        <v>158528</v>
      </c>
      <c r="E22" s="14">
        <v>158166</v>
      </c>
    </row>
    <row r="23" spans="2:13" s="4" customFormat="1" x14ac:dyDescent="0.2">
      <c r="C23" s="37">
        <f>C21-365</f>
        <v>38869</v>
      </c>
      <c r="D23" s="14">
        <v>130823</v>
      </c>
      <c r="E23" s="14">
        <v>130410</v>
      </c>
    </row>
    <row r="24" spans="2:13" s="4" customFormat="1" x14ac:dyDescent="0.2"/>
    <row r="26" spans="2:13" x14ac:dyDescent="0.2">
      <c r="C26" s="6">
        <v>2000</v>
      </c>
      <c r="D26" s="6">
        <v>2001</v>
      </c>
      <c r="E26" s="6">
        <v>2002</v>
      </c>
      <c r="F26" s="6">
        <v>2003</v>
      </c>
      <c r="G26" s="6">
        <v>2004</v>
      </c>
      <c r="H26" s="6">
        <v>2005</v>
      </c>
      <c r="I26" s="6">
        <v>2006</v>
      </c>
      <c r="J26" s="6">
        <v>2007</v>
      </c>
      <c r="K26" s="6">
        <v>2008</v>
      </c>
      <c r="L26" s="6">
        <v>2009</v>
      </c>
      <c r="M26" s="6">
        <v>2010</v>
      </c>
    </row>
    <row r="27" spans="2:13" x14ac:dyDescent="0.2">
      <c r="B27" s="6" t="s">
        <v>364</v>
      </c>
      <c r="F27" s="7" t="e">
        <f>+#REF!</f>
        <v>#REF!</v>
      </c>
      <c r="G27" s="7" t="e">
        <f>+#REF!</f>
        <v>#REF!</v>
      </c>
      <c r="H27" s="7" t="e">
        <f>+#REF!</f>
        <v>#REF!</v>
      </c>
      <c r="I27" s="7"/>
      <c r="J27" s="7"/>
      <c r="K27" s="7"/>
    </row>
    <row r="28" spans="2:13" x14ac:dyDescent="0.2">
      <c r="B28" s="6" t="s">
        <v>365</v>
      </c>
      <c r="E28" s="33"/>
      <c r="F28" s="29" t="e">
        <f>+#REF!</f>
        <v>#REF!</v>
      </c>
      <c r="G28" s="29" t="e">
        <f>+#REF!</f>
        <v>#REF!</v>
      </c>
      <c r="H28" s="29" t="e">
        <f>+#REF!</f>
        <v>#REF!</v>
      </c>
      <c r="I28" s="29"/>
      <c r="J28" s="29"/>
      <c r="K28" s="29"/>
      <c r="L28" s="33"/>
    </row>
    <row r="29" spans="2:13" x14ac:dyDescent="0.2">
      <c r="B29" s="6" t="s">
        <v>539</v>
      </c>
      <c r="E29" s="33"/>
      <c r="F29" s="29" t="e">
        <f>F28+F27</f>
        <v>#REF!</v>
      </c>
      <c r="G29" s="29" t="e">
        <f>G28+G27</f>
        <v>#REF!</v>
      </c>
      <c r="H29" s="29">
        <v>774</v>
      </c>
      <c r="I29" s="29">
        <v>929</v>
      </c>
      <c r="J29" s="29">
        <v>1027</v>
      </c>
      <c r="K29" s="29">
        <v>1142.5</v>
      </c>
      <c r="L29" s="33"/>
    </row>
    <row r="30" spans="2:13" x14ac:dyDescent="0.2">
      <c r="E30" s="34"/>
      <c r="F30" s="34"/>
      <c r="G30" s="34"/>
      <c r="H30" s="34"/>
      <c r="I30" s="34"/>
      <c r="J30" s="34"/>
      <c r="K30" s="34"/>
      <c r="L30" s="34"/>
    </row>
  </sheetData>
  <phoneticPr fontId="11" type="noConversion"/>
  <hyperlinks>
    <hyperlink ref="A1" location="Main!A1" display="Main" xr:uid="{00000000-0004-0000-1300-000000000000}"/>
    <hyperlink ref="C11" r:id="rId1" xr:uid="{00000000-0004-0000-13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39"/>
  <sheetViews>
    <sheetView zoomScale="130" zoomScaleNormal="130" workbookViewId="0">
      <selection activeCell="C4" sqref="C4"/>
    </sheetView>
  </sheetViews>
  <sheetFormatPr defaultColWidth="9.140625" defaultRowHeight="12.75" x14ac:dyDescent="0.2"/>
  <cols>
    <col min="1" max="1" width="5.7109375" style="119" customWidth="1"/>
    <col min="2" max="2" width="18.42578125" style="119" customWidth="1"/>
    <col min="3" max="3" width="7.7109375" style="119" customWidth="1"/>
    <col min="4" max="4" width="5.42578125" style="119" customWidth="1"/>
    <col min="5" max="8" width="5.42578125" style="119" bestFit="1" customWidth="1"/>
    <col min="9" max="9" width="6.140625" style="119" customWidth="1"/>
    <col min="10" max="16384" width="9.140625" style="119"/>
  </cols>
  <sheetData>
    <row r="1" spans="1:5" x14ac:dyDescent="0.2">
      <c r="A1" s="118" t="s">
        <v>154</v>
      </c>
    </row>
    <row r="2" spans="1:5" x14ac:dyDescent="0.2">
      <c r="A2" s="118"/>
      <c r="B2" s="119" t="s">
        <v>711</v>
      </c>
      <c r="C2" s="120" t="s">
        <v>712</v>
      </c>
    </row>
    <row r="3" spans="1:5" x14ac:dyDescent="0.2">
      <c r="A3" s="118"/>
      <c r="B3" s="119" t="s">
        <v>495</v>
      </c>
      <c r="C3" s="119" t="s">
        <v>713</v>
      </c>
    </row>
    <row r="4" spans="1:5" x14ac:dyDescent="0.2">
      <c r="A4" s="118"/>
      <c r="C4" s="120" t="s">
        <v>1168</v>
      </c>
    </row>
    <row r="5" spans="1:5" x14ac:dyDescent="0.2">
      <c r="A5" s="118"/>
      <c r="B5" s="119" t="s">
        <v>163</v>
      </c>
      <c r="C5" s="120" t="s">
        <v>1169</v>
      </c>
    </row>
    <row r="6" spans="1:5" x14ac:dyDescent="0.2">
      <c r="A6" s="118"/>
      <c r="C6" s="120"/>
      <c r="E6" s="120"/>
    </row>
    <row r="7" spans="1:5" x14ac:dyDescent="0.2">
      <c r="A7" s="118"/>
      <c r="B7" s="119" t="s">
        <v>714</v>
      </c>
      <c r="C7" s="120" t="s">
        <v>712</v>
      </c>
    </row>
    <row r="8" spans="1:5" x14ac:dyDescent="0.2">
      <c r="A8" s="118"/>
      <c r="B8" s="119" t="s">
        <v>495</v>
      </c>
      <c r="C8" s="119" t="s">
        <v>713</v>
      </c>
      <c r="E8" s="120"/>
    </row>
    <row r="9" spans="1:5" x14ac:dyDescent="0.2">
      <c r="A9" s="118"/>
      <c r="C9" s="120" t="s">
        <v>715</v>
      </c>
      <c r="E9" s="120"/>
    </row>
    <row r="10" spans="1:5" x14ac:dyDescent="0.2">
      <c r="A10" s="118"/>
      <c r="B10" s="119" t="s">
        <v>163</v>
      </c>
      <c r="C10" s="119" t="s">
        <v>716</v>
      </c>
      <c r="E10" s="120"/>
    </row>
    <row r="11" spans="1:5" x14ac:dyDescent="0.2">
      <c r="A11" s="118"/>
      <c r="C11" s="120"/>
      <c r="E11" s="120"/>
    </row>
    <row r="12" spans="1:5" x14ac:dyDescent="0.2">
      <c r="A12" s="118"/>
      <c r="B12" s="119" t="s">
        <v>717</v>
      </c>
      <c r="C12" s="120" t="s">
        <v>712</v>
      </c>
    </row>
    <row r="13" spans="1:5" x14ac:dyDescent="0.2">
      <c r="A13" s="118"/>
      <c r="B13" s="119" t="s">
        <v>495</v>
      </c>
      <c r="C13" s="119" t="s">
        <v>713</v>
      </c>
      <c r="E13" s="120"/>
    </row>
    <row r="14" spans="1:5" x14ac:dyDescent="0.2">
      <c r="A14" s="118"/>
      <c r="C14" s="120" t="s">
        <v>718</v>
      </c>
      <c r="E14" s="120"/>
    </row>
    <row r="15" spans="1:5" x14ac:dyDescent="0.2">
      <c r="A15" s="118"/>
      <c r="B15" s="119" t="s">
        <v>163</v>
      </c>
      <c r="C15" s="120" t="s">
        <v>719</v>
      </c>
      <c r="E15" s="120"/>
    </row>
    <row r="16" spans="1:5" x14ac:dyDescent="0.2">
      <c r="A16" s="118"/>
      <c r="C16" s="120"/>
      <c r="E16" s="120"/>
    </row>
    <row r="17" spans="1:10" x14ac:dyDescent="0.2">
      <c r="A17" s="118"/>
      <c r="B17" s="119" t="s">
        <v>720</v>
      </c>
      <c r="C17" s="120" t="s">
        <v>721</v>
      </c>
    </row>
    <row r="18" spans="1:10" x14ac:dyDescent="0.2">
      <c r="B18" s="119" t="s">
        <v>495</v>
      </c>
      <c r="C18" s="121" t="s">
        <v>713</v>
      </c>
    </row>
    <row r="19" spans="1:10" x14ac:dyDescent="0.2">
      <c r="C19" s="121" t="s">
        <v>722</v>
      </c>
    </row>
    <row r="20" spans="1:10" x14ac:dyDescent="0.2">
      <c r="B20" s="119" t="s">
        <v>163</v>
      </c>
      <c r="C20" s="121" t="s">
        <v>723</v>
      </c>
    </row>
    <row r="22" spans="1:10" x14ac:dyDescent="0.2">
      <c r="B22" s="119" t="s">
        <v>724</v>
      </c>
      <c r="C22" s="120" t="s">
        <v>739</v>
      </c>
    </row>
    <row r="23" spans="1:10" x14ac:dyDescent="0.2">
      <c r="B23" s="119" t="s">
        <v>495</v>
      </c>
      <c r="C23" s="119" t="s">
        <v>740</v>
      </c>
      <c r="E23" s="120"/>
    </row>
    <row r="24" spans="1:10" x14ac:dyDescent="0.2">
      <c r="C24" s="120" t="s">
        <v>741</v>
      </c>
      <c r="E24" s="120"/>
    </row>
    <row r="25" spans="1:10" x14ac:dyDescent="0.2">
      <c r="B25" s="119" t="s">
        <v>163</v>
      </c>
      <c r="C25" s="120" t="s">
        <v>742</v>
      </c>
    </row>
    <row r="27" spans="1:10" x14ac:dyDescent="0.2">
      <c r="B27" s="122" t="s">
        <v>330</v>
      </c>
      <c r="C27" s="123">
        <v>2001</v>
      </c>
      <c r="D27" s="123">
        <v>2002</v>
      </c>
      <c r="E27" s="123">
        <v>2003</v>
      </c>
      <c r="F27" s="123">
        <v>2004</v>
      </c>
      <c r="G27" s="123">
        <v>2005</v>
      </c>
      <c r="H27" s="124">
        <v>2006</v>
      </c>
      <c r="I27" s="124">
        <v>2007</v>
      </c>
      <c r="J27" s="125"/>
    </row>
    <row r="28" spans="1:10" s="122" customFormat="1" ht="12.6" customHeight="1" x14ac:dyDescent="0.2">
      <c r="B28" s="122" t="s">
        <v>364</v>
      </c>
      <c r="C28" s="126"/>
      <c r="D28" s="126" t="e">
        <f>#REF!</f>
        <v>#REF!</v>
      </c>
      <c r="E28" s="126" t="e">
        <f>#REF!</f>
        <v>#REF!</v>
      </c>
      <c r="F28" s="126" t="e">
        <f>#REF!</f>
        <v>#REF!</v>
      </c>
      <c r="G28" s="127">
        <v>920</v>
      </c>
      <c r="H28" s="127">
        <v>781</v>
      </c>
      <c r="I28" s="127">
        <v>662</v>
      </c>
      <c r="J28" s="128"/>
    </row>
    <row r="29" spans="1:10" x14ac:dyDescent="0.2">
      <c r="B29" s="119" t="s">
        <v>365</v>
      </c>
      <c r="C29" s="129"/>
      <c r="D29" s="129" t="e">
        <f>#REF!</f>
        <v>#REF!</v>
      </c>
      <c r="E29" s="129" t="e">
        <f>#REF!</f>
        <v>#REF!</v>
      </c>
      <c r="F29" s="129" t="e">
        <f>#REF!</f>
        <v>#REF!</v>
      </c>
      <c r="G29" s="130">
        <v>216</v>
      </c>
      <c r="H29" s="130">
        <v>235</v>
      </c>
      <c r="I29" s="130">
        <v>236</v>
      </c>
      <c r="J29" s="131"/>
    </row>
    <row r="30" spans="1:10" x14ac:dyDescent="0.2">
      <c r="C30" s="132"/>
      <c r="D30" s="132" t="e">
        <f t="shared" ref="D30:I30" si="0">SUM(D28:D29)</f>
        <v>#REF!</v>
      </c>
      <c r="E30" s="132" t="e">
        <f t="shared" si="0"/>
        <v>#REF!</v>
      </c>
      <c r="F30" s="132" t="e">
        <f t="shared" si="0"/>
        <v>#REF!</v>
      </c>
      <c r="G30" s="133">
        <f t="shared" si="0"/>
        <v>1136</v>
      </c>
      <c r="H30" s="133">
        <f t="shared" si="0"/>
        <v>1016</v>
      </c>
      <c r="I30" s="133">
        <f t="shared" si="0"/>
        <v>898</v>
      </c>
      <c r="J30" s="131"/>
    </row>
    <row r="32" spans="1:10" x14ac:dyDescent="0.2">
      <c r="B32" s="119" t="s">
        <v>1020</v>
      </c>
    </row>
    <row r="37" spans="6:6" x14ac:dyDescent="0.2">
      <c r="F37" s="120"/>
    </row>
    <row r="38" spans="6:6" x14ac:dyDescent="0.2">
      <c r="F38" s="120"/>
    </row>
    <row r="39" spans="6:6" x14ac:dyDescent="0.2">
      <c r="F39" s="120"/>
    </row>
  </sheetData>
  <phoneticPr fontId="11" type="noConversion"/>
  <hyperlinks>
    <hyperlink ref="A1" location="Main!A1" display="Main" xr:uid="{00000000-0004-0000-1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4"/>
  <sheetViews>
    <sheetView zoomScale="115" workbookViewId="0"/>
  </sheetViews>
  <sheetFormatPr defaultColWidth="9.140625" defaultRowHeight="12.75" x14ac:dyDescent="0.2"/>
  <cols>
    <col min="1" max="1" width="5" style="134" bestFit="1" customWidth="1"/>
    <col min="2" max="2" width="13.28515625" style="134" customWidth="1"/>
    <col min="3" max="16384" width="9.140625" style="134"/>
  </cols>
  <sheetData>
    <row r="1" spans="1:3" x14ac:dyDescent="0.2">
      <c r="A1" s="109" t="s">
        <v>154</v>
      </c>
    </row>
    <row r="2" spans="1:3" x14ac:dyDescent="0.2">
      <c r="B2" s="134" t="s">
        <v>485</v>
      </c>
      <c r="C2" s="134" t="s">
        <v>224</v>
      </c>
    </row>
    <row r="3" spans="1:3" x14ac:dyDescent="0.2">
      <c r="B3" s="134" t="s">
        <v>486</v>
      </c>
      <c r="C3" s="134" t="s">
        <v>1424</v>
      </c>
    </row>
    <row r="4" spans="1:3" x14ac:dyDescent="0.2">
      <c r="B4" s="134" t="s">
        <v>159</v>
      </c>
      <c r="C4" s="134" t="s">
        <v>214</v>
      </c>
    </row>
    <row r="5" spans="1:3" x14ac:dyDescent="0.2">
      <c r="B5" s="134" t="s">
        <v>489</v>
      </c>
      <c r="C5" s="134" t="s">
        <v>217</v>
      </c>
    </row>
    <row r="6" spans="1:3" x14ac:dyDescent="0.2">
      <c r="B6" s="134" t="s">
        <v>493</v>
      </c>
      <c r="C6" s="134" t="s">
        <v>1173</v>
      </c>
    </row>
    <row r="7" spans="1:3" x14ac:dyDescent="0.2">
      <c r="B7" s="134" t="s">
        <v>773</v>
      </c>
    </row>
    <row r="8" spans="1:3" x14ac:dyDescent="0.2">
      <c r="C8" s="111" t="s">
        <v>887</v>
      </c>
    </row>
    <row r="9" spans="1:3" x14ac:dyDescent="0.2">
      <c r="C9" s="134" t="s">
        <v>888</v>
      </c>
    </row>
    <row r="10" spans="1:3" x14ac:dyDescent="0.2">
      <c r="C10" s="134" t="s">
        <v>891</v>
      </c>
    </row>
    <row r="12" spans="1:3" x14ac:dyDescent="0.2">
      <c r="C12" s="111" t="s">
        <v>889</v>
      </c>
    </row>
    <row r="13" spans="1:3" x14ac:dyDescent="0.2">
      <c r="C13" s="134" t="s">
        <v>890</v>
      </c>
    </row>
    <row r="14" spans="1:3" x14ac:dyDescent="0.2">
      <c r="C14" s="134" t="s">
        <v>891</v>
      </c>
    </row>
  </sheetData>
  <phoneticPr fontId="11" type="noConversion"/>
  <hyperlinks>
    <hyperlink ref="A1" location="Main!A1" display="Main" xr:uid="{00000000-0004-0000-1D00-000000000000}"/>
  </hyperlinks>
  <pageMargins left="0.75" right="0.75" top="1" bottom="1" header="0.5" footer="0.5"/>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10"/>
  <sheetViews>
    <sheetView workbookViewId="0"/>
  </sheetViews>
  <sheetFormatPr defaultColWidth="8.85546875" defaultRowHeight="12.75" x14ac:dyDescent="0.2"/>
  <cols>
    <col min="1" max="1" width="5" bestFit="1" customWidth="1"/>
    <col min="2" max="2" width="12.85546875" bestFit="1" customWidth="1"/>
  </cols>
  <sheetData>
    <row r="1" spans="1:3" x14ac:dyDescent="0.2">
      <c r="A1" s="116" t="s">
        <v>154</v>
      </c>
    </row>
    <row r="2" spans="1:3" x14ac:dyDescent="0.2">
      <c r="B2" t="s">
        <v>485</v>
      </c>
      <c r="C2" t="s">
        <v>1550</v>
      </c>
    </row>
    <row r="3" spans="1:3" x14ac:dyDescent="0.2">
      <c r="B3" t="s">
        <v>486</v>
      </c>
      <c r="C3" t="s">
        <v>836</v>
      </c>
    </row>
    <row r="4" spans="1:3" x14ac:dyDescent="0.2">
      <c r="B4" t="s">
        <v>159</v>
      </c>
      <c r="C4" t="s">
        <v>1548</v>
      </c>
    </row>
    <row r="5" spans="1:3" x14ac:dyDescent="0.2">
      <c r="B5" t="s">
        <v>768</v>
      </c>
      <c r="C5" t="s">
        <v>1549</v>
      </c>
    </row>
    <row r="6" spans="1:3" x14ac:dyDescent="0.2">
      <c r="B6" t="s">
        <v>489</v>
      </c>
      <c r="C6" t="s">
        <v>837</v>
      </c>
    </row>
    <row r="7" spans="1:3" x14ac:dyDescent="0.2">
      <c r="B7" t="s">
        <v>773</v>
      </c>
    </row>
    <row r="8" spans="1:3" x14ac:dyDescent="0.2">
      <c r="C8" s="184" t="s">
        <v>1326</v>
      </c>
    </row>
    <row r="10" spans="1:3" x14ac:dyDescent="0.2">
      <c r="C10" s="184" t="s">
        <v>1332</v>
      </c>
    </row>
  </sheetData>
  <hyperlinks>
    <hyperlink ref="A1" location="Main!A1" display="Main" xr:uid="{00000000-0004-0000-2000-00000000000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9"/>
  <sheetViews>
    <sheetView workbookViewId="0"/>
  </sheetViews>
  <sheetFormatPr defaultColWidth="8.85546875" defaultRowHeight="12.75" x14ac:dyDescent="0.2"/>
  <cols>
    <col min="1" max="1" width="5" bestFit="1" customWidth="1"/>
    <col min="2" max="2" width="12.85546875" bestFit="1" customWidth="1"/>
  </cols>
  <sheetData>
    <row r="1" spans="1:3" x14ac:dyDescent="0.2">
      <c r="A1" s="116" t="s">
        <v>154</v>
      </c>
    </row>
    <row r="2" spans="1:3" x14ac:dyDescent="0.2">
      <c r="B2" t="s">
        <v>486</v>
      </c>
      <c r="C2" t="s">
        <v>1321</v>
      </c>
    </row>
    <row r="3" spans="1:3" x14ac:dyDescent="0.2">
      <c r="B3" t="s">
        <v>489</v>
      </c>
    </row>
    <row r="4" spans="1:3" x14ac:dyDescent="0.2">
      <c r="B4" t="s">
        <v>773</v>
      </c>
    </row>
    <row r="5" spans="1:3" x14ac:dyDescent="0.2">
      <c r="C5" s="184" t="s">
        <v>1323</v>
      </c>
    </row>
    <row r="6" spans="1:3" x14ac:dyDescent="0.2">
      <c r="C6" t="s">
        <v>1322</v>
      </c>
    </row>
    <row r="8" spans="1:3" x14ac:dyDescent="0.2">
      <c r="C8" s="184" t="s">
        <v>1324</v>
      </c>
    </row>
    <row r="9" spans="1:3" x14ac:dyDescent="0.2">
      <c r="C9" t="s">
        <v>1325</v>
      </c>
    </row>
  </sheetData>
  <hyperlinks>
    <hyperlink ref="A1" location="Main!A1" display="Main" xr:uid="{00000000-0004-0000-2100-000000000000}"/>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47"/>
  <sheetViews>
    <sheetView workbookViewId="0"/>
  </sheetViews>
  <sheetFormatPr defaultColWidth="9.140625" defaultRowHeight="12.75" x14ac:dyDescent="0.2"/>
  <cols>
    <col min="1" max="1" width="5" bestFit="1" customWidth="1"/>
  </cols>
  <sheetData>
    <row r="1" spans="1:2" x14ac:dyDescent="0.2">
      <c r="A1" s="172" t="s">
        <v>154</v>
      </c>
    </row>
    <row r="2" spans="1:2" x14ac:dyDescent="0.2">
      <c r="A2" s="172"/>
      <c r="B2" t="s">
        <v>1451</v>
      </c>
    </row>
    <row r="3" spans="1:2" x14ac:dyDescent="0.2">
      <c r="A3" s="172"/>
    </row>
    <row r="4" spans="1:2" x14ac:dyDescent="0.2">
      <c r="B4" s="1" t="s">
        <v>1462</v>
      </c>
    </row>
    <row r="5" spans="1:2" x14ac:dyDescent="0.2">
      <c r="B5" s="1" t="s">
        <v>1190</v>
      </c>
    </row>
    <row r="6" spans="1:2" x14ac:dyDescent="0.2">
      <c r="B6" t="s">
        <v>1222</v>
      </c>
    </row>
    <row r="7" spans="1:2" x14ac:dyDescent="0.2">
      <c r="B7" t="s">
        <v>1201</v>
      </c>
    </row>
    <row r="8" spans="1:2" x14ac:dyDescent="0.2">
      <c r="B8" t="s">
        <v>1210</v>
      </c>
    </row>
    <row r="9" spans="1:2" x14ac:dyDescent="0.2">
      <c r="B9" t="s">
        <v>1211</v>
      </c>
    </row>
    <row r="10" spans="1:2" x14ac:dyDescent="0.2">
      <c r="B10" t="s">
        <v>1192</v>
      </c>
    </row>
    <row r="11" spans="1:2" x14ac:dyDescent="0.2">
      <c r="B11" t="s">
        <v>1193</v>
      </c>
    </row>
    <row r="12" spans="1:2" x14ac:dyDescent="0.2">
      <c r="B12" t="s">
        <v>1199</v>
      </c>
    </row>
    <row r="13" spans="1:2" x14ac:dyDescent="0.2">
      <c r="B13" t="s">
        <v>1202</v>
      </c>
    </row>
    <row r="14" spans="1:2" x14ac:dyDescent="0.2">
      <c r="B14" t="s">
        <v>1200</v>
      </c>
    </row>
    <row r="15" spans="1:2" x14ac:dyDescent="0.2">
      <c r="B15" t="s">
        <v>1003</v>
      </c>
    </row>
    <row r="16" spans="1:2" x14ac:dyDescent="0.2">
      <c r="B16" t="s">
        <v>1198</v>
      </c>
    </row>
    <row r="17" spans="2:2" x14ac:dyDescent="0.2">
      <c r="B17" t="s">
        <v>1203</v>
      </c>
    </row>
    <row r="18" spans="2:2" x14ac:dyDescent="0.2">
      <c r="B18" t="s">
        <v>1217</v>
      </c>
    </row>
    <row r="19" spans="2:2" x14ac:dyDescent="0.2">
      <c r="B19" t="s">
        <v>1001</v>
      </c>
    </row>
    <row r="20" spans="2:2" x14ac:dyDescent="0.2">
      <c r="B20" t="s">
        <v>1205</v>
      </c>
    </row>
    <row r="21" spans="2:2" x14ac:dyDescent="0.2">
      <c r="B21" t="s">
        <v>1218</v>
      </c>
    </row>
    <row r="22" spans="2:2" x14ac:dyDescent="0.2">
      <c r="B22" t="s">
        <v>1002</v>
      </c>
    </row>
    <row r="23" spans="2:2" x14ac:dyDescent="0.2">
      <c r="B23" t="s">
        <v>1206</v>
      </c>
    </row>
    <row r="24" spans="2:2" x14ac:dyDescent="0.2">
      <c r="B24" t="s">
        <v>1207</v>
      </c>
    </row>
    <row r="25" spans="2:2" x14ac:dyDescent="0.2">
      <c r="B25" t="s">
        <v>1208</v>
      </c>
    </row>
    <row r="26" spans="2:2" x14ac:dyDescent="0.2">
      <c r="B26" t="s">
        <v>1209</v>
      </c>
    </row>
    <row r="27" spans="2:2" x14ac:dyDescent="0.2">
      <c r="B27" t="s">
        <v>1219</v>
      </c>
    </row>
    <row r="28" spans="2:2" x14ac:dyDescent="0.2">
      <c r="B28" t="s">
        <v>1220</v>
      </c>
    </row>
    <row r="29" spans="2:2" x14ac:dyDescent="0.2">
      <c r="B29" t="s">
        <v>1459</v>
      </c>
    </row>
    <row r="30" spans="2:2" x14ac:dyDescent="0.2">
      <c r="B30" t="s">
        <v>1460</v>
      </c>
    </row>
    <row r="31" spans="2:2" x14ac:dyDescent="0.2">
      <c r="B31" t="s">
        <v>1461</v>
      </c>
    </row>
    <row r="32" spans="2:2" x14ac:dyDescent="0.2">
      <c r="B32" t="s">
        <v>1204</v>
      </c>
    </row>
    <row r="33" spans="2:10" x14ac:dyDescent="0.2">
      <c r="B33" s="56" t="s">
        <v>1450</v>
      </c>
      <c r="J33" s="3"/>
    </row>
    <row r="35" spans="2:10" x14ac:dyDescent="0.2">
      <c r="B35" t="s">
        <v>144</v>
      </c>
    </row>
    <row r="37" spans="2:10" x14ac:dyDescent="0.2">
      <c r="B37" t="s">
        <v>145</v>
      </c>
    </row>
    <row r="38" spans="2:10" x14ac:dyDescent="0.2">
      <c r="B38" t="s">
        <v>146</v>
      </c>
    </row>
    <row r="39" spans="2:10" x14ac:dyDescent="0.2">
      <c r="B39" t="s">
        <v>147</v>
      </c>
    </row>
    <row r="40" spans="2:10" x14ac:dyDescent="0.2">
      <c r="B40" t="s">
        <v>148</v>
      </c>
    </row>
    <row r="44" spans="2:10" x14ac:dyDescent="0.2">
      <c r="B44" s="184" t="s">
        <v>247</v>
      </c>
    </row>
    <row r="45" spans="2:10" x14ac:dyDescent="0.2">
      <c r="B45" t="s">
        <v>1216</v>
      </c>
    </row>
    <row r="46" spans="2:10" x14ac:dyDescent="0.2">
      <c r="B46" t="s">
        <v>1215</v>
      </c>
    </row>
    <row r="47" spans="2:10" x14ac:dyDescent="0.2">
      <c r="B47" t="s">
        <v>1458</v>
      </c>
    </row>
  </sheetData>
  <phoneticPr fontId="11" type="noConversion"/>
  <hyperlinks>
    <hyperlink ref="A1" location="Main!A1" display="Main" xr:uid="{00000000-0004-0000-2300-000000000000}"/>
  </hyperlinks>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8"/>
  <sheetViews>
    <sheetView workbookViewId="0"/>
  </sheetViews>
  <sheetFormatPr defaultColWidth="8.85546875" defaultRowHeight="12.75" x14ac:dyDescent="0.2"/>
  <cols>
    <col min="1" max="1" width="5" bestFit="1" customWidth="1"/>
    <col min="2" max="2" width="12.85546875" bestFit="1" customWidth="1"/>
  </cols>
  <sheetData>
    <row r="1" spans="1:3" x14ac:dyDescent="0.2">
      <c r="A1" s="116" t="s">
        <v>154</v>
      </c>
    </row>
    <row r="2" spans="1:3" x14ac:dyDescent="0.2">
      <c r="B2" t="s">
        <v>485</v>
      </c>
      <c r="C2" t="s">
        <v>1491</v>
      </c>
    </row>
    <row r="3" spans="1:3" x14ac:dyDescent="0.2">
      <c r="B3" t="s">
        <v>486</v>
      </c>
      <c r="C3" t="s">
        <v>730</v>
      </c>
    </row>
    <row r="4" spans="1:3" x14ac:dyDescent="0.2">
      <c r="B4" t="s">
        <v>489</v>
      </c>
      <c r="C4" t="s">
        <v>1420</v>
      </c>
    </row>
    <row r="5" spans="1:3" x14ac:dyDescent="0.2">
      <c r="B5" t="s">
        <v>768</v>
      </c>
      <c r="C5" t="s">
        <v>1421</v>
      </c>
    </row>
    <row r="6" spans="1:3" x14ac:dyDescent="0.2">
      <c r="B6" t="s">
        <v>773</v>
      </c>
    </row>
    <row r="7" spans="1:3" x14ac:dyDescent="0.2">
      <c r="C7" s="184" t="s">
        <v>1422</v>
      </c>
    </row>
    <row r="8" spans="1:3" x14ac:dyDescent="0.2">
      <c r="C8" t="s">
        <v>1423</v>
      </c>
    </row>
  </sheetData>
  <hyperlinks>
    <hyperlink ref="A1" location="Main!A1" display="Main" xr:uid="{00000000-0004-0000-1200-000000000000}"/>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BJ84"/>
  <sheetViews>
    <sheetView zoomScaleNormal="130" workbookViewId="0">
      <pane xSplit="2" ySplit="2" topLeftCell="AE3" activePane="bottomRight" state="frozen"/>
      <selection pane="topRight" activeCell="C1" sqref="C1"/>
      <selection pane="bottomLeft" activeCell="A3" sqref="A3"/>
      <selection pane="bottomRight" activeCell="AW45" sqref="AW45"/>
    </sheetView>
  </sheetViews>
  <sheetFormatPr defaultColWidth="9.140625" defaultRowHeight="12.75" x14ac:dyDescent="0.2"/>
  <cols>
    <col min="1" max="1" width="5" style="48" customWidth="1"/>
    <col min="2" max="2" width="23.140625" style="48" customWidth="1"/>
    <col min="3" max="30" width="6" style="16" customWidth="1"/>
    <col min="31" max="38" width="5.85546875" style="16" customWidth="1"/>
    <col min="39" max="50" width="6.85546875" style="16" customWidth="1"/>
    <col min="51" max="51" width="2.85546875" style="16" customWidth="1"/>
    <col min="52" max="62" width="7.85546875" style="16" customWidth="1"/>
    <col min="63" max="73" width="8.42578125" style="48" customWidth="1"/>
    <col min="74" max="16384" width="9.140625" style="48"/>
  </cols>
  <sheetData>
    <row r="1" spans="1:62" x14ac:dyDescent="0.2">
      <c r="A1" s="5" t="s">
        <v>154</v>
      </c>
      <c r="C1" s="185"/>
      <c r="D1" s="185"/>
      <c r="E1" s="185"/>
      <c r="F1" s="185"/>
      <c r="G1" s="185"/>
      <c r="H1" s="185"/>
      <c r="I1" s="185"/>
      <c r="J1" s="185"/>
      <c r="K1" s="185"/>
      <c r="L1" s="186"/>
      <c r="N1" s="187"/>
      <c r="Q1" s="185"/>
      <c r="R1" s="185"/>
      <c r="S1" s="185"/>
      <c r="T1" s="186"/>
      <c r="U1" s="186"/>
      <c r="V1" s="185"/>
      <c r="AZ1" s="185"/>
      <c r="BA1" s="185"/>
    </row>
    <row r="2" spans="1:62" x14ac:dyDescent="0.2">
      <c r="B2" s="50"/>
      <c r="C2" s="174" t="s">
        <v>273</v>
      </c>
      <c r="D2" s="174" t="s">
        <v>274</v>
      </c>
      <c r="E2" s="174" t="s">
        <v>275</v>
      </c>
      <c r="F2" s="174" t="s">
        <v>276</v>
      </c>
      <c r="G2" s="174" t="s">
        <v>277</v>
      </c>
      <c r="H2" s="174" t="s">
        <v>278</v>
      </c>
      <c r="I2" s="174" t="s">
        <v>279</v>
      </c>
      <c r="J2" s="174" t="s">
        <v>280</v>
      </c>
      <c r="K2" s="174" t="s">
        <v>281</v>
      </c>
      <c r="L2" s="174" t="s">
        <v>282</v>
      </c>
      <c r="M2" s="174" t="s">
        <v>283</v>
      </c>
      <c r="N2" s="174" t="s">
        <v>284</v>
      </c>
      <c r="O2" s="174" t="s">
        <v>285</v>
      </c>
      <c r="P2" s="174" t="s">
        <v>286</v>
      </c>
      <c r="Q2" s="174" t="s">
        <v>287</v>
      </c>
      <c r="R2" s="174" t="s">
        <v>288</v>
      </c>
      <c r="S2" s="174" t="s">
        <v>289</v>
      </c>
      <c r="T2" s="174" t="s">
        <v>290</v>
      </c>
      <c r="U2" s="174" t="s">
        <v>291</v>
      </c>
      <c r="V2" s="174" t="s">
        <v>292</v>
      </c>
      <c r="W2" s="174" t="s">
        <v>293</v>
      </c>
      <c r="X2" s="174" t="s">
        <v>294</v>
      </c>
      <c r="Y2" s="174" t="s">
        <v>295</v>
      </c>
      <c r="Z2" s="174" t="s">
        <v>296</v>
      </c>
      <c r="AA2" s="174" t="s">
        <v>297</v>
      </c>
      <c r="AB2" s="174" t="s">
        <v>298</v>
      </c>
      <c r="AC2" s="174" t="s">
        <v>299</v>
      </c>
      <c r="AD2" s="174" t="s">
        <v>300</v>
      </c>
      <c r="AE2" s="174" t="s">
        <v>301</v>
      </c>
      <c r="AF2" s="174" t="s">
        <v>302</v>
      </c>
      <c r="AG2" s="174" t="s">
        <v>303</v>
      </c>
      <c r="AH2" s="174" t="s">
        <v>304</v>
      </c>
      <c r="AI2" s="174" t="s">
        <v>305</v>
      </c>
      <c r="AJ2" s="174" t="s">
        <v>306</v>
      </c>
      <c r="AK2" s="174" t="s">
        <v>307</v>
      </c>
      <c r="AL2" s="174" t="s">
        <v>308</v>
      </c>
      <c r="AM2" s="174" t="s">
        <v>261</v>
      </c>
      <c r="AN2" s="174" t="s">
        <v>309</v>
      </c>
      <c r="AO2" s="174" t="s">
        <v>310</v>
      </c>
      <c r="AP2" s="174" t="s">
        <v>311</v>
      </c>
      <c r="AQ2" s="174" t="s">
        <v>312</v>
      </c>
      <c r="AR2" s="174" t="s">
        <v>313</v>
      </c>
      <c r="AS2" s="174" t="s">
        <v>314</v>
      </c>
      <c r="AT2" s="174" t="s">
        <v>315</v>
      </c>
      <c r="AU2" s="174" t="s">
        <v>1297</v>
      </c>
      <c r="AV2" s="174" t="s">
        <v>1298</v>
      </c>
      <c r="AW2" s="174" t="s">
        <v>1299</v>
      </c>
      <c r="AX2" s="174" t="s">
        <v>1300</v>
      </c>
      <c r="AY2" s="174"/>
      <c r="AZ2" s="186">
        <v>1999</v>
      </c>
      <c r="BA2" s="186">
        <v>2000</v>
      </c>
      <c r="BB2" s="186">
        <v>2001</v>
      </c>
      <c r="BC2" s="186">
        <v>2002</v>
      </c>
      <c r="BD2" s="186">
        <v>2003</v>
      </c>
      <c r="BE2" s="186">
        <v>2004</v>
      </c>
      <c r="BF2" s="186">
        <v>2005</v>
      </c>
      <c r="BG2" s="186">
        <v>2006</v>
      </c>
      <c r="BH2" s="186">
        <v>2007</v>
      </c>
      <c r="BI2" s="186">
        <v>2008</v>
      </c>
      <c r="BJ2" s="186" t="s">
        <v>511</v>
      </c>
    </row>
    <row r="3" spans="1:62" s="50" customFormat="1" x14ac:dyDescent="0.2">
      <c r="B3" s="51" t="s">
        <v>143</v>
      </c>
      <c r="C3" s="175">
        <f>G3/1.06</f>
        <v>433.96226415094338</v>
      </c>
      <c r="D3" s="175">
        <f>H3</f>
        <v>385</v>
      </c>
      <c r="E3" s="175">
        <f>I3/1.11</f>
        <v>416.2162162162162</v>
      </c>
      <c r="F3" s="175">
        <f>J3</f>
        <v>497</v>
      </c>
      <c r="G3" s="175">
        <v>460</v>
      </c>
      <c r="H3" s="175">
        <v>385</v>
      </c>
      <c r="I3" s="175">
        <v>462</v>
      </c>
      <c r="J3" s="175">
        <v>497</v>
      </c>
      <c r="K3" s="175">
        <f t="shared" ref="K3:AH3" si="0">SUM(K4:K5)</f>
        <v>453</v>
      </c>
      <c r="L3" s="175">
        <f t="shared" si="0"/>
        <v>373</v>
      </c>
      <c r="M3" s="175">
        <f t="shared" si="0"/>
        <v>445</v>
      </c>
      <c r="N3" s="175">
        <f t="shared" si="0"/>
        <v>471</v>
      </c>
      <c r="O3" s="175">
        <f t="shared" si="0"/>
        <v>438.5</v>
      </c>
      <c r="P3" s="175">
        <f t="shared" si="0"/>
        <v>424.4</v>
      </c>
      <c r="Q3" s="175">
        <f t="shared" si="0"/>
        <v>451</v>
      </c>
      <c r="R3" s="175">
        <f t="shared" si="0"/>
        <v>489</v>
      </c>
      <c r="S3" s="175">
        <f t="shared" si="0"/>
        <v>486.5</v>
      </c>
      <c r="T3" s="175">
        <f t="shared" si="0"/>
        <v>447.8</v>
      </c>
      <c r="U3" s="175">
        <f t="shared" si="0"/>
        <v>498.3</v>
      </c>
      <c r="V3" s="175">
        <f t="shared" si="0"/>
        <v>610.6</v>
      </c>
      <c r="W3" s="175">
        <f t="shared" si="0"/>
        <v>563</v>
      </c>
      <c r="X3" s="175">
        <f t="shared" si="0"/>
        <v>532.4</v>
      </c>
      <c r="Y3" s="175">
        <f t="shared" si="0"/>
        <v>566.1</v>
      </c>
      <c r="Z3" s="175">
        <f t="shared" si="0"/>
        <v>732.5</v>
      </c>
      <c r="AA3" s="175">
        <f t="shared" si="0"/>
        <v>685</v>
      </c>
      <c r="AB3" s="175">
        <f t="shared" si="0"/>
        <v>628</v>
      </c>
      <c r="AC3" s="175">
        <f t="shared" si="0"/>
        <v>633.79999999999995</v>
      </c>
      <c r="AD3" s="175">
        <f t="shared" si="0"/>
        <v>731</v>
      </c>
      <c r="AE3" s="175">
        <f t="shared" si="0"/>
        <v>653</v>
      </c>
      <c r="AF3" s="175">
        <f t="shared" si="0"/>
        <v>674</v>
      </c>
      <c r="AG3" s="175">
        <f t="shared" si="0"/>
        <v>699</v>
      </c>
      <c r="AH3" s="175">
        <f t="shared" si="0"/>
        <v>757</v>
      </c>
      <c r="AI3" s="175">
        <f t="shared" ref="AI3:AX3" si="1">AI4+AI5</f>
        <v>1257</v>
      </c>
      <c r="AJ3" s="175">
        <f t="shared" si="1"/>
        <v>1206</v>
      </c>
      <c r="AK3" s="175">
        <f t="shared" si="1"/>
        <v>1264</v>
      </c>
      <c r="AL3" s="175">
        <f t="shared" si="1"/>
        <v>1415</v>
      </c>
      <c r="AM3" s="175">
        <f t="shared" si="1"/>
        <v>1594</v>
      </c>
      <c r="AN3" s="175">
        <f t="shared" si="1"/>
        <v>1405</v>
      </c>
      <c r="AO3" s="175">
        <f t="shared" si="1"/>
        <v>1439</v>
      </c>
      <c r="AP3" s="175">
        <f t="shared" si="1"/>
        <v>1456</v>
      </c>
      <c r="AQ3" s="175">
        <f t="shared" si="1"/>
        <v>1348</v>
      </c>
      <c r="AR3" s="175">
        <f t="shared" si="1"/>
        <v>1310</v>
      </c>
      <c r="AS3" s="175">
        <f t="shared" si="1"/>
        <v>1398</v>
      </c>
      <c r="AT3" s="175">
        <f t="shared" si="1"/>
        <v>1498</v>
      </c>
      <c r="AU3" s="175">
        <f t="shared" si="1"/>
        <v>1207</v>
      </c>
      <c r="AV3" s="175">
        <f t="shared" si="1"/>
        <v>0</v>
      </c>
      <c r="AW3" s="175">
        <f t="shared" si="1"/>
        <v>1109</v>
      </c>
      <c r="AX3" s="175">
        <f t="shared" si="1"/>
        <v>0</v>
      </c>
      <c r="AY3" s="188"/>
      <c r="AZ3" s="175">
        <f>AZ4+AZ5</f>
        <v>1738.3553116594621</v>
      </c>
      <c r="BA3" s="175">
        <f>BA4+BA5</f>
        <v>1804</v>
      </c>
      <c r="BB3" s="175">
        <f t="shared" ref="BB3:BG3" si="2">BB4+BB5</f>
        <v>1742</v>
      </c>
      <c r="BC3" s="175">
        <f t="shared" si="2"/>
        <v>1802.9</v>
      </c>
      <c r="BD3" s="175">
        <f t="shared" si="2"/>
        <v>2043.1999999999998</v>
      </c>
      <c r="BE3" s="175">
        <f t="shared" si="2"/>
        <v>2394</v>
      </c>
      <c r="BF3" s="175">
        <f t="shared" si="2"/>
        <v>2677.8</v>
      </c>
      <c r="BG3" s="175">
        <f t="shared" si="2"/>
        <v>2783</v>
      </c>
      <c r="BH3" s="175">
        <f>SUM(BH4:BH5)</f>
        <v>5142</v>
      </c>
      <c r="BI3" s="175">
        <f>SUM(BI4:BI5)</f>
        <v>5894</v>
      </c>
      <c r="BJ3" s="175">
        <f>SUM(BJ4:BJ5)</f>
        <v>5554</v>
      </c>
    </row>
    <row r="4" spans="1:62" x14ac:dyDescent="0.2">
      <c r="B4" s="52" t="s">
        <v>583</v>
      </c>
      <c r="C4" s="176">
        <f>G4/1.01</f>
        <v>382.1782178217822</v>
      </c>
      <c r="D4" s="176">
        <f>H4*1.02</f>
        <v>325.38</v>
      </c>
      <c r="E4" s="176">
        <f>I4/1.07</f>
        <v>366.35514018691589</v>
      </c>
      <c r="F4" s="176">
        <f>J4*1.01</f>
        <v>426.22</v>
      </c>
      <c r="G4" s="176">
        <v>386</v>
      </c>
      <c r="H4" s="176">
        <v>319</v>
      </c>
      <c r="I4" s="176">
        <v>392</v>
      </c>
      <c r="J4" s="176">
        <v>422</v>
      </c>
      <c r="K4" s="176">
        <v>371</v>
      </c>
      <c r="L4" s="176">
        <v>303</v>
      </c>
      <c r="M4" s="176">
        <v>376</v>
      </c>
      <c r="N4" s="176">
        <v>398</v>
      </c>
      <c r="O4" s="176">
        <v>367.5</v>
      </c>
      <c r="P4" s="176">
        <v>359.4</v>
      </c>
      <c r="Q4" s="176">
        <v>387</v>
      </c>
      <c r="R4" s="176">
        <v>422.5</v>
      </c>
      <c r="S4" s="176">
        <v>417</v>
      </c>
      <c r="T4" s="176">
        <v>377</v>
      </c>
      <c r="U4" s="176">
        <v>426.8</v>
      </c>
      <c r="V4" s="176">
        <v>530</v>
      </c>
      <c r="W4" s="176">
        <v>473</v>
      </c>
      <c r="X4" s="176">
        <v>398</v>
      </c>
      <c r="Y4" s="176">
        <v>433.5</v>
      </c>
      <c r="Z4" s="176">
        <v>559</v>
      </c>
      <c r="AA4" s="176">
        <v>477</v>
      </c>
      <c r="AB4" s="176">
        <v>427</v>
      </c>
      <c r="AC4" s="176">
        <v>449</v>
      </c>
      <c r="AD4" s="176">
        <v>531</v>
      </c>
      <c r="AE4" s="176">
        <v>420</v>
      </c>
      <c r="AF4" s="176">
        <v>450</v>
      </c>
      <c r="AG4" s="176">
        <v>481</v>
      </c>
      <c r="AH4" s="176">
        <v>530</v>
      </c>
      <c r="AI4" s="176">
        <v>655</v>
      </c>
      <c r="AJ4" s="176">
        <v>584</v>
      </c>
      <c r="AK4" s="176">
        <v>653</v>
      </c>
      <c r="AL4" s="176">
        <v>728</v>
      </c>
      <c r="AM4" s="176">
        <v>842</v>
      </c>
      <c r="AN4" s="176">
        <v>679</v>
      </c>
      <c r="AO4" s="176">
        <v>778</v>
      </c>
      <c r="AP4" s="176">
        <v>762</v>
      </c>
      <c r="AQ4" s="176">
        <v>726</v>
      </c>
      <c r="AR4" s="176">
        <v>679</v>
      </c>
      <c r="AS4" s="176">
        <v>732</v>
      </c>
      <c r="AT4" s="176">
        <f>AS4+50</f>
        <v>782</v>
      </c>
      <c r="AU4" s="176">
        <v>542</v>
      </c>
      <c r="AV4" s="176"/>
      <c r="AW4" s="176">
        <v>438</v>
      </c>
      <c r="AX4" s="176"/>
      <c r="AY4" s="189"/>
      <c r="AZ4" s="190">
        <f>SUM(C4:F4)</f>
        <v>1500.133358008698</v>
      </c>
      <c r="BA4" s="190">
        <f>SUM(G4:J4)</f>
        <v>1519</v>
      </c>
      <c r="BB4" s="176">
        <f>K4+L4+M4+N4</f>
        <v>1448</v>
      </c>
      <c r="BC4" s="176">
        <f>O4+P4+Q4+R4</f>
        <v>1536.4</v>
      </c>
      <c r="BD4" s="176">
        <f>S4+T4+U4+V4</f>
        <v>1750.8</v>
      </c>
      <c r="BE4" s="176">
        <f>W4+X4+Y4+Z4</f>
        <v>1863.5</v>
      </c>
      <c r="BF4" s="176">
        <f>AA4+AB4+AC4+AD4</f>
        <v>1884</v>
      </c>
      <c r="BG4" s="176">
        <f>AE4+AF4+AG4+AH4</f>
        <v>1881</v>
      </c>
      <c r="BH4" s="176">
        <f>SUM(AI4:AL4)</f>
        <v>2620</v>
      </c>
      <c r="BI4" s="176">
        <f>SUM(AM4:AP4)</f>
        <v>3061</v>
      </c>
      <c r="BJ4" s="176">
        <f>SUM(AQ4:AT4)</f>
        <v>2919</v>
      </c>
    </row>
    <row r="5" spans="1:62" x14ac:dyDescent="0.2">
      <c r="B5" s="52" t="s">
        <v>581</v>
      </c>
      <c r="C5" s="176">
        <f>G5/1.42</f>
        <v>52.112676056338032</v>
      </c>
      <c r="D5" s="176">
        <f>H5/1.1</f>
        <v>59.999999999999993</v>
      </c>
      <c r="E5" s="176">
        <f>I5/1.35</f>
        <v>51.851851851851848</v>
      </c>
      <c r="F5" s="176">
        <f>J5/1.01</f>
        <v>74.257425742574256</v>
      </c>
      <c r="G5" s="176">
        <v>74</v>
      </c>
      <c r="H5" s="176">
        <v>66</v>
      </c>
      <c r="I5" s="176">
        <v>70</v>
      </c>
      <c r="J5" s="176">
        <v>75</v>
      </c>
      <c r="K5" s="176">
        <v>82</v>
      </c>
      <c r="L5" s="176">
        <v>70</v>
      </c>
      <c r="M5" s="176">
        <v>69</v>
      </c>
      <c r="N5" s="176">
        <v>73</v>
      </c>
      <c r="O5" s="176">
        <v>71</v>
      </c>
      <c r="P5" s="176">
        <v>65</v>
      </c>
      <c r="Q5" s="176">
        <v>64</v>
      </c>
      <c r="R5" s="176">
        <v>66.5</v>
      </c>
      <c r="S5" s="176">
        <v>69.5</v>
      </c>
      <c r="T5" s="176">
        <v>70.8</v>
      </c>
      <c r="U5" s="176">
        <v>71.5</v>
      </c>
      <c r="V5" s="176">
        <v>80.599999999999994</v>
      </c>
      <c r="W5" s="176">
        <v>90</v>
      </c>
      <c r="X5" s="176">
        <v>134.4</v>
      </c>
      <c r="Y5" s="176">
        <v>132.6</v>
      </c>
      <c r="Z5" s="176">
        <v>173.5</v>
      </c>
      <c r="AA5" s="176">
        <v>208</v>
      </c>
      <c r="AB5" s="176">
        <v>201</v>
      </c>
      <c r="AC5" s="176">
        <v>184.8</v>
      </c>
      <c r="AD5" s="176">
        <v>200</v>
      </c>
      <c r="AE5" s="176">
        <v>233</v>
      </c>
      <c r="AF5" s="176">
        <v>224</v>
      </c>
      <c r="AG5" s="176">
        <v>218</v>
      </c>
      <c r="AH5" s="176">
        <v>227</v>
      </c>
      <c r="AI5" s="176">
        <v>602</v>
      </c>
      <c r="AJ5" s="176">
        <v>622</v>
      </c>
      <c r="AK5" s="176">
        <v>611</v>
      </c>
      <c r="AL5" s="176">
        <v>687</v>
      </c>
      <c r="AM5" s="176">
        <v>752</v>
      </c>
      <c r="AN5" s="176">
        <v>726</v>
      </c>
      <c r="AO5" s="176">
        <v>661</v>
      </c>
      <c r="AP5" s="176">
        <v>694</v>
      </c>
      <c r="AQ5" s="176">
        <v>622</v>
      </c>
      <c r="AR5" s="176">
        <v>631</v>
      </c>
      <c r="AS5" s="176">
        <v>666</v>
      </c>
      <c r="AT5" s="176">
        <f>AS5+50</f>
        <v>716</v>
      </c>
      <c r="AU5" s="176">
        <v>665</v>
      </c>
      <c r="AV5" s="176"/>
      <c r="AW5" s="176">
        <v>671</v>
      </c>
      <c r="AX5" s="176"/>
      <c r="AY5" s="176"/>
      <c r="AZ5" s="190">
        <f>SUM(C5:F5)</f>
        <v>238.22195365076414</v>
      </c>
      <c r="BA5" s="190">
        <f>SUM(G5:J5)</f>
        <v>285</v>
      </c>
      <c r="BB5" s="176">
        <f>K5+L5+M5+N5</f>
        <v>294</v>
      </c>
      <c r="BC5" s="176">
        <f>O5+P5+Q5+R5</f>
        <v>266.5</v>
      </c>
      <c r="BD5" s="176">
        <f>S5+T5+U5+V5</f>
        <v>292.39999999999998</v>
      </c>
      <c r="BE5" s="176">
        <f>W5+X5+Y5+Z5</f>
        <v>530.5</v>
      </c>
      <c r="BF5" s="176">
        <f>AA5+AB5+AC5+AD5</f>
        <v>793.8</v>
      </c>
      <c r="BG5" s="176">
        <f>AE5+AF5+AG5+AH5</f>
        <v>902</v>
      </c>
      <c r="BH5" s="176">
        <f>SUM(AI5:AL5)</f>
        <v>2522</v>
      </c>
      <c r="BI5" s="176">
        <f>SUM(AM5:AP5)</f>
        <v>2833</v>
      </c>
      <c r="BJ5" s="176">
        <f>SUM(AQ5:AT5)</f>
        <v>2635</v>
      </c>
    </row>
    <row r="6" spans="1:62" s="50" customFormat="1" x14ac:dyDescent="0.2">
      <c r="B6" s="51" t="s">
        <v>998</v>
      </c>
      <c r="C6" s="175">
        <f>C7+C8</f>
        <v>363.37695230054874</v>
      </c>
      <c r="D6" s="175">
        <f>H6/1.08</f>
        <v>368.51851851851848</v>
      </c>
      <c r="E6" s="175">
        <f>I6/1.04</f>
        <v>345.19230769230768</v>
      </c>
      <c r="F6" s="175">
        <f>J6/1.06</f>
        <v>335.84905660377359</v>
      </c>
      <c r="G6" s="175">
        <v>394</v>
      </c>
      <c r="H6" s="175">
        <v>398</v>
      </c>
      <c r="I6" s="175">
        <v>359</v>
      </c>
      <c r="J6" s="175">
        <v>356</v>
      </c>
      <c r="K6" s="175">
        <f t="shared" ref="K6:AK6" si="3">SUM(K7:K8)</f>
        <v>370</v>
      </c>
      <c r="L6" s="175">
        <f t="shared" si="3"/>
        <v>361</v>
      </c>
      <c r="M6" s="175">
        <f t="shared" si="3"/>
        <v>338.8</v>
      </c>
      <c r="N6" s="175">
        <f t="shared" si="3"/>
        <v>323.79999999999995</v>
      </c>
      <c r="O6" s="175">
        <f t="shared" si="3"/>
        <v>399</v>
      </c>
      <c r="P6" s="175">
        <f t="shared" si="3"/>
        <v>400</v>
      </c>
      <c r="Q6" s="175">
        <f t="shared" si="3"/>
        <v>391.4</v>
      </c>
      <c r="R6" s="175">
        <f t="shared" si="3"/>
        <v>382.5</v>
      </c>
      <c r="S6" s="175">
        <f t="shared" si="3"/>
        <v>465</v>
      </c>
      <c r="T6" s="175">
        <f t="shared" si="3"/>
        <v>448</v>
      </c>
      <c r="U6" s="175">
        <f t="shared" si="3"/>
        <v>421</v>
      </c>
      <c r="V6" s="175">
        <f t="shared" si="3"/>
        <v>462.5</v>
      </c>
      <c r="W6" s="175">
        <f t="shared" si="3"/>
        <v>562.29999999999995</v>
      </c>
      <c r="X6" s="175">
        <f t="shared" si="3"/>
        <v>509</v>
      </c>
      <c r="Y6" s="175">
        <f t="shared" si="3"/>
        <v>509</v>
      </c>
      <c r="Z6" s="175">
        <f t="shared" si="3"/>
        <v>560</v>
      </c>
      <c r="AA6" s="175">
        <f t="shared" si="3"/>
        <v>620</v>
      </c>
      <c r="AB6" s="175">
        <f t="shared" si="3"/>
        <v>602</v>
      </c>
      <c r="AC6" s="175">
        <f t="shared" si="3"/>
        <v>582</v>
      </c>
      <c r="AD6" s="175">
        <f t="shared" si="3"/>
        <v>596</v>
      </c>
      <c r="AE6" s="175">
        <f t="shared" si="3"/>
        <v>659</v>
      </c>
      <c r="AF6" s="175">
        <f t="shared" si="3"/>
        <v>666</v>
      </c>
      <c r="AG6" s="175">
        <f t="shared" si="3"/>
        <v>635</v>
      </c>
      <c r="AH6" s="175">
        <f t="shared" si="3"/>
        <v>685</v>
      </c>
      <c r="AI6" s="175">
        <f t="shared" si="3"/>
        <v>764</v>
      </c>
      <c r="AJ6" s="175">
        <f t="shared" si="3"/>
        <v>757</v>
      </c>
      <c r="AK6" s="175">
        <f t="shared" si="3"/>
        <v>737</v>
      </c>
      <c r="AL6" s="175">
        <f t="shared" ref="AL6:AQ6" si="4">AL7+AL8</f>
        <v>793</v>
      </c>
      <c r="AM6" s="175">
        <f t="shared" si="4"/>
        <v>840</v>
      </c>
      <c r="AN6" s="175">
        <f t="shared" si="4"/>
        <v>839</v>
      </c>
      <c r="AO6" s="175">
        <f t="shared" si="4"/>
        <v>858</v>
      </c>
      <c r="AP6" s="175">
        <f t="shared" si="4"/>
        <v>844</v>
      </c>
      <c r="AQ6" s="175">
        <f t="shared" si="4"/>
        <v>842</v>
      </c>
      <c r="AR6" s="175">
        <f t="shared" ref="AR6:AX6" si="5">AR7+AR8</f>
        <v>833</v>
      </c>
      <c r="AS6" s="175">
        <f t="shared" si="5"/>
        <v>842</v>
      </c>
      <c r="AT6" s="175">
        <f t="shared" si="5"/>
        <v>842</v>
      </c>
      <c r="AU6" s="175">
        <f t="shared" si="5"/>
        <v>920</v>
      </c>
      <c r="AV6" s="175">
        <f t="shared" si="5"/>
        <v>0</v>
      </c>
      <c r="AW6" s="175">
        <f t="shared" si="5"/>
        <v>800</v>
      </c>
      <c r="AX6" s="175">
        <f t="shared" si="5"/>
        <v>0</v>
      </c>
      <c r="AY6" s="188"/>
      <c r="AZ6" s="175">
        <f>AZ7+AZ8</f>
        <v>1418.1514175473876</v>
      </c>
      <c r="BA6" s="175">
        <f>BA7+BA8</f>
        <v>1507</v>
      </c>
      <c r="BB6" s="175">
        <f t="shared" ref="BB6:BG6" si="6">BB7+BB8</f>
        <v>1393.6</v>
      </c>
      <c r="BC6" s="175">
        <f>BC7+BC8</f>
        <v>1572.9</v>
      </c>
      <c r="BD6" s="175">
        <f>BD7+BD8</f>
        <v>1796.5</v>
      </c>
      <c r="BE6" s="175">
        <f t="shared" si="6"/>
        <v>2140.3000000000002</v>
      </c>
      <c r="BF6" s="175">
        <f t="shared" si="6"/>
        <v>2400</v>
      </c>
      <c r="BG6" s="175">
        <f t="shared" si="6"/>
        <v>2645</v>
      </c>
      <c r="BH6" s="175">
        <f>SUM(BH7:BH8)</f>
        <v>3051</v>
      </c>
      <c r="BI6" s="175">
        <f>SUM(BI7:BI8)</f>
        <v>3381</v>
      </c>
      <c r="BJ6" s="175">
        <f>SUM(BJ7:BJ8)</f>
        <v>3359</v>
      </c>
    </row>
    <row r="7" spans="1:62" x14ac:dyDescent="0.2">
      <c r="B7" s="52" t="s">
        <v>583</v>
      </c>
      <c r="C7" s="176">
        <f>G7/1.15</f>
        <v>164.34782608695653</v>
      </c>
      <c r="D7" s="176">
        <f>H7/1.16</f>
        <v>172.41379310344828</v>
      </c>
      <c r="E7" s="176">
        <f>I7/1.04</f>
        <v>169.23076923076923</v>
      </c>
      <c r="F7" s="176">
        <f>J7/1.16</f>
        <v>150</v>
      </c>
      <c r="G7" s="176">
        <v>189</v>
      </c>
      <c r="H7" s="176">
        <v>200</v>
      </c>
      <c r="I7" s="176">
        <v>176</v>
      </c>
      <c r="J7" s="176">
        <v>174</v>
      </c>
      <c r="K7" s="176">
        <v>194</v>
      </c>
      <c r="L7" s="176">
        <v>187</v>
      </c>
      <c r="M7" s="176">
        <v>170</v>
      </c>
      <c r="N7" s="176">
        <v>146.19999999999999</v>
      </c>
      <c r="O7" s="176">
        <v>211</v>
      </c>
      <c r="P7" s="176">
        <v>206</v>
      </c>
      <c r="Q7" s="176">
        <v>191.4</v>
      </c>
      <c r="R7" s="176">
        <v>170</v>
      </c>
      <c r="S7" s="176">
        <v>238</v>
      </c>
      <c r="T7" s="176">
        <v>206</v>
      </c>
      <c r="U7" s="176">
        <v>198</v>
      </c>
      <c r="V7" s="176">
        <v>199.5</v>
      </c>
      <c r="W7" s="176">
        <v>268.8</v>
      </c>
      <c r="X7" s="176">
        <v>231</v>
      </c>
      <c r="Y7" s="176">
        <v>239</v>
      </c>
      <c r="Z7" s="176">
        <v>238</v>
      </c>
      <c r="AA7" s="176">
        <v>283</v>
      </c>
      <c r="AB7" s="176">
        <v>268</v>
      </c>
      <c r="AC7" s="176">
        <v>271</v>
      </c>
      <c r="AD7" s="176">
        <v>256</v>
      </c>
      <c r="AE7" s="176">
        <v>334</v>
      </c>
      <c r="AF7" s="176">
        <v>300</v>
      </c>
      <c r="AG7" s="176">
        <v>265</v>
      </c>
      <c r="AH7" s="176">
        <v>281</v>
      </c>
      <c r="AI7" s="176">
        <v>357</v>
      </c>
      <c r="AJ7" s="176">
        <v>338</v>
      </c>
      <c r="AK7" s="176">
        <v>311</v>
      </c>
      <c r="AL7" s="176">
        <v>323</v>
      </c>
      <c r="AM7" s="176">
        <v>382</v>
      </c>
      <c r="AN7" s="176">
        <v>379</v>
      </c>
      <c r="AO7" s="176">
        <v>358</v>
      </c>
      <c r="AP7" s="176">
        <v>343</v>
      </c>
      <c r="AQ7" s="176">
        <v>423</v>
      </c>
      <c r="AR7" s="176">
        <v>411</v>
      </c>
      <c r="AS7" s="176">
        <v>370</v>
      </c>
      <c r="AT7" s="176">
        <f t="shared" ref="AT7" si="7">AS7</f>
        <v>370</v>
      </c>
      <c r="AU7" s="176">
        <v>452</v>
      </c>
      <c r="AV7" s="176"/>
      <c r="AW7" s="176">
        <v>311</v>
      </c>
      <c r="AX7" s="176"/>
      <c r="AY7" s="189"/>
      <c r="AZ7" s="190">
        <f>SUM(C7:F7)</f>
        <v>655.99238842117404</v>
      </c>
      <c r="BA7" s="190">
        <f>SUM(G7:J7)</f>
        <v>739</v>
      </c>
      <c r="BB7" s="176">
        <f>K7+L7+M7+N7</f>
        <v>697.2</v>
      </c>
      <c r="BC7" s="176">
        <f>O7+P7+Q7+R7</f>
        <v>778.4</v>
      </c>
      <c r="BD7" s="176">
        <f>S7+T7+U7+V7</f>
        <v>841.5</v>
      </c>
      <c r="BE7" s="176">
        <f>W7+X7+Y7+Z7</f>
        <v>976.8</v>
      </c>
      <c r="BF7" s="176">
        <f>AA7+AB7+AC7+AD7</f>
        <v>1078</v>
      </c>
      <c r="BG7" s="176">
        <f>AE7+AF7+AG7+AH7</f>
        <v>1180</v>
      </c>
      <c r="BH7" s="176">
        <f>SUM(AI7:AL7)</f>
        <v>1329</v>
      </c>
      <c r="BI7" s="176">
        <f>SUM(AM7:AP7)</f>
        <v>1462</v>
      </c>
      <c r="BJ7" s="176">
        <f>SUM(AQ7:AT7)</f>
        <v>1574</v>
      </c>
    </row>
    <row r="8" spans="1:62" x14ac:dyDescent="0.2">
      <c r="B8" s="52" t="s">
        <v>581</v>
      </c>
      <c r="C8" s="176">
        <f>G8/1.03</f>
        <v>199.02912621359224</v>
      </c>
      <c r="D8" s="176">
        <f>H8</f>
        <v>198</v>
      </c>
      <c r="E8" s="176">
        <f>I8/1.03</f>
        <v>177.66990291262135</v>
      </c>
      <c r="F8" s="176">
        <f>J8*1.03</f>
        <v>187.46</v>
      </c>
      <c r="G8" s="176">
        <v>205</v>
      </c>
      <c r="H8" s="176">
        <v>198</v>
      </c>
      <c r="I8" s="176">
        <v>183</v>
      </c>
      <c r="J8" s="176">
        <v>182</v>
      </c>
      <c r="K8" s="176">
        <v>176</v>
      </c>
      <c r="L8" s="176">
        <v>174</v>
      </c>
      <c r="M8" s="176">
        <v>168.8</v>
      </c>
      <c r="N8" s="176">
        <v>177.6</v>
      </c>
      <c r="O8" s="176">
        <v>188</v>
      </c>
      <c r="P8" s="176">
        <v>194</v>
      </c>
      <c r="Q8" s="176">
        <v>200</v>
      </c>
      <c r="R8" s="176">
        <v>212.5</v>
      </c>
      <c r="S8" s="176">
        <v>227</v>
      </c>
      <c r="T8" s="176">
        <v>242</v>
      </c>
      <c r="U8" s="176">
        <v>223</v>
      </c>
      <c r="V8" s="176">
        <v>263</v>
      </c>
      <c r="W8" s="176">
        <v>293.5</v>
      </c>
      <c r="X8" s="176">
        <v>278</v>
      </c>
      <c r="Y8" s="176">
        <v>270</v>
      </c>
      <c r="Z8" s="176">
        <v>322</v>
      </c>
      <c r="AA8" s="176">
        <v>337</v>
      </c>
      <c r="AB8" s="176">
        <v>334</v>
      </c>
      <c r="AC8" s="176">
        <v>311</v>
      </c>
      <c r="AD8" s="176">
        <v>340</v>
      </c>
      <c r="AE8" s="176">
        <v>325</v>
      </c>
      <c r="AF8" s="176">
        <v>366</v>
      </c>
      <c r="AG8" s="176">
        <v>370</v>
      </c>
      <c r="AH8" s="176">
        <v>404</v>
      </c>
      <c r="AI8" s="176">
        <v>407</v>
      </c>
      <c r="AJ8" s="176">
        <v>419</v>
      </c>
      <c r="AK8" s="176">
        <v>426</v>
      </c>
      <c r="AL8" s="176">
        <v>470</v>
      </c>
      <c r="AM8" s="176">
        <v>458</v>
      </c>
      <c r="AN8" s="176">
        <v>460</v>
      </c>
      <c r="AO8" s="176">
        <v>500</v>
      </c>
      <c r="AP8" s="176">
        <v>501</v>
      </c>
      <c r="AQ8" s="176">
        <v>419</v>
      </c>
      <c r="AR8" s="176">
        <v>422</v>
      </c>
      <c r="AS8" s="176">
        <v>472</v>
      </c>
      <c r="AT8" s="176">
        <f>AS8</f>
        <v>472</v>
      </c>
      <c r="AU8" s="176">
        <v>468</v>
      </c>
      <c r="AV8" s="176"/>
      <c r="AW8" s="176">
        <v>489</v>
      </c>
      <c r="AX8" s="176"/>
      <c r="AY8" s="176"/>
      <c r="AZ8" s="190">
        <f>SUM(C8:F8)</f>
        <v>762.15902912621368</v>
      </c>
      <c r="BA8" s="190">
        <f>SUM(G8:J8)</f>
        <v>768</v>
      </c>
      <c r="BB8" s="176">
        <f>K8+L8+M8+N8</f>
        <v>696.4</v>
      </c>
      <c r="BC8" s="176">
        <f>O8+P8+Q8+R8</f>
        <v>794.5</v>
      </c>
      <c r="BD8" s="176">
        <f>S8+T8+U8+V8</f>
        <v>955</v>
      </c>
      <c r="BE8" s="176">
        <f>W8+X8+Y8+Z8</f>
        <v>1163.5</v>
      </c>
      <c r="BF8" s="176">
        <f>AA8+AB8+AC8+AD8</f>
        <v>1322</v>
      </c>
      <c r="BG8" s="176">
        <f>AE8+AF8+AG8+AH8</f>
        <v>1465</v>
      </c>
      <c r="BH8" s="176">
        <f>SUM(AI8:AL8)</f>
        <v>1722</v>
      </c>
      <c r="BI8" s="176">
        <f>SUM(AM8:AP8)</f>
        <v>1919</v>
      </c>
      <c r="BJ8" s="176">
        <f>SUM(AQ8:AT8)</f>
        <v>1785</v>
      </c>
    </row>
    <row r="9" spans="1:62" s="50" customFormat="1" x14ac:dyDescent="0.2">
      <c r="B9" s="51" t="s">
        <v>1011</v>
      </c>
      <c r="C9" s="175">
        <f>C10+C11</f>
        <v>300.87387387387389</v>
      </c>
      <c r="D9" s="175">
        <f>D10+D11</f>
        <v>309.32</v>
      </c>
      <c r="E9" s="175">
        <f>E10+E11</f>
        <v>304.91150442477874</v>
      </c>
      <c r="F9" s="175">
        <f>F10+F11</f>
        <v>301.12117117117117</v>
      </c>
      <c r="G9" s="175">
        <v>309</v>
      </c>
      <c r="H9" s="175">
        <v>313</v>
      </c>
      <c r="I9" s="175">
        <v>314</v>
      </c>
      <c r="J9" s="175">
        <v>298</v>
      </c>
      <c r="K9" s="175">
        <f t="shared" ref="K9:AK9" si="8">SUM(K10:K11)</f>
        <v>276</v>
      </c>
      <c r="L9" s="175">
        <f t="shared" si="8"/>
        <v>292</v>
      </c>
      <c r="M9" s="175">
        <f t="shared" si="8"/>
        <v>290</v>
      </c>
      <c r="N9" s="175">
        <f t="shared" si="8"/>
        <v>274</v>
      </c>
      <c r="O9" s="175">
        <f t="shared" si="8"/>
        <v>281.3</v>
      </c>
      <c r="P9" s="175">
        <f t="shared" si="8"/>
        <v>295</v>
      </c>
      <c r="Q9" s="175">
        <f t="shared" si="8"/>
        <v>300.3</v>
      </c>
      <c r="R9" s="175">
        <f t="shared" si="8"/>
        <v>284</v>
      </c>
      <c r="S9" s="175">
        <f t="shared" si="8"/>
        <v>304.2</v>
      </c>
      <c r="T9" s="175">
        <f t="shared" si="8"/>
        <v>330.5</v>
      </c>
      <c r="U9" s="175">
        <f t="shared" si="8"/>
        <v>336.6</v>
      </c>
      <c r="V9" s="175">
        <f t="shared" si="8"/>
        <v>338</v>
      </c>
      <c r="W9" s="175">
        <f t="shared" si="8"/>
        <v>343</v>
      </c>
      <c r="X9" s="175">
        <f t="shared" si="8"/>
        <v>360</v>
      </c>
      <c r="Y9" s="175">
        <f t="shared" si="8"/>
        <v>361.4</v>
      </c>
      <c r="Z9" s="175">
        <f t="shared" si="8"/>
        <v>382.5</v>
      </c>
      <c r="AA9" s="175">
        <f t="shared" si="8"/>
        <v>379.1</v>
      </c>
      <c r="AB9" s="175">
        <f t="shared" si="8"/>
        <v>393</v>
      </c>
      <c r="AC9" s="175">
        <f t="shared" si="8"/>
        <v>395.6</v>
      </c>
      <c r="AD9" s="175">
        <f t="shared" si="8"/>
        <v>393</v>
      </c>
      <c r="AE9" s="175">
        <f t="shared" si="8"/>
        <v>406</v>
      </c>
      <c r="AF9" s="175">
        <f t="shared" si="8"/>
        <v>420</v>
      </c>
      <c r="AG9" s="175">
        <f t="shared" si="8"/>
        <v>451</v>
      </c>
      <c r="AH9" s="175">
        <f t="shared" si="8"/>
        <v>461</v>
      </c>
      <c r="AI9" s="175">
        <f t="shared" si="8"/>
        <v>447</v>
      </c>
      <c r="AJ9" s="175">
        <f t="shared" si="8"/>
        <v>487</v>
      </c>
      <c r="AK9" s="175">
        <f t="shared" si="8"/>
        <v>511</v>
      </c>
      <c r="AL9" s="175">
        <f t="shared" ref="AL9:AQ9" si="9">AL10+AL11</f>
        <v>537</v>
      </c>
      <c r="AM9" s="175">
        <f t="shared" si="9"/>
        <v>533</v>
      </c>
      <c r="AN9" s="175">
        <f t="shared" si="9"/>
        <v>572</v>
      </c>
      <c r="AO9" s="175">
        <f t="shared" si="9"/>
        <v>586</v>
      </c>
      <c r="AP9" s="175">
        <f t="shared" si="9"/>
        <v>523</v>
      </c>
      <c r="AQ9" s="175">
        <f t="shared" si="9"/>
        <v>489</v>
      </c>
      <c r="AR9" s="175">
        <f t="shared" ref="AR9" si="10">AR10+AR11</f>
        <v>508</v>
      </c>
      <c r="AS9" s="175">
        <f t="shared" ref="AS9" si="11">AS10+AS11</f>
        <v>544</v>
      </c>
      <c r="AT9" s="175">
        <f t="shared" ref="AT9:AX9" si="12">AT10+AT11</f>
        <v>544</v>
      </c>
      <c r="AU9" s="175">
        <f t="shared" si="12"/>
        <v>529</v>
      </c>
      <c r="AV9" s="175">
        <f t="shared" si="12"/>
        <v>0</v>
      </c>
      <c r="AW9" s="175">
        <f t="shared" si="12"/>
        <v>566</v>
      </c>
      <c r="AX9" s="175">
        <f t="shared" si="12"/>
        <v>0</v>
      </c>
      <c r="AY9" s="188"/>
      <c r="AZ9" s="175">
        <f>AZ10+AZ11</f>
        <v>1216.2265494698238</v>
      </c>
      <c r="BA9" s="175">
        <f>BA10+BA11</f>
        <v>1234</v>
      </c>
      <c r="BB9" s="175">
        <f t="shared" ref="BB9:BG9" si="13">BB10+BB11</f>
        <v>1132</v>
      </c>
      <c r="BC9" s="175">
        <f t="shared" si="13"/>
        <v>1160.5999999999999</v>
      </c>
      <c r="BD9" s="175">
        <f t="shared" si="13"/>
        <v>1309.3</v>
      </c>
      <c r="BE9" s="175">
        <f t="shared" si="13"/>
        <v>1446.9</v>
      </c>
      <c r="BF9" s="175">
        <f t="shared" si="13"/>
        <v>1560.7</v>
      </c>
      <c r="BG9" s="175">
        <f t="shared" si="13"/>
        <v>1738</v>
      </c>
      <c r="BH9" s="175">
        <f>SUM(BH10:BH11)</f>
        <v>1982</v>
      </c>
      <c r="BI9" s="175">
        <f>SUM(BI10:BI11)</f>
        <v>2214</v>
      </c>
      <c r="BJ9" s="175">
        <f>SUM(BJ10:BJ11)</f>
        <v>2085</v>
      </c>
    </row>
    <row r="10" spans="1:62" x14ac:dyDescent="0.2">
      <c r="B10" s="52" t="s">
        <v>583</v>
      </c>
      <c r="C10" s="176">
        <f>G10/1.11</f>
        <v>73.873873873873862</v>
      </c>
      <c r="D10" s="176">
        <f>H10/1.08</f>
        <v>75</v>
      </c>
      <c r="E10" s="176">
        <f>I10/1.13</f>
        <v>69.911504424778769</v>
      </c>
      <c r="F10" s="176">
        <f>J10/1.11</f>
        <v>71.171171171171167</v>
      </c>
      <c r="G10" s="176">
        <v>82</v>
      </c>
      <c r="H10" s="176">
        <v>81</v>
      </c>
      <c r="I10" s="176">
        <v>79</v>
      </c>
      <c r="J10" s="176">
        <v>79</v>
      </c>
      <c r="K10" s="176">
        <v>72</v>
      </c>
      <c r="L10" s="176">
        <v>75</v>
      </c>
      <c r="M10" s="176">
        <v>80</v>
      </c>
      <c r="N10" s="176">
        <v>72</v>
      </c>
      <c r="O10" s="176">
        <v>77.8</v>
      </c>
      <c r="P10" s="176">
        <v>76</v>
      </c>
      <c r="Q10" s="176">
        <v>77.8</v>
      </c>
      <c r="R10" s="176">
        <v>63.5</v>
      </c>
      <c r="S10" s="176">
        <v>78.2</v>
      </c>
      <c r="T10" s="176">
        <v>77.3</v>
      </c>
      <c r="U10" s="176">
        <v>82.4</v>
      </c>
      <c r="V10" s="176">
        <v>78</v>
      </c>
      <c r="W10" s="176">
        <v>90</v>
      </c>
      <c r="X10" s="176">
        <v>89</v>
      </c>
      <c r="Y10" s="176">
        <v>88.9</v>
      </c>
      <c r="Z10" s="176">
        <v>92.1</v>
      </c>
      <c r="AA10" s="176">
        <v>94.9</v>
      </c>
      <c r="AB10" s="176">
        <v>98</v>
      </c>
      <c r="AC10" s="176">
        <v>91.8</v>
      </c>
      <c r="AD10" s="176">
        <v>94</v>
      </c>
      <c r="AE10" s="176">
        <v>100</v>
      </c>
      <c r="AF10" s="176">
        <v>104</v>
      </c>
      <c r="AG10" s="176">
        <v>102</v>
      </c>
      <c r="AH10" s="176">
        <v>102</v>
      </c>
      <c r="AI10" s="176">
        <v>109</v>
      </c>
      <c r="AJ10" s="176">
        <v>106</v>
      </c>
      <c r="AK10" s="176">
        <v>113</v>
      </c>
      <c r="AL10" s="176">
        <v>116</v>
      </c>
      <c r="AM10" s="176">
        <v>115</v>
      </c>
      <c r="AN10" s="176">
        <v>111</v>
      </c>
      <c r="AO10" s="176">
        <v>114</v>
      </c>
      <c r="AP10" s="176">
        <v>109</v>
      </c>
      <c r="AQ10" s="176">
        <v>102</v>
      </c>
      <c r="AR10" s="176">
        <v>104</v>
      </c>
      <c r="AS10" s="176">
        <v>102</v>
      </c>
      <c r="AT10" s="176">
        <f t="shared" ref="AT10" si="14">AS10</f>
        <v>102</v>
      </c>
      <c r="AU10" s="176">
        <v>103</v>
      </c>
      <c r="AV10" s="176"/>
      <c r="AW10" s="176">
        <v>104</v>
      </c>
      <c r="AX10" s="176"/>
      <c r="AY10" s="189"/>
      <c r="AZ10" s="190">
        <f>SUM(C10:F10)</f>
        <v>289.95654946982381</v>
      </c>
      <c r="BA10" s="190">
        <f>SUM(G10:J10)</f>
        <v>321</v>
      </c>
      <c r="BB10" s="176">
        <f>K10+L10+M10+N10</f>
        <v>299</v>
      </c>
      <c r="BC10" s="176">
        <f>O10+P10+Q10+R10</f>
        <v>295.10000000000002</v>
      </c>
      <c r="BD10" s="176">
        <f>S10+T10+U10+V10</f>
        <v>315.89999999999998</v>
      </c>
      <c r="BE10" s="176">
        <f>W10+X10+Y10+Z10</f>
        <v>360</v>
      </c>
      <c r="BF10" s="176">
        <f>AA10+AB10+AC10+AD10</f>
        <v>378.7</v>
      </c>
      <c r="BG10" s="176">
        <f>AE10+AF10+AG10+AH10</f>
        <v>408</v>
      </c>
      <c r="BH10" s="176">
        <f>SUM(AI10:AL10)</f>
        <v>444</v>
      </c>
      <c r="BI10" s="176">
        <f>SUM(AM10:AP10)</f>
        <v>449</v>
      </c>
      <c r="BJ10" s="176">
        <f>SUM(AQ10:AT10)</f>
        <v>410</v>
      </c>
    </row>
    <row r="11" spans="1:62" x14ac:dyDescent="0.2">
      <c r="B11" s="52" t="s">
        <v>581</v>
      </c>
      <c r="C11" s="176">
        <f>G11</f>
        <v>227</v>
      </c>
      <c r="D11" s="176">
        <f>H11*1.01</f>
        <v>234.32</v>
      </c>
      <c r="E11" s="176">
        <f>I11</f>
        <v>235</v>
      </c>
      <c r="F11" s="176">
        <f>J11*1.05</f>
        <v>229.95000000000002</v>
      </c>
      <c r="G11" s="176">
        <v>227</v>
      </c>
      <c r="H11" s="176">
        <v>232</v>
      </c>
      <c r="I11" s="176">
        <v>235</v>
      </c>
      <c r="J11" s="176">
        <v>219</v>
      </c>
      <c r="K11" s="176">
        <v>204</v>
      </c>
      <c r="L11" s="176">
        <v>217</v>
      </c>
      <c r="M11" s="176">
        <v>210</v>
      </c>
      <c r="N11" s="176">
        <v>202</v>
      </c>
      <c r="O11" s="176">
        <v>203.5</v>
      </c>
      <c r="P11" s="176">
        <v>219</v>
      </c>
      <c r="Q11" s="176">
        <v>222.5</v>
      </c>
      <c r="R11" s="176">
        <v>220.5</v>
      </c>
      <c r="S11" s="176">
        <v>226</v>
      </c>
      <c r="T11" s="176">
        <v>253.2</v>
      </c>
      <c r="U11" s="176">
        <v>254.2</v>
      </c>
      <c r="V11" s="176">
        <v>260</v>
      </c>
      <c r="W11" s="176">
        <v>253</v>
      </c>
      <c r="X11" s="176">
        <v>271</v>
      </c>
      <c r="Y11" s="176">
        <v>272.5</v>
      </c>
      <c r="Z11" s="176">
        <v>290.39999999999998</v>
      </c>
      <c r="AA11" s="176">
        <v>284.2</v>
      </c>
      <c r="AB11" s="176">
        <v>295</v>
      </c>
      <c r="AC11" s="176">
        <v>303.8</v>
      </c>
      <c r="AD11" s="176">
        <v>299</v>
      </c>
      <c r="AE11" s="176">
        <v>306</v>
      </c>
      <c r="AF11" s="176">
        <v>316</v>
      </c>
      <c r="AG11" s="176">
        <v>349</v>
      </c>
      <c r="AH11" s="176">
        <v>359</v>
      </c>
      <c r="AI11" s="176">
        <v>338</v>
      </c>
      <c r="AJ11" s="176">
        <v>381</v>
      </c>
      <c r="AK11" s="176">
        <v>398</v>
      </c>
      <c r="AL11" s="176">
        <v>421</v>
      </c>
      <c r="AM11" s="176">
        <v>418</v>
      </c>
      <c r="AN11" s="176">
        <v>461</v>
      </c>
      <c r="AO11" s="176">
        <v>472</v>
      </c>
      <c r="AP11" s="176">
        <v>414</v>
      </c>
      <c r="AQ11" s="176">
        <v>387</v>
      </c>
      <c r="AR11" s="176">
        <v>404</v>
      </c>
      <c r="AS11" s="176">
        <v>442</v>
      </c>
      <c r="AT11" s="176">
        <f>AS11</f>
        <v>442</v>
      </c>
      <c r="AU11" s="176">
        <v>426</v>
      </c>
      <c r="AV11" s="176"/>
      <c r="AW11" s="176">
        <v>462</v>
      </c>
      <c r="AX11" s="176"/>
      <c r="AY11" s="176"/>
      <c r="AZ11" s="190">
        <f>SUM(C11:F11)</f>
        <v>926.27</v>
      </c>
      <c r="BA11" s="190">
        <f>SUM(G11:J11)</f>
        <v>913</v>
      </c>
      <c r="BB11" s="176">
        <f>K11+L11+M11+N11</f>
        <v>833</v>
      </c>
      <c r="BC11" s="176">
        <f>O11+P11+Q11+R11</f>
        <v>865.5</v>
      </c>
      <c r="BD11" s="176">
        <f>S11+T11+U11+V11</f>
        <v>993.4</v>
      </c>
      <c r="BE11" s="176">
        <f>W11+X11+Y11+Z11</f>
        <v>1086.9000000000001</v>
      </c>
      <c r="BF11" s="176">
        <f>AA11+AB11+AC11+AD11</f>
        <v>1182</v>
      </c>
      <c r="BG11" s="176">
        <f>AE11+AF11+AG11+AH11</f>
        <v>1330</v>
      </c>
      <c r="BH11" s="176">
        <f>SUM(AI11:AL11)</f>
        <v>1538</v>
      </c>
      <c r="BI11" s="176">
        <f>SUM(AM11:AP11)</f>
        <v>1765</v>
      </c>
      <c r="BJ11" s="176">
        <f>SUM(AQ11:AT11)</f>
        <v>1675</v>
      </c>
    </row>
    <row r="12" spans="1:62" s="50" customFormat="1" x14ac:dyDescent="0.2">
      <c r="B12" s="51" t="s">
        <v>1010</v>
      </c>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175"/>
      <c r="AA12" s="175"/>
      <c r="AB12" s="175"/>
      <c r="AC12" s="175"/>
      <c r="AD12" s="175"/>
      <c r="AE12" s="175">
        <f t="shared" ref="AE12:AQ12" si="15">AE13+AE14</f>
        <v>0</v>
      </c>
      <c r="AF12" s="175">
        <f t="shared" si="15"/>
        <v>0</v>
      </c>
      <c r="AG12" s="175">
        <f t="shared" si="15"/>
        <v>96</v>
      </c>
      <c r="AH12" s="175">
        <f t="shared" si="15"/>
        <v>113</v>
      </c>
      <c r="AI12" s="175">
        <f t="shared" si="15"/>
        <v>359</v>
      </c>
      <c r="AJ12" s="175">
        <f t="shared" si="15"/>
        <v>354</v>
      </c>
      <c r="AK12" s="175">
        <f t="shared" si="15"/>
        <v>396</v>
      </c>
      <c r="AL12" s="175">
        <f t="shared" si="15"/>
        <v>379</v>
      </c>
      <c r="AM12" s="175">
        <f t="shared" si="15"/>
        <v>386</v>
      </c>
      <c r="AN12" s="175">
        <f t="shared" si="15"/>
        <v>408</v>
      </c>
      <c r="AO12" s="175">
        <f t="shared" si="15"/>
        <v>434</v>
      </c>
      <c r="AP12" s="175">
        <f t="shared" si="15"/>
        <v>396</v>
      </c>
      <c r="AQ12" s="175">
        <f t="shared" si="15"/>
        <v>365</v>
      </c>
      <c r="AR12" s="175">
        <f t="shared" ref="AR12" si="16">AR13+AR14</f>
        <v>386</v>
      </c>
      <c r="AS12" s="175">
        <f t="shared" ref="AS12" si="17">AS13+AS14</f>
        <v>410</v>
      </c>
      <c r="AT12" s="175">
        <f t="shared" ref="AT12:AX12" si="18">AT13+AT14</f>
        <v>410</v>
      </c>
      <c r="AU12" s="175">
        <f t="shared" si="18"/>
        <v>381</v>
      </c>
      <c r="AV12" s="175">
        <f t="shared" si="18"/>
        <v>0</v>
      </c>
      <c r="AW12" s="175">
        <f t="shared" si="18"/>
        <v>384</v>
      </c>
      <c r="AX12" s="175">
        <f t="shared" si="18"/>
        <v>0</v>
      </c>
      <c r="AY12" s="175"/>
      <c r="AZ12" s="175"/>
      <c r="BA12" s="175"/>
      <c r="BB12" s="175"/>
      <c r="BC12" s="175"/>
      <c r="BD12" s="175"/>
      <c r="BE12" s="175"/>
      <c r="BF12" s="175"/>
      <c r="BG12" s="175">
        <f>BG13+BG14</f>
        <v>209</v>
      </c>
      <c r="BH12" s="175">
        <f>SUM(BH13:BH14)</f>
        <v>1488</v>
      </c>
      <c r="BI12" s="175">
        <f>SUM(BI13:BI14)</f>
        <v>1624</v>
      </c>
      <c r="BJ12" s="175">
        <f>SUM(BJ13:BJ14)</f>
        <v>1571</v>
      </c>
    </row>
    <row r="13" spans="1:62" x14ac:dyDescent="0.2">
      <c r="B13" s="52" t="s">
        <v>583</v>
      </c>
      <c r="C13" s="176"/>
      <c r="D13" s="176"/>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c r="AC13" s="176"/>
      <c r="AD13" s="176"/>
      <c r="AE13" s="176"/>
      <c r="AF13" s="176"/>
      <c r="AG13" s="176">
        <v>58</v>
      </c>
      <c r="AH13" s="176">
        <v>69</v>
      </c>
      <c r="AI13" s="176">
        <v>203</v>
      </c>
      <c r="AJ13" s="176">
        <v>186</v>
      </c>
      <c r="AK13" s="176">
        <v>211</v>
      </c>
      <c r="AL13" s="176">
        <v>189</v>
      </c>
      <c r="AM13" s="176">
        <v>199</v>
      </c>
      <c r="AN13" s="176">
        <v>185</v>
      </c>
      <c r="AO13" s="176">
        <v>204</v>
      </c>
      <c r="AP13" s="176">
        <v>192</v>
      </c>
      <c r="AQ13" s="176">
        <v>188</v>
      </c>
      <c r="AR13" s="176">
        <v>174</v>
      </c>
      <c r="AS13" s="176">
        <v>187</v>
      </c>
      <c r="AT13" s="176">
        <f t="shared" ref="AT13" si="19">AS13</f>
        <v>187</v>
      </c>
      <c r="AU13" s="176">
        <v>174</v>
      </c>
      <c r="AV13" s="176"/>
      <c r="AW13" s="176">
        <v>164</v>
      </c>
      <c r="AX13" s="176"/>
      <c r="AY13" s="176"/>
      <c r="AZ13" s="176"/>
      <c r="BA13" s="176"/>
      <c r="BB13" s="176"/>
      <c r="BC13" s="176"/>
      <c r="BD13" s="176"/>
      <c r="BE13" s="176"/>
      <c r="BF13" s="176"/>
      <c r="BG13" s="176">
        <f>AE13+AF13+AG13+AH13</f>
        <v>127</v>
      </c>
      <c r="BH13" s="176">
        <f>SUM(AI13:AL13)</f>
        <v>789</v>
      </c>
      <c r="BI13" s="176">
        <f>SUM(AM13:AP13)</f>
        <v>780</v>
      </c>
      <c r="BJ13" s="176">
        <f>SUM(AQ13:AT13)</f>
        <v>736</v>
      </c>
    </row>
    <row r="14" spans="1:62" x14ac:dyDescent="0.2">
      <c r="B14" s="52" t="s">
        <v>581</v>
      </c>
      <c r="C14" s="176"/>
      <c r="D14" s="176"/>
      <c r="E14" s="176"/>
      <c r="F14" s="176"/>
      <c r="G14" s="176"/>
      <c r="H14" s="176"/>
      <c r="I14" s="176"/>
      <c r="J14" s="176"/>
      <c r="K14" s="176"/>
      <c r="L14" s="176"/>
      <c r="M14" s="176"/>
      <c r="N14" s="176"/>
      <c r="O14" s="176"/>
      <c r="P14" s="176"/>
      <c r="Q14" s="176"/>
      <c r="R14" s="176"/>
      <c r="S14" s="176"/>
      <c r="T14" s="176"/>
      <c r="U14" s="176"/>
      <c r="V14" s="176"/>
      <c r="W14" s="176"/>
      <c r="X14" s="176"/>
      <c r="Y14" s="176"/>
      <c r="Z14" s="176"/>
      <c r="AA14" s="176"/>
      <c r="AB14" s="176"/>
      <c r="AC14" s="176"/>
      <c r="AD14" s="176"/>
      <c r="AE14" s="176"/>
      <c r="AF14" s="176"/>
      <c r="AG14" s="176">
        <v>38</v>
      </c>
      <c r="AH14" s="176">
        <v>44</v>
      </c>
      <c r="AI14" s="176">
        <v>156</v>
      </c>
      <c r="AJ14" s="176">
        <v>168</v>
      </c>
      <c r="AK14" s="176">
        <v>185</v>
      </c>
      <c r="AL14" s="176">
        <v>190</v>
      </c>
      <c r="AM14" s="176">
        <v>187</v>
      </c>
      <c r="AN14" s="176">
        <v>223</v>
      </c>
      <c r="AO14" s="176">
        <v>230</v>
      </c>
      <c r="AP14" s="176">
        <v>204</v>
      </c>
      <c r="AQ14" s="176">
        <v>177</v>
      </c>
      <c r="AR14" s="176">
        <v>212</v>
      </c>
      <c r="AS14" s="176">
        <v>223</v>
      </c>
      <c r="AT14" s="176">
        <f>AS14</f>
        <v>223</v>
      </c>
      <c r="AU14" s="176">
        <v>207</v>
      </c>
      <c r="AV14" s="176"/>
      <c r="AW14" s="176">
        <v>220</v>
      </c>
      <c r="AX14" s="176"/>
      <c r="AY14" s="176"/>
      <c r="AZ14" s="176"/>
      <c r="BA14" s="176"/>
      <c r="BB14" s="176"/>
      <c r="BC14" s="176"/>
      <c r="BD14" s="176"/>
      <c r="BE14" s="176"/>
      <c r="BF14" s="176"/>
      <c r="BG14" s="176">
        <f>AE14+AF14+AG14+AH14</f>
        <v>82</v>
      </c>
      <c r="BH14" s="176">
        <f>SUM(AI14:AL14)</f>
        <v>699</v>
      </c>
      <c r="BI14" s="176">
        <f>SUM(AM14:AP14)</f>
        <v>844</v>
      </c>
      <c r="BJ14" s="176">
        <f>SUM(AQ14:AT14)</f>
        <v>835</v>
      </c>
    </row>
    <row r="15" spans="1:62" s="50" customFormat="1" x14ac:dyDescent="0.2">
      <c r="B15" s="51" t="s">
        <v>999</v>
      </c>
      <c r="C15" s="175">
        <f>+C16+C17</f>
        <v>347</v>
      </c>
      <c r="D15" s="175">
        <f>+D16+D17</f>
        <v>354</v>
      </c>
      <c r="E15" s="175">
        <f>+E16+E17</f>
        <v>360</v>
      </c>
      <c r="F15" s="175">
        <f>+F16+F17</f>
        <v>358</v>
      </c>
      <c r="G15" s="175">
        <v>340</v>
      </c>
      <c r="H15" s="175">
        <v>350</v>
      </c>
      <c r="I15" s="175">
        <v>340</v>
      </c>
      <c r="J15" s="175">
        <v>314</v>
      </c>
      <c r="K15" s="175">
        <f>SUM(K16:K17)</f>
        <v>312</v>
      </c>
      <c r="L15" s="175">
        <f>SUM(L16:L17)</f>
        <v>304</v>
      </c>
      <c r="M15" s="175">
        <f>SUM(M16:M17)</f>
        <v>325.39999999999998</v>
      </c>
      <c r="N15" s="175">
        <f>SUM(N16:N17)+1</f>
        <v>288.49</v>
      </c>
      <c r="O15" s="175">
        <f t="shared" ref="O15:AG15" si="20">SUM(O16:O17)</f>
        <v>297.60000000000002</v>
      </c>
      <c r="P15" s="175">
        <f t="shared" si="20"/>
        <v>320.5</v>
      </c>
      <c r="Q15" s="175">
        <f t="shared" si="20"/>
        <v>323</v>
      </c>
      <c r="R15" s="175">
        <f t="shared" si="20"/>
        <v>310.5</v>
      </c>
      <c r="S15" s="175">
        <f t="shared" si="20"/>
        <v>312.60000000000002</v>
      </c>
      <c r="T15" s="175">
        <f t="shared" si="20"/>
        <v>344</v>
      </c>
      <c r="U15" s="175">
        <f t="shared" si="20"/>
        <v>358.4</v>
      </c>
      <c r="V15" s="175">
        <f t="shared" si="20"/>
        <v>354.4</v>
      </c>
      <c r="W15" s="175">
        <f t="shared" si="20"/>
        <v>348.4</v>
      </c>
      <c r="X15" s="175">
        <f t="shared" si="20"/>
        <v>368</v>
      </c>
      <c r="Y15" s="175">
        <f t="shared" si="20"/>
        <v>371.2</v>
      </c>
      <c r="Z15" s="175">
        <f t="shared" si="20"/>
        <v>382.4</v>
      </c>
      <c r="AA15" s="175">
        <f t="shared" si="20"/>
        <v>377</v>
      </c>
      <c r="AB15" s="175">
        <f t="shared" si="20"/>
        <v>406</v>
      </c>
      <c r="AC15" s="175">
        <f t="shared" si="20"/>
        <v>398</v>
      </c>
      <c r="AD15" s="175">
        <f t="shared" si="20"/>
        <v>388</v>
      </c>
      <c r="AE15" s="175">
        <f t="shared" si="20"/>
        <v>399</v>
      </c>
      <c r="AF15" s="175">
        <f t="shared" si="20"/>
        <v>443</v>
      </c>
      <c r="AG15" s="175">
        <f t="shared" si="20"/>
        <v>432</v>
      </c>
      <c r="AH15" s="175">
        <f t="shared" ref="AH15:AQ15" si="21">AH16+AH17</f>
        <v>420</v>
      </c>
      <c r="AI15" s="175">
        <f t="shared" si="21"/>
        <v>421</v>
      </c>
      <c r="AJ15" s="175">
        <f t="shared" si="21"/>
        <v>463</v>
      </c>
      <c r="AK15" s="175">
        <f t="shared" si="21"/>
        <v>461</v>
      </c>
      <c r="AL15" s="175">
        <f t="shared" si="21"/>
        <v>461</v>
      </c>
      <c r="AM15" s="175">
        <f t="shared" si="21"/>
        <v>461</v>
      </c>
      <c r="AN15" s="175">
        <f t="shared" si="21"/>
        <v>504</v>
      </c>
      <c r="AO15" s="175">
        <f t="shared" si="21"/>
        <v>510</v>
      </c>
      <c r="AP15" s="175">
        <f t="shared" si="21"/>
        <v>436</v>
      </c>
      <c r="AQ15" s="175">
        <f t="shared" si="21"/>
        <v>423</v>
      </c>
      <c r="AR15" s="175">
        <f t="shared" ref="AR15" si="22">AR16+AR17</f>
        <v>481</v>
      </c>
      <c r="AS15" s="175">
        <f t="shared" ref="AS15" si="23">AS16+AS17</f>
        <v>502</v>
      </c>
      <c r="AT15" s="175">
        <f t="shared" ref="AT15:AX15" si="24">AT16+AT17</f>
        <v>502</v>
      </c>
      <c r="AU15" s="175">
        <f t="shared" si="24"/>
        <v>469</v>
      </c>
      <c r="AV15" s="175">
        <f t="shared" si="24"/>
        <v>0</v>
      </c>
      <c r="AW15" s="175">
        <f t="shared" si="24"/>
        <v>459</v>
      </c>
      <c r="AX15" s="175">
        <f t="shared" si="24"/>
        <v>0</v>
      </c>
      <c r="AY15" s="188"/>
      <c r="AZ15" s="175">
        <f>AZ16+AZ17</f>
        <v>1419</v>
      </c>
      <c r="BA15" s="175">
        <f>BA16+BA17</f>
        <v>1344</v>
      </c>
      <c r="BB15" s="175">
        <f>BB16+BB17</f>
        <v>1228.8899999999999</v>
      </c>
      <c r="BC15" s="175">
        <f t="shared" ref="BC15:BG15" si="25">BC16+BC17</f>
        <v>1251.5999999999999</v>
      </c>
      <c r="BD15" s="175">
        <f t="shared" si="25"/>
        <v>1369.4</v>
      </c>
      <c r="BE15" s="175">
        <f t="shared" si="25"/>
        <v>1470</v>
      </c>
      <c r="BF15" s="175">
        <f t="shared" si="25"/>
        <v>1569</v>
      </c>
      <c r="BG15" s="175">
        <f t="shared" si="25"/>
        <v>1694</v>
      </c>
      <c r="BH15" s="175">
        <f>SUM(BH16:BH17)</f>
        <v>1806</v>
      </c>
      <c r="BI15" s="175">
        <f>SUM(BI16:BI17)</f>
        <v>1911</v>
      </c>
      <c r="BJ15" s="175">
        <f>SUM(BJ16:BJ17)</f>
        <v>1908</v>
      </c>
    </row>
    <row r="16" spans="1:62" x14ac:dyDescent="0.2">
      <c r="B16" s="52" t="s">
        <v>583</v>
      </c>
      <c r="C16" s="176">
        <v>131</v>
      </c>
      <c r="D16" s="176">
        <v>134</v>
      </c>
      <c r="E16" s="176">
        <v>139</v>
      </c>
      <c r="F16" s="176">
        <v>141</v>
      </c>
      <c r="G16" s="176">
        <v>137</v>
      </c>
      <c r="H16" s="176">
        <v>135</v>
      </c>
      <c r="I16" s="176">
        <v>137</v>
      </c>
      <c r="J16" s="176">
        <v>130</v>
      </c>
      <c r="K16" s="176">
        <v>124</v>
      </c>
      <c r="L16" s="176">
        <v>122</v>
      </c>
      <c r="M16" s="176">
        <v>138</v>
      </c>
      <c r="N16" s="176">
        <v>117.99</v>
      </c>
      <c r="O16" s="176">
        <v>127.4</v>
      </c>
      <c r="P16" s="176">
        <v>129</v>
      </c>
      <c r="Q16" s="176">
        <v>135</v>
      </c>
      <c r="R16" s="176">
        <v>131.5</v>
      </c>
      <c r="S16" s="176">
        <v>129.4</v>
      </c>
      <c r="T16" s="176">
        <v>128</v>
      </c>
      <c r="U16" s="176">
        <v>141.4</v>
      </c>
      <c r="V16" s="176">
        <v>127.6</v>
      </c>
      <c r="W16" s="176">
        <v>129.9</v>
      </c>
      <c r="X16" s="176">
        <v>135</v>
      </c>
      <c r="Y16" s="176">
        <v>135.19999999999999</v>
      </c>
      <c r="Z16" s="176">
        <v>133.4</v>
      </c>
      <c r="AA16" s="176">
        <v>139</v>
      </c>
      <c r="AB16" s="176">
        <v>151</v>
      </c>
      <c r="AC16" s="176">
        <v>140</v>
      </c>
      <c r="AD16" s="176">
        <v>136</v>
      </c>
      <c r="AE16" s="176">
        <v>140</v>
      </c>
      <c r="AF16" s="176">
        <v>165</v>
      </c>
      <c r="AG16" s="176">
        <v>151</v>
      </c>
      <c r="AH16" s="176">
        <v>140</v>
      </c>
      <c r="AI16" s="176">
        <v>163</v>
      </c>
      <c r="AJ16" s="176">
        <v>163</v>
      </c>
      <c r="AK16" s="176">
        <v>149</v>
      </c>
      <c r="AL16" s="176">
        <v>148</v>
      </c>
      <c r="AM16" s="176">
        <v>148</v>
      </c>
      <c r="AN16" s="176">
        <v>158</v>
      </c>
      <c r="AO16" s="176">
        <v>164</v>
      </c>
      <c r="AP16" s="176">
        <v>148</v>
      </c>
      <c r="AQ16" s="176">
        <v>149</v>
      </c>
      <c r="AR16" s="176">
        <v>152</v>
      </c>
      <c r="AS16" s="176">
        <v>142</v>
      </c>
      <c r="AT16" s="176">
        <f t="shared" ref="AT16" si="26">AS16</f>
        <v>142</v>
      </c>
      <c r="AU16" s="176">
        <v>146</v>
      </c>
      <c r="AV16" s="176"/>
      <c r="AW16" s="176">
        <v>121</v>
      </c>
      <c r="AX16" s="176"/>
      <c r="AY16" s="189"/>
      <c r="AZ16" s="190">
        <f>SUM(C16:F16)</f>
        <v>545</v>
      </c>
      <c r="BA16" s="190">
        <f>SUM(G16:J16)</f>
        <v>539</v>
      </c>
      <c r="BB16" s="176">
        <f>K16+L16+M16+N16</f>
        <v>501.99</v>
      </c>
      <c r="BC16" s="176">
        <f>O16+P16+Q16+R16</f>
        <v>522.9</v>
      </c>
      <c r="BD16" s="176">
        <f>S16+T16+U16+V16</f>
        <v>526.4</v>
      </c>
      <c r="BE16" s="176">
        <f>W16+X16+Y16+Z16</f>
        <v>533.5</v>
      </c>
      <c r="BF16" s="176">
        <f>AA16+AB16+AC16+AD16</f>
        <v>566</v>
      </c>
      <c r="BG16" s="176">
        <f>AE16+AF16+AG16+AH16</f>
        <v>596</v>
      </c>
      <c r="BH16" s="176">
        <f>SUM(AI16:AL16)</f>
        <v>623</v>
      </c>
      <c r="BI16" s="176">
        <f>SUM(AM16:AP16)</f>
        <v>618</v>
      </c>
      <c r="BJ16" s="176">
        <f>SUM(AQ16:AT16)</f>
        <v>585</v>
      </c>
    </row>
    <row r="17" spans="1:62" x14ac:dyDescent="0.2">
      <c r="B17" s="52" t="s">
        <v>581</v>
      </c>
      <c r="C17" s="176">
        <v>216</v>
      </c>
      <c r="D17" s="176">
        <v>220</v>
      </c>
      <c r="E17" s="176">
        <v>221</v>
      </c>
      <c r="F17" s="176">
        <v>217</v>
      </c>
      <c r="G17" s="176">
        <v>203</v>
      </c>
      <c r="H17" s="176">
        <v>215</v>
      </c>
      <c r="I17" s="176">
        <v>203</v>
      </c>
      <c r="J17" s="176">
        <v>184</v>
      </c>
      <c r="K17" s="176">
        <v>188</v>
      </c>
      <c r="L17" s="176">
        <v>182</v>
      </c>
      <c r="M17" s="176">
        <v>187.4</v>
      </c>
      <c r="N17" s="176">
        <v>169.5</v>
      </c>
      <c r="O17" s="176">
        <v>170.2</v>
      </c>
      <c r="P17" s="176">
        <v>191.5</v>
      </c>
      <c r="Q17" s="176">
        <v>188</v>
      </c>
      <c r="R17" s="176">
        <v>179</v>
      </c>
      <c r="S17" s="176">
        <v>183.2</v>
      </c>
      <c r="T17" s="176">
        <v>216</v>
      </c>
      <c r="U17" s="176">
        <v>217</v>
      </c>
      <c r="V17" s="176">
        <v>226.8</v>
      </c>
      <c r="W17" s="176">
        <v>218.5</v>
      </c>
      <c r="X17" s="176">
        <v>233</v>
      </c>
      <c r="Y17" s="176">
        <v>236</v>
      </c>
      <c r="Z17" s="176">
        <v>249</v>
      </c>
      <c r="AA17" s="176">
        <v>238</v>
      </c>
      <c r="AB17" s="176">
        <v>255</v>
      </c>
      <c r="AC17" s="176">
        <v>258</v>
      </c>
      <c r="AD17" s="176">
        <v>252</v>
      </c>
      <c r="AE17" s="176">
        <v>259</v>
      </c>
      <c r="AF17" s="176">
        <v>278</v>
      </c>
      <c r="AG17" s="176">
        <v>281</v>
      </c>
      <c r="AH17" s="176">
        <v>280</v>
      </c>
      <c r="AI17" s="176">
        <v>258</v>
      </c>
      <c r="AJ17" s="176">
        <v>300</v>
      </c>
      <c r="AK17" s="176">
        <v>312</v>
      </c>
      <c r="AL17" s="176">
        <v>313</v>
      </c>
      <c r="AM17" s="176">
        <v>313</v>
      </c>
      <c r="AN17" s="176">
        <v>346</v>
      </c>
      <c r="AO17" s="176">
        <v>346</v>
      </c>
      <c r="AP17" s="176">
        <v>288</v>
      </c>
      <c r="AQ17" s="176">
        <v>274</v>
      </c>
      <c r="AR17" s="176">
        <v>329</v>
      </c>
      <c r="AS17" s="176">
        <v>360</v>
      </c>
      <c r="AT17" s="176">
        <f>AS17</f>
        <v>360</v>
      </c>
      <c r="AU17" s="176">
        <v>323</v>
      </c>
      <c r="AV17" s="176"/>
      <c r="AW17" s="176">
        <v>338</v>
      </c>
      <c r="AX17" s="176"/>
      <c r="AY17" s="176"/>
      <c r="AZ17" s="190">
        <f>SUM(C17:F17)</f>
        <v>874</v>
      </c>
      <c r="BA17" s="190">
        <f>SUM(G17:J17)</f>
        <v>805</v>
      </c>
      <c r="BB17" s="176">
        <f>K17+L17+M17+N17</f>
        <v>726.9</v>
      </c>
      <c r="BC17" s="176">
        <f>O17+P17+Q17+R17</f>
        <v>728.7</v>
      </c>
      <c r="BD17" s="176">
        <f>S17+T17+U17+V17</f>
        <v>843</v>
      </c>
      <c r="BE17" s="176">
        <f>W17+X17+Y17+Z17</f>
        <v>936.5</v>
      </c>
      <c r="BF17" s="176">
        <f>AA17+AB17+AC17+AD17</f>
        <v>1003</v>
      </c>
      <c r="BG17" s="176">
        <f>AE17+AF17+AG17+AH17</f>
        <v>1098</v>
      </c>
      <c r="BH17" s="176">
        <f>SUM(AI17:AL17)</f>
        <v>1183</v>
      </c>
      <c r="BI17" s="176">
        <f>SUM(AM17:AP17)</f>
        <v>1293</v>
      </c>
      <c r="BJ17" s="176">
        <f>SUM(AQ17:AT17)</f>
        <v>1323</v>
      </c>
    </row>
    <row r="18" spans="1:62" s="50" customFormat="1" x14ac:dyDescent="0.2">
      <c r="B18" s="51" t="s">
        <v>1012</v>
      </c>
      <c r="C18" s="175">
        <f>G18*1.11</f>
        <v>276.39000000000004</v>
      </c>
      <c r="D18" s="175">
        <f>H18*1.02</f>
        <v>265.70999999999998</v>
      </c>
      <c r="E18" s="175">
        <f>I18*1.11</f>
        <v>274.17</v>
      </c>
      <c r="F18" s="175">
        <f>J18/1.04</f>
        <v>248.07692307692307</v>
      </c>
      <c r="G18" s="175">
        <v>249</v>
      </c>
      <c r="H18" s="175">
        <v>260.5</v>
      </c>
      <c r="I18" s="175">
        <v>247</v>
      </c>
      <c r="J18" s="175">
        <v>258</v>
      </c>
      <c r="K18" s="175">
        <f t="shared" ref="K18:AG18" si="27">SUM(K19:K20)</f>
        <v>219.5</v>
      </c>
      <c r="L18" s="175">
        <f t="shared" si="27"/>
        <v>200</v>
      </c>
      <c r="M18" s="175">
        <f t="shared" si="27"/>
        <v>209.5</v>
      </c>
      <c r="N18" s="175">
        <f t="shared" si="27"/>
        <v>194.4</v>
      </c>
      <c r="O18" s="175">
        <f t="shared" si="27"/>
        <v>187.5</v>
      </c>
      <c r="P18" s="175">
        <f t="shared" si="27"/>
        <v>209.4</v>
      </c>
      <c r="Q18" s="175">
        <f t="shared" si="27"/>
        <v>202.4</v>
      </c>
      <c r="R18" s="175">
        <f t="shared" si="27"/>
        <v>183.9</v>
      </c>
      <c r="S18" s="175">
        <f t="shared" si="27"/>
        <v>222.4</v>
      </c>
      <c r="T18" s="175">
        <f t="shared" si="27"/>
        <v>249</v>
      </c>
      <c r="U18" s="175">
        <f t="shared" si="27"/>
        <v>226.60000000000002</v>
      </c>
      <c r="V18" s="175">
        <f t="shared" si="27"/>
        <v>213</v>
      </c>
      <c r="W18" s="175">
        <f t="shared" si="27"/>
        <v>230.3</v>
      </c>
      <c r="X18" s="175">
        <f t="shared" si="27"/>
        <v>231</v>
      </c>
      <c r="Y18" s="175">
        <f t="shared" si="27"/>
        <v>216</v>
      </c>
      <c r="Z18" s="175">
        <f t="shared" si="27"/>
        <v>204.4</v>
      </c>
      <c r="AA18" s="175">
        <f t="shared" si="27"/>
        <v>218.89999999999998</v>
      </c>
      <c r="AB18" s="175">
        <f t="shared" si="27"/>
        <v>249.2</v>
      </c>
      <c r="AC18" s="175">
        <f t="shared" si="27"/>
        <v>221.60000000000002</v>
      </c>
      <c r="AD18" s="175">
        <f t="shared" si="27"/>
        <v>208</v>
      </c>
      <c r="AE18" s="175">
        <f t="shared" si="27"/>
        <v>238</v>
      </c>
      <c r="AF18" s="175">
        <f t="shared" si="27"/>
        <v>255</v>
      </c>
      <c r="AG18" s="175">
        <f t="shared" si="27"/>
        <v>143</v>
      </c>
      <c r="AH18" s="175">
        <f t="shared" ref="AH18:AQ18" si="28">AH19+AH20</f>
        <v>129</v>
      </c>
      <c r="AI18" s="175">
        <f t="shared" si="28"/>
        <v>248</v>
      </c>
      <c r="AJ18" s="175">
        <f t="shared" si="28"/>
        <v>297</v>
      </c>
      <c r="AK18" s="175">
        <f t="shared" si="28"/>
        <v>254</v>
      </c>
      <c r="AL18" s="175">
        <f t="shared" si="28"/>
        <v>225</v>
      </c>
      <c r="AM18" s="175">
        <f t="shared" si="28"/>
        <v>250</v>
      </c>
      <c r="AN18" s="175">
        <f t="shared" si="28"/>
        <v>308</v>
      </c>
      <c r="AO18" s="175">
        <f t="shared" si="28"/>
        <v>272</v>
      </c>
      <c r="AP18" s="175">
        <f t="shared" si="28"/>
        <v>200</v>
      </c>
      <c r="AQ18" s="175">
        <f t="shared" si="28"/>
        <v>244</v>
      </c>
      <c r="AR18" s="175">
        <f t="shared" ref="AR18" si="29">AR19+AR20</f>
        <v>336</v>
      </c>
      <c r="AS18" s="175">
        <f t="shared" ref="AS18" si="30">AS19+AS20</f>
        <v>293</v>
      </c>
      <c r="AT18" s="175">
        <f t="shared" ref="AT18:AX18" si="31">AT19+AT20</f>
        <v>293</v>
      </c>
      <c r="AU18" s="175">
        <f t="shared" si="31"/>
        <v>260</v>
      </c>
      <c r="AV18" s="175">
        <f t="shared" si="31"/>
        <v>0</v>
      </c>
      <c r="AW18" s="175">
        <f t="shared" si="31"/>
        <v>249</v>
      </c>
      <c r="AX18" s="175">
        <f t="shared" si="31"/>
        <v>0</v>
      </c>
      <c r="AY18" s="188"/>
      <c r="AZ18" s="175">
        <f>BA18*1.05</f>
        <v>1065.2250000000001</v>
      </c>
      <c r="BA18" s="175">
        <v>1014.5</v>
      </c>
      <c r="BB18" s="175">
        <f t="shared" ref="BB18:BG18" si="32">BB19+BB20</f>
        <v>823.4</v>
      </c>
      <c r="BC18" s="175">
        <f t="shared" si="32"/>
        <v>783.2</v>
      </c>
      <c r="BD18" s="175">
        <f t="shared" si="32"/>
        <v>911</v>
      </c>
      <c r="BE18" s="175">
        <f t="shared" si="32"/>
        <v>881.7</v>
      </c>
      <c r="BF18" s="175">
        <f t="shared" si="32"/>
        <v>897.7</v>
      </c>
      <c r="BG18" s="175">
        <f t="shared" si="32"/>
        <v>765</v>
      </c>
      <c r="BH18" s="175">
        <f>SUM(BH19:BH20)</f>
        <v>1024</v>
      </c>
      <c r="BI18" s="175">
        <f>SUM(BI19:BI20)</f>
        <v>1030</v>
      </c>
      <c r="BJ18" s="175">
        <f>SUM(BJ19:BJ20)</f>
        <v>1166</v>
      </c>
    </row>
    <row r="19" spans="1:62" x14ac:dyDescent="0.2">
      <c r="B19" s="52" t="s">
        <v>1000</v>
      </c>
      <c r="C19" s="176">
        <f>G19*1.14</f>
        <v>169.85999999999999</v>
      </c>
      <c r="D19" s="176">
        <f>H19/1.01</f>
        <v>165.34653465346534</v>
      </c>
      <c r="E19" s="176">
        <f>I19*1.12</f>
        <v>173.60000000000002</v>
      </c>
      <c r="F19" s="176">
        <f>J19/1.06</f>
        <v>161.32075471698113</v>
      </c>
      <c r="G19" s="176">
        <v>149</v>
      </c>
      <c r="H19" s="176">
        <v>167</v>
      </c>
      <c r="I19" s="176">
        <v>155</v>
      </c>
      <c r="J19" s="176">
        <v>171</v>
      </c>
      <c r="K19" s="176">
        <v>135</v>
      </c>
      <c r="L19" s="176">
        <v>120</v>
      </c>
      <c r="M19" s="176">
        <v>131.5</v>
      </c>
      <c r="N19" s="176">
        <v>116</v>
      </c>
      <c r="O19" s="176">
        <v>116</v>
      </c>
      <c r="P19" s="176">
        <v>137</v>
      </c>
      <c r="Q19" s="176">
        <v>119.2</v>
      </c>
      <c r="R19" s="176">
        <v>100.4</v>
      </c>
      <c r="S19" s="176">
        <v>137</v>
      </c>
      <c r="T19" s="176">
        <v>143</v>
      </c>
      <c r="U19" s="176">
        <v>135.80000000000001</v>
      </c>
      <c r="V19" s="176">
        <v>117.4</v>
      </c>
      <c r="W19" s="176">
        <v>119.3</v>
      </c>
      <c r="X19" s="176">
        <v>134</v>
      </c>
      <c r="Y19" s="176">
        <v>126</v>
      </c>
      <c r="Z19" s="176">
        <v>111.4</v>
      </c>
      <c r="AA19" s="176">
        <v>120.1</v>
      </c>
      <c r="AB19" s="176">
        <v>148</v>
      </c>
      <c r="AC19" s="176">
        <v>123.4</v>
      </c>
      <c r="AD19" s="176">
        <v>108</v>
      </c>
      <c r="AE19" s="176">
        <v>130</v>
      </c>
      <c r="AF19" s="176">
        <v>150</v>
      </c>
      <c r="AG19" s="176">
        <v>81</v>
      </c>
      <c r="AH19" s="176">
        <v>60</v>
      </c>
      <c r="AI19" s="176">
        <v>142</v>
      </c>
      <c r="AJ19" s="176">
        <v>185</v>
      </c>
      <c r="AK19" s="176">
        <v>154</v>
      </c>
      <c r="AL19" s="176">
        <v>122</v>
      </c>
      <c r="AM19" s="176">
        <v>133</v>
      </c>
      <c r="AN19" s="176">
        <v>182</v>
      </c>
      <c r="AO19" s="176">
        <v>151</v>
      </c>
      <c r="AP19" s="176">
        <v>101</v>
      </c>
      <c r="AQ19" s="176">
        <v>138</v>
      </c>
      <c r="AR19" s="176">
        <v>188</v>
      </c>
      <c r="AS19" s="176">
        <v>158</v>
      </c>
      <c r="AT19" s="176">
        <f t="shared" ref="AT19" si="33">AS19</f>
        <v>158</v>
      </c>
      <c r="AU19" s="176">
        <v>143</v>
      </c>
      <c r="AV19" s="176"/>
      <c r="AW19" s="176">
        <v>139</v>
      </c>
      <c r="AX19" s="176"/>
      <c r="AY19" s="189"/>
      <c r="AZ19" s="176">
        <f>BA19*1.05</f>
        <v>674.1</v>
      </c>
      <c r="BA19" s="176">
        <v>642</v>
      </c>
      <c r="BB19" s="176">
        <f>K19+L19+M19+N19</f>
        <v>502.5</v>
      </c>
      <c r="BC19" s="176">
        <f>O19+P19+Q19+R19</f>
        <v>472.6</v>
      </c>
      <c r="BD19" s="176">
        <f>S19+T19+U19+V19</f>
        <v>533.20000000000005</v>
      </c>
      <c r="BE19" s="176">
        <f>W19+X19+Y19+Z19</f>
        <v>490.70000000000005</v>
      </c>
      <c r="BF19" s="176">
        <f>AA19+AB19+AC19+AD19</f>
        <v>499.5</v>
      </c>
      <c r="BG19" s="176">
        <f>AE19+AF19+AG19+AH19</f>
        <v>421</v>
      </c>
      <c r="BH19" s="176">
        <f>SUM(AI19:AL19)</f>
        <v>603</v>
      </c>
      <c r="BI19" s="176">
        <f>SUM(AM19:AP19)</f>
        <v>567</v>
      </c>
      <c r="BJ19" s="176">
        <f>SUM(AQ19:AT19)</f>
        <v>642</v>
      </c>
    </row>
    <row r="20" spans="1:62" x14ac:dyDescent="0.2">
      <c r="B20" s="52" t="s">
        <v>581</v>
      </c>
      <c r="C20" s="176">
        <f>G20*1.06</f>
        <v>106</v>
      </c>
      <c r="D20" s="176">
        <f>H20*1.07</f>
        <v>100.045</v>
      </c>
      <c r="E20" s="176">
        <f>I20*1.07</f>
        <v>98.440000000000012</v>
      </c>
      <c r="F20" s="176">
        <f>J20*1.01</f>
        <v>87.87</v>
      </c>
      <c r="G20" s="176">
        <v>100</v>
      </c>
      <c r="H20" s="176">
        <v>93.5</v>
      </c>
      <c r="I20" s="176">
        <v>92</v>
      </c>
      <c r="J20" s="176">
        <v>87</v>
      </c>
      <c r="K20" s="176">
        <v>84.5</v>
      </c>
      <c r="L20" s="176">
        <v>80</v>
      </c>
      <c r="M20" s="176">
        <v>78</v>
      </c>
      <c r="N20" s="176">
        <v>78.400000000000006</v>
      </c>
      <c r="O20" s="176">
        <v>71.5</v>
      </c>
      <c r="P20" s="176">
        <v>72.400000000000006</v>
      </c>
      <c r="Q20" s="176">
        <v>83.2</v>
      </c>
      <c r="R20" s="176">
        <v>83.5</v>
      </c>
      <c r="S20" s="176">
        <v>85.4</v>
      </c>
      <c r="T20" s="176">
        <v>106</v>
      </c>
      <c r="U20" s="176">
        <v>90.8</v>
      </c>
      <c r="V20" s="176">
        <v>95.6</v>
      </c>
      <c r="W20" s="176">
        <v>111</v>
      </c>
      <c r="X20" s="176">
        <v>97</v>
      </c>
      <c r="Y20" s="176">
        <v>90</v>
      </c>
      <c r="Z20" s="176">
        <v>93</v>
      </c>
      <c r="AA20" s="176">
        <v>98.8</v>
      </c>
      <c r="AB20" s="176">
        <v>101.2</v>
      </c>
      <c r="AC20" s="176">
        <v>98.2</v>
      </c>
      <c r="AD20" s="176">
        <v>100</v>
      </c>
      <c r="AE20" s="176">
        <v>108</v>
      </c>
      <c r="AF20" s="176">
        <v>105</v>
      </c>
      <c r="AG20" s="176">
        <v>62</v>
      </c>
      <c r="AH20" s="176">
        <v>69</v>
      </c>
      <c r="AI20" s="176">
        <v>106</v>
      </c>
      <c r="AJ20" s="176">
        <v>112</v>
      </c>
      <c r="AK20" s="176">
        <v>100</v>
      </c>
      <c r="AL20" s="176">
        <v>103</v>
      </c>
      <c r="AM20" s="176">
        <v>117</v>
      </c>
      <c r="AN20" s="176">
        <v>126</v>
      </c>
      <c r="AO20" s="176">
        <v>121</v>
      </c>
      <c r="AP20" s="176">
        <v>99</v>
      </c>
      <c r="AQ20" s="176">
        <v>106</v>
      </c>
      <c r="AR20" s="176">
        <v>148</v>
      </c>
      <c r="AS20" s="176">
        <v>135</v>
      </c>
      <c r="AT20" s="176">
        <f>AS20</f>
        <v>135</v>
      </c>
      <c r="AU20" s="176">
        <v>117</v>
      </c>
      <c r="AV20" s="176"/>
      <c r="AW20" s="176">
        <v>110</v>
      </c>
      <c r="AX20" s="176"/>
      <c r="AY20" s="176"/>
      <c r="AZ20" s="176">
        <f>BA20*1.05</f>
        <v>391.125</v>
      </c>
      <c r="BA20" s="176">
        <v>372.5</v>
      </c>
      <c r="BB20" s="176">
        <f>K20+L20+M20+N20</f>
        <v>320.89999999999998</v>
      </c>
      <c r="BC20" s="176">
        <f>O20+P20+Q20+R20</f>
        <v>310.60000000000002</v>
      </c>
      <c r="BD20" s="176">
        <f>S20+T20+U20+V20</f>
        <v>377.79999999999995</v>
      </c>
      <c r="BE20" s="176">
        <f>W20+X20+Y20+Z20</f>
        <v>391</v>
      </c>
      <c r="BF20" s="176">
        <f>AA20+AB20+AC20+AD20</f>
        <v>398.2</v>
      </c>
      <c r="BG20" s="176">
        <f>AE20+AF20+AG20+AH20</f>
        <v>344</v>
      </c>
      <c r="BH20" s="176">
        <f>SUM(AI20:AL20)</f>
        <v>421</v>
      </c>
      <c r="BI20" s="176">
        <f>SUM(AM20:AP20)</f>
        <v>463</v>
      </c>
      <c r="BJ20" s="176">
        <f>SUM(AQ20:AT20)</f>
        <v>524</v>
      </c>
    </row>
    <row r="21" spans="1:62" x14ac:dyDescent="0.2">
      <c r="B21" s="52"/>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176"/>
      <c r="AA21" s="176"/>
      <c r="AB21" s="176"/>
      <c r="AC21" s="176"/>
      <c r="AD21" s="176"/>
      <c r="AE21" s="176"/>
      <c r="AF21" s="176"/>
      <c r="AG21" s="176"/>
      <c r="AH21" s="176"/>
      <c r="AI21" s="176"/>
      <c r="AJ21" s="176"/>
      <c r="AK21" s="176"/>
      <c r="AL21" s="176"/>
      <c r="AM21" s="176"/>
      <c r="AN21" s="176"/>
      <c r="AO21" s="176"/>
      <c r="AP21" s="176"/>
      <c r="AQ21" s="176"/>
      <c r="AR21" s="176"/>
      <c r="AS21" s="176"/>
      <c r="AT21" s="176"/>
      <c r="AU21" s="176"/>
      <c r="AV21" s="176"/>
      <c r="AW21" s="176"/>
      <c r="AX21" s="176"/>
      <c r="AY21" s="176"/>
      <c r="AZ21" s="176"/>
      <c r="BA21" s="176"/>
      <c r="BB21" s="176"/>
      <c r="BC21" s="176"/>
      <c r="BD21" s="176"/>
      <c r="BE21" s="176"/>
      <c r="BF21" s="176"/>
      <c r="BG21" s="176"/>
      <c r="BH21" s="176"/>
      <c r="BI21" s="176"/>
      <c r="BJ21" s="176"/>
    </row>
    <row r="22" spans="1:62" s="50" customFormat="1" x14ac:dyDescent="0.2">
      <c r="B22" s="51" t="s">
        <v>1015</v>
      </c>
      <c r="C22" s="175">
        <f>G22/1.01</f>
        <v>1734.6534653465346</v>
      </c>
      <c r="D22" s="175">
        <f>H22/1.01</f>
        <v>1689.6039603960396</v>
      </c>
      <c r="E22" s="175">
        <f>I22/1.01</f>
        <v>1704.950495049505</v>
      </c>
      <c r="F22" s="175">
        <f>J22*1.01</f>
        <v>1740.23</v>
      </c>
      <c r="G22" s="175">
        <v>1752</v>
      </c>
      <c r="H22" s="175">
        <v>1706.5</v>
      </c>
      <c r="I22" s="175">
        <v>1722</v>
      </c>
      <c r="J22" s="175">
        <v>1723</v>
      </c>
      <c r="K22" s="175">
        <f t="shared" ref="K22:AX22" si="34">SUM(K23:K24)</f>
        <v>1630.5</v>
      </c>
      <c r="L22" s="175">
        <f t="shared" si="34"/>
        <v>1530</v>
      </c>
      <c r="M22" s="175">
        <f t="shared" si="34"/>
        <v>1608.7</v>
      </c>
      <c r="N22" s="175">
        <f t="shared" si="34"/>
        <v>1550.69</v>
      </c>
      <c r="O22" s="175">
        <f t="shared" si="34"/>
        <v>1603.9</v>
      </c>
      <c r="P22" s="175">
        <f t="shared" si="34"/>
        <v>1649.3</v>
      </c>
      <c r="Q22" s="175">
        <f t="shared" si="34"/>
        <v>1668.1000000000001</v>
      </c>
      <c r="R22" s="175">
        <f t="shared" si="34"/>
        <v>1649.9</v>
      </c>
      <c r="S22" s="175">
        <f t="shared" si="34"/>
        <v>1791.15</v>
      </c>
      <c r="T22" s="175">
        <f t="shared" si="34"/>
        <v>1819.75</v>
      </c>
      <c r="U22" s="175">
        <f t="shared" si="34"/>
        <v>1841.35</v>
      </c>
      <c r="V22" s="175">
        <f t="shared" si="34"/>
        <v>1978.75</v>
      </c>
      <c r="W22" s="175">
        <f t="shared" si="34"/>
        <v>2047</v>
      </c>
      <c r="X22" s="175">
        <f t="shared" si="34"/>
        <v>2000.4</v>
      </c>
      <c r="Y22" s="175">
        <f t="shared" si="34"/>
        <v>2023.6999999999998</v>
      </c>
      <c r="Z22" s="175">
        <f t="shared" si="34"/>
        <v>2261.8000000000002</v>
      </c>
      <c r="AA22" s="175">
        <f t="shared" si="34"/>
        <v>2280</v>
      </c>
      <c r="AB22" s="175">
        <f t="shared" si="34"/>
        <v>2278.1999999999998</v>
      </c>
      <c r="AC22" s="175">
        <f t="shared" si="34"/>
        <v>2231</v>
      </c>
      <c r="AD22" s="175">
        <f t="shared" si="34"/>
        <v>2316</v>
      </c>
      <c r="AE22" s="175">
        <f t="shared" si="34"/>
        <v>2355</v>
      </c>
      <c r="AF22" s="175">
        <f t="shared" si="34"/>
        <v>2458</v>
      </c>
      <c r="AG22" s="175">
        <f t="shared" si="34"/>
        <v>2456</v>
      </c>
      <c r="AH22" s="175">
        <f t="shared" si="34"/>
        <v>2565</v>
      </c>
      <c r="AI22" s="175">
        <f t="shared" si="34"/>
        <v>3496</v>
      </c>
      <c r="AJ22" s="175">
        <f t="shared" si="34"/>
        <v>3564</v>
      </c>
      <c r="AK22" s="175">
        <f t="shared" si="34"/>
        <v>3623</v>
      </c>
      <c r="AL22" s="175">
        <f>SUM(AL23:AL24)</f>
        <v>3810</v>
      </c>
      <c r="AM22" s="175">
        <f t="shared" si="34"/>
        <v>4064</v>
      </c>
      <c r="AN22" s="175">
        <f t="shared" si="34"/>
        <v>4036</v>
      </c>
      <c r="AO22" s="175">
        <f t="shared" si="34"/>
        <v>4099</v>
      </c>
      <c r="AP22" s="175">
        <f t="shared" si="34"/>
        <v>3855</v>
      </c>
      <c r="AQ22" s="175">
        <f t="shared" si="34"/>
        <v>3711</v>
      </c>
      <c r="AR22" s="175">
        <f t="shared" si="34"/>
        <v>3854</v>
      </c>
      <c r="AS22" s="175">
        <f>SUM(AS23:AS24)</f>
        <v>3989</v>
      </c>
      <c r="AT22" s="175">
        <f t="shared" si="34"/>
        <v>4089</v>
      </c>
      <c r="AU22" s="175">
        <f t="shared" si="34"/>
        <v>3766</v>
      </c>
      <c r="AV22" s="175">
        <f t="shared" si="34"/>
        <v>0</v>
      </c>
      <c r="AW22" s="175">
        <f t="shared" si="34"/>
        <v>3567</v>
      </c>
      <c r="AX22" s="175">
        <f t="shared" si="34"/>
        <v>0</v>
      </c>
      <c r="AY22" s="188"/>
      <c r="AZ22" s="175">
        <f>BA22/1.01</f>
        <v>6835.1485148514848</v>
      </c>
      <c r="BA22" s="175">
        <v>6903.5</v>
      </c>
      <c r="BB22" s="175">
        <f t="shared" ref="BB22:BJ22" si="35">BB23+BB24</f>
        <v>6319.8899999999994</v>
      </c>
      <c r="BC22" s="175">
        <f t="shared" si="35"/>
        <v>6571.2000000000007</v>
      </c>
      <c r="BD22" s="175">
        <f t="shared" si="35"/>
        <v>7431</v>
      </c>
      <c r="BE22" s="175">
        <f t="shared" si="35"/>
        <v>8332.9</v>
      </c>
      <c r="BF22" s="175">
        <f t="shared" si="35"/>
        <v>9105.2000000000007</v>
      </c>
      <c r="BG22" s="175">
        <f t="shared" si="35"/>
        <v>9834</v>
      </c>
      <c r="BH22" s="175">
        <f t="shared" si="35"/>
        <v>13005</v>
      </c>
      <c r="BI22" s="175">
        <f t="shared" si="35"/>
        <v>16054</v>
      </c>
      <c r="BJ22" s="175">
        <f t="shared" si="35"/>
        <v>15643</v>
      </c>
    </row>
    <row r="23" spans="1:62" x14ac:dyDescent="0.2">
      <c r="A23" s="49"/>
      <c r="B23" s="52" t="s">
        <v>1000</v>
      </c>
      <c r="C23" s="176">
        <f>G23/1.02</f>
        <v>924.50980392156862</v>
      </c>
      <c r="D23" s="176">
        <f>H23/1.03</f>
        <v>875.72815533980577</v>
      </c>
      <c r="E23" s="176">
        <f>I23/1.02</f>
        <v>920.58823529411768</v>
      </c>
      <c r="F23" s="176">
        <f>J23/1.03</f>
        <v>947.57281553398059</v>
      </c>
      <c r="G23" s="176">
        <v>943</v>
      </c>
      <c r="H23" s="176">
        <v>902</v>
      </c>
      <c r="I23" s="176">
        <v>939</v>
      </c>
      <c r="J23" s="176">
        <v>976</v>
      </c>
      <c r="K23" s="176">
        <f t="shared" ref="K23:R24" si="36">K7+K10+K16+K4+K19</f>
        <v>896</v>
      </c>
      <c r="L23" s="176">
        <f t="shared" si="36"/>
        <v>807</v>
      </c>
      <c r="M23" s="176">
        <f t="shared" si="36"/>
        <v>895.5</v>
      </c>
      <c r="N23" s="176">
        <f t="shared" si="36"/>
        <v>850.19</v>
      </c>
      <c r="O23" s="176">
        <f t="shared" si="36"/>
        <v>899.7</v>
      </c>
      <c r="P23" s="176">
        <f t="shared" si="36"/>
        <v>907.4</v>
      </c>
      <c r="Q23" s="176">
        <f t="shared" si="36"/>
        <v>910.40000000000009</v>
      </c>
      <c r="R23" s="176">
        <f t="shared" si="36"/>
        <v>887.9</v>
      </c>
      <c r="S23" s="176">
        <f>S7+S10+S16+S4+S19+0.2</f>
        <v>999.80000000000007</v>
      </c>
      <c r="T23" s="176">
        <f>T7+T10+T16+T4+T19+0.2</f>
        <v>931.5</v>
      </c>
      <c r="U23" s="176">
        <f>U7+U10+U16+U4+U19+0.2</f>
        <v>984.59999999999991</v>
      </c>
      <c r="V23" s="176">
        <f t="shared" ref="V23:AC23" si="37">V7+V10+V16+V4+V19</f>
        <v>1052.5</v>
      </c>
      <c r="W23" s="176">
        <f t="shared" si="37"/>
        <v>1081</v>
      </c>
      <c r="X23" s="176">
        <f t="shared" si="37"/>
        <v>987</v>
      </c>
      <c r="Y23" s="176">
        <f t="shared" si="37"/>
        <v>1022.5999999999999</v>
      </c>
      <c r="Z23" s="176">
        <f t="shared" si="37"/>
        <v>1133.9000000000001</v>
      </c>
      <c r="AA23" s="176">
        <f t="shared" si="37"/>
        <v>1114</v>
      </c>
      <c r="AB23" s="176">
        <f t="shared" si="37"/>
        <v>1092</v>
      </c>
      <c r="AC23" s="176">
        <f t="shared" si="37"/>
        <v>1075.2</v>
      </c>
      <c r="AD23" s="176">
        <f t="shared" ref="AD23:AT23" si="38">AD7+AD10+AD16+AD4+AD19+AD13</f>
        <v>1125</v>
      </c>
      <c r="AE23" s="176">
        <f t="shared" si="38"/>
        <v>1124</v>
      </c>
      <c r="AF23" s="176">
        <f t="shared" si="38"/>
        <v>1169</v>
      </c>
      <c r="AG23" s="176">
        <f t="shared" si="38"/>
        <v>1138</v>
      </c>
      <c r="AH23" s="176">
        <f t="shared" si="38"/>
        <v>1182</v>
      </c>
      <c r="AI23" s="176">
        <f t="shared" si="38"/>
        <v>1629</v>
      </c>
      <c r="AJ23" s="176">
        <f t="shared" si="38"/>
        <v>1562</v>
      </c>
      <c r="AK23" s="176">
        <f t="shared" si="38"/>
        <v>1591</v>
      </c>
      <c r="AL23" s="176">
        <f t="shared" si="38"/>
        <v>1626</v>
      </c>
      <c r="AM23" s="176">
        <f t="shared" si="38"/>
        <v>1819</v>
      </c>
      <c r="AN23" s="176">
        <f t="shared" si="38"/>
        <v>1694</v>
      </c>
      <c r="AO23" s="176">
        <f t="shared" si="38"/>
        <v>1769</v>
      </c>
      <c r="AP23" s="176">
        <f t="shared" si="38"/>
        <v>1655</v>
      </c>
      <c r="AQ23" s="176">
        <f t="shared" si="38"/>
        <v>1726</v>
      </c>
      <c r="AR23" s="176">
        <f t="shared" si="38"/>
        <v>1708</v>
      </c>
      <c r="AS23" s="176">
        <f>AS7+AS10+AS16+AS4+AS19+AS13</f>
        <v>1691</v>
      </c>
      <c r="AT23" s="176">
        <f t="shared" si="38"/>
        <v>1741</v>
      </c>
      <c r="AU23" s="176">
        <f t="shared" ref="AU23" si="39">AU7+AU10+AU16+AU4+AU19+AU13</f>
        <v>1560</v>
      </c>
      <c r="AV23" s="176"/>
      <c r="AW23" s="176">
        <f>AW7+AW10+AW16+AW4+AW19+AW13</f>
        <v>1277</v>
      </c>
      <c r="AX23" s="176"/>
      <c r="AY23" s="189"/>
      <c r="AZ23" s="176">
        <f>BA23/1.02</f>
        <v>3686.2745098039213</v>
      </c>
      <c r="BA23" s="176">
        <v>3760</v>
      </c>
      <c r="BB23" s="176">
        <f>K23+L23+M23+N23</f>
        <v>3448.69</v>
      </c>
      <c r="BC23" s="176">
        <f>O23+P23+Q23+R23</f>
        <v>3605.4</v>
      </c>
      <c r="BD23" s="176">
        <f>S23+T23+U23+V23</f>
        <v>3968.4</v>
      </c>
      <c r="BE23" s="176">
        <f>W23+X23+Y23+Z23</f>
        <v>4224.5</v>
      </c>
      <c r="BF23" s="176">
        <f>AA23+AB23+AC23+AD23</f>
        <v>4406.2</v>
      </c>
      <c r="BG23" s="176">
        <f>AE23+AF23+AG23+AH23</f>
        <v>4613</v>
      </c>
      <c r="BH23" s="176">
        <f>BH7+BH10+BH16+BH4+BH19</f>
        <v>5619</v>
      </c>
      <c r="BI23" s="176">
        <f>BI7+BI10+BI16+BI4+BI19+BI13</f>
        <v>6937</v>
      </c>
      <c r="BJ23" s="176">
        <f>BJ7+BJ10+BJ16+BJ4+BJ19+BJ13</f>
        <v>6866</v>
      </c>
    </row>
    <row r="24" spans="1:62" x14ac:dyDescent="0.2">
      <c r="B24" s="52" t="s">
        <v>581</v>
      </c>
      <c r="C24" s="176">
        <f>G24/1.01</f>
        <v>800.99009900990097</v>
      </c>
      <c r="D24" s="176">
        <f>H24*1.01</f>
        <v>812.54499999999996</v>
      </c>
      <c r="E24" s="176">
        <f>I24</f>
        <v>783</v>
      </c>
      <c r="F24" s="176">
        <f>J24*1.06</f>
        <v>791.82</v>
      </c>
      <c r="G24" s="176">
        <v>809</v>
      </c>
      <c r="H24" s="176">
        <v>804.5</v>
      </c>
      <c r="I24" s="176">
        <v>783</v>
      </c>
      <c r="J24" s="176">
        <v>747</v>
      </c>
      <c r="K24" s="176">
        <f t="shared" si="36"/>
        <v>734.5</v>
      </c>
      <c r="L24" s="176">
        <f t="shared" si="36"/>
        <v>723</v>
      </c>
      <c r="M24" s="176">
        <f t="shared" si="36"/>
        <v>713.2</v>
      </c>
      <c r="N24" s="176">
        <f t="shared" si="36"/>
        <v>700.5</v>
      </c>
      <c r="O24" s="176">
        <f t="shared" si="36"/>
        <v>704.2</v>
      </c>
      <c r="P24" s="176">
        <f t="shared" si="36"/>
        <v>741.9</v>
      </c>
      <c r="Q24" s="176">
        <f t="shared" si="36"/>
        <v>757.7</v>
      </c>
      <c r="R24" s="176">
        <f t="shared" si="36"/>
        <v>762</v>
      </c>
      <c r="S24" s="176">
        <f>S8+S11+S17+S5+S20+0.25</f>
        <v>791.35</v>
      </c>
      <c r="T24" s="176">
        <f>T8+T11+T17+T5+T20+0.25</f>
        <v>888.25</v>
      </c>
      <c r="U24" s="176">
        <f>U8+U11+U17+U5+U20+0.25</f>
        <v>856.75</v>
      </c>
      <c r="V24" s="176">
        <f>V8+V11+V17+V5+V20+0.25</f>
        <v>926.25</v>
      </c>
      <c r="W24" s="176">
        <f t="shared" ref="W24:AC24" si="40">W8+W11+W17+W5+W20</f>
        <v>966</v>
      </c>
      <c r="X24" s="176">
        <f t="shared" si="40"/>
        <v>1013.4</v>
      </c>
      <c r="Y24" s="176">
        <f t="shared" si="40"/>
        <v>1001.1</v>
      </c>
      <c r="Z24" s="176">
        <f t="shared" si="40"/>
        <v>1127.9000000000001</v>
      </c>
      <c r="AA24" s="176">
        <f t="shared" si="40"/>
        <v>1166</v>
      </c>
      <c r="AB24" s="176">
        <f t="shared" si="40"/>
        <v>1186.2</v>
      </c>
      <c r="AC24" s="176">
        <f t="shared" si="40"/>
        <v>1155.8</v>
      </c>
      <c r="AD24" s="176">
        <f t="shared" ref="AD24:AT24" si="41">AD8+AD11+AD17+AD5+AD20+AD14</f>
        <v>1191</v>
      </c>
      <c r="AE24" s="176">
        <f t="shared" si="41"/>
        <v>1231</v>
      </c>
      <c r="AF24" s="176">
        <f t="shared" si="41"/>
        <v>1289</v>
      </c>
      <c r="AG24" s="176">
        <f t="shared" si="41"/>
        <v>1318</v>
      </c>
      <c r="AH24" s="176">
        <f t="shared" si="41"/>
        <v>1383</v>
      </c>
      <c r="AI24" s="176">
        <f t="shared" si="41"/>
        <v>1867</v>
      </c>
      <c r="AJ24" s="176">
        <f t="shared" si="41"/>
        <v>2002</v>
      </c>
      <c r="AK24" s="176">
        <f t="shared" si="41"/>
        <v>2032</v>
      </c>
      <c r="AL24" s="176">
        <f t="shared" si="41"/>
        <v>2184</v>
      </c>
      <c r="AM24" s="176">
        <f t="shared" si="41"/>
        <v>2245</v>
      </c>
      <c r="AN24" s="176">
        <f t="shared" si="41"/>
        <v>2342</v>
      </c>
      <c r="AO24" s="176">
        <f t="shared" si="41"/>
        <v>2330</v>
      </c>
      <c r="AP24" s="176">
        <f t="shared" si="41"/>
        <v>2200</v>
      </c>
      <c r="AQ24" s="176">
        <f t="shared" si="41"/>
        <v>1985</v>
      </c>
      <c r="AR24" s="176">
        <f t="shared" si="41"/>
        <v>2146</v>
      </c>
      <c r="AS24" s="176">
        <f t="shared" si="41"/>
        <v>2298</v>
      </c>
      <c r="AT24" s="176">
        <f t="shared" si="41"/>
        <v>2348</v>
      </c>
      <c r="AU24" s="176">
        <f t="shared" ref="AU24" si="42">AU8+AU11+AU17+AU5+AU20+AU14</f>
        <v>2206</v>
      </c>
      <c r="AV24" s="176"/>
      <c r="AW24" s="176">
        <f t="shared" ref="AW24" si="43">AW8+AW11+AW17+AW5+AW20+AW14</f>
        <v>2290</v>
      </c>
      <c r="AX24" s="176"/>
      <c r="AY24" s="176"/>
      <c r="AZ24" s="176">
        <f>BA24*1.02</f>
        <v>3206.37</v>
      </c>
      <c r="BA24" s="176">
        <v>3143.5</v>
      </c>
      <c r="BB24" s="176">
        <f>K24+L24+M24+N24</f>
        <v>2871.2</v>
      </c>
      <c r="BC24" s="176">
        <f>O24+P24+Q24+R24</f>
        <v>2965.8</v>
      </c>
      <c r="BD24" s="176">
        <f>S24+T24+U24+V24</f>
        <v>3462.6</v>
      </c>
      <c r="BE24" s="176">
        <f>W24+X24+Y24+Z24</f>
        <v>4108.3999999999996</v>
      </c>
      <c r="BF24" s="176">
        <f>AA24+AB24+AC24+AD24</f>
        <v>4699</v>
      </c>
      <c r="BG24" s="176">
        <f>AE24+AF24+AG24+AH24</f>
        <v>5221</v>
      </c>
      <c r="BH24" s="176">
        <f>BH8+BH11+BH17+BH5+BH20</f>
        <v>7386</v>
      </c>
      <c r="BI24" s="176">
        <f>BI8+BI11+BI17+BI5+BI20+BI14</f>
        <v>9117</v>
      </c>
      <c r="BJ24" s="176">
        <f>BJ8+BJ11+BJ17+BJ5+BJ20+BJ14</f>
        <v>8777</v>
      </c>
    </row>
    <row r="25" spans="1:62" s="96" customFormat="1" x14ac:dyDescent="0.2">
      <c r="C25" s="177"/>
      <c r="D25" s="177"/>
      <c r="E25" s="177"/>
      <c r="F25" s="177"/>
      <c r="G25" s="177"/>
      <c r="H25" s="177"/>
      <c r="I25" s="177"/>
      <c r="J25" s="177"/>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177"/>
      <c r="AY25" s="177"/>
      <c r="AZ25" s="177"/>
      <c r="BA25" s="177"/>
      <c r="BB25" s="177"/>
      <c r="BC25" s="177"/>
      <c r="BD25" s="177"/>
      <c r="BE25" s="177"/>
      <c r="BF25" s="177"/>
      <c r="BG25" s="177"/>
      <c r="BH25" s="177"/>
      <c r="BI25" s="177"/>
      <c r="BJ25" s="177"/>
    </row>
    <row r="26" spans="1:62" s="173" customFormat="1" x14ac:dyDescent="0.2">
      <c r="B26" s="173" t="s">
        <v>1016</v>
      </c>
      <c r="C26" s="191"/>
      <c r="D26" s="191"/>
      <c r="E26" s="191"/>
      <c r="F26" s="191"/>
      <c r="G26" s="178">
        <f t="shared" ref="G26:AU31" si="44">G6/C6-1</f>
        <v>8.4273500302030735E-2</v>
      </c>
      <c r="H26" s="178">
        <f t="shared" si="44"/>
        <v>8.0000000000000071E-2</v>
      </c>
      <c r="I26" s="178">
        <f t="shared" si="44"/>
        <v>4.0000000000000036E-2</v>
      </c>
      <c r="J26" s="178">
        <f t="shared" si="44"/>
        <v>6.0000000000000053E-2</v>
      </c>
      <c r="K26" s="178">
        <f t="shared" si="44"/>
        <v>-6.0913705583756306E-2</v>
      </c>
      <c r="L26" s="178">
        <f t="shared" si="44"/>
        <v>-9.2964824120603029E-2</v>
      </c>
      <c r="M26" s="178">
        <f t="shared" si="44"/>
        <v>-5.6267409470752039E-2</v>
      </c>
      <c r="N26" s="178">
        <f t="shared" si="44"/>
        <v>-9.0449438202247268E-2</v>
      </c>
      <c r="O26" s="178">
        <f t="shared" si="44"/>
        <v>7.8378378378378466E-2</v>
      </c>
      <c r="P26" s="178">
        <f t="shared" si="44"/>
        <v>0.10803324099723</v>
      </c>
      <c r="Q26" s="178">
        <f t="shared" si="44"/>
        <v>0.15525383707201867</v>
      </c>
      <c r="R26" s="178">
        <f t="shared" si="44"/>
        <v>0.18128474366893155</v>
      </c>
      <c r="S26" s="178">
        <f t="shared" si="44"/>
        <v>0.16541353383458657</v>
      </c>
      <c r="T26" s="178">
        <f t="shared" si="44"/>
        <v>0.12000000000000011</v>
      </c>
      <c r="U26" s="178">
        <f t="shared" si="44"/>
        <v>7.5625958099131418E-2</v>
      </c>
      <c r="V26" s="178">
        <f t="shared" si="44"/>
        <v>0.20915032679738554</v>
      </c>
      <c r="W26" s="178">
        <f t="shared" si="44"/>
        <v>0.20924731182795697</v>
      </c>
      <c r="X26" s="178">
        <f t="shared" si="44"/>
        <v>0.13616071428571419</v>
      </c>
      <c r="Y26" s="178">
        <f t="shared" si="44"/>
        <v>0.20902612826603328</v>
      </c>
      <c r="Z26" s="178">
        <f t="shared" si="44"/>
        <v>0.21081081081081088</v>
      </c>
      <c r="AA26" s="178">
        <f t="shared" si="44"/>
        <v>0.10261426284901298</v>
      </c>
      <c r="AB26" s="178">
        <f t="shared" si="44"/>
        <v>0.18271119842829076</v>
      </c>
      <c r="AC26" s="178">
        <f t="shared" si="44"/>
        <v>0.14341846758349708</v>
      </c>
      <c r="AD26" s="178">
        <f t="shared" si="44"/>
        <v>6.4285714285714279E-2</v>
      </c>
      <c r="AE26" s="178">
        <f t="shared" si="44"/>
        <v>6.290322580645169E-2</v>
      </c>
      <c r="AF26" s="178">
        <f t="shared" si="44"/>
        <v>0.10631229235880402</v>
      </c>
      <c r="AG26" s="178">
        <f t="shared" si="44"/>
        <v>9.106529209621983E-2</v>
      </c>
      <c r="AH26" s="178">
        <f t="shared" si="44"/>
        <v>0.14932885906040272</v>
      </c>
      <c r="AI26" s="178">
        <f t="shared" si="44"/>
        <v>0.15933232169954481</v>
      </c>
      <c r="AJ26" s="178">
        <f t="shared" si="44"/>
        <v>0.13663663663663672</v>
      </c>
      <c r="AK26" s="178">
        <f t="shared" si="44"/>
        <v>0.16062992125984255</v>
      </c>
      <c r="AL26" s="178">
        <f t="shared" si="44"/>
        <v>0.15766423357664228</v>
      </c>
      <c r="AM26" s="178">
        <f t="shared" si="44"/>
        <v>9.9476439790575855E-2</v>
      </c>
      <c r="AN26" s="178">
        <f t="shared" si="44"/>
        <v>0.10832232496697491</v>
      </c>
      <c r="AO26" s="178">
        <f t="shared" si="44"/>
        <v>0.16417910447761197</v>
      </c>
      <c r="AP26" s="178">
        <f t="shared" si="44"/>
        <v>6.4312736443884022E-2</v>
      </c>
      <c r="AQ26" s="178">
        <f t="shared" si="44"/>
        <v>2.3809523809523725E-3</v>
      </c>
      <c r="AR26" s="178">
        <f t="shared" si="44"/>
        <v>-7.151370679380209E-3</v>
      </c>
      <c r="AS26" s="178">
        <f t="shared" si="44"/>
        <v>-1.8648018648018683E-2</v>
      </c>
      <c r="AT26" s="178">
        <f t="shared" si="44"/>
        <v>-2.3696682464454666E-3</v>
      </c>
      <c r="AU26" s="178">
        <f t="shared" si="44"/>
        <v>9.2636579572446642E-2</v>
      </c>
      <c r="AV26" s="178"/>
      <c r="AW26" s="178"/>
      <c r="AX26" s="178"/>
      <c r="AY26" s="191"/>
      <c r="AZ26" s="191"/>
      <c r="BA26" s="192">
        <f t="shared" ref="BA26:BJ31" si="45">BA6/AZ6-1</f>
        <v>6.2650984481100735E-2</v>
      </c>
      <c r="BB26" s="192">
        <f t="shared" si="45"/>
        <v>-7.5248838752488445E-2</v>
      </c>
      <c r="BC26" s="192">
        <f t="shared" si="45"/>
        <v>0.12865958668197486</v>
      </c>
      <c r="BD26" s="192">
        <f t="shared" si="45"/>
        <v>0.14215779769851866</v>
      </c>
      <c r="BE26" s="192">
        <f t="shared" si="45"/>
        <v>0.19137211244085739</v>
      </c>
      <c r="BF26" s="192">
        <f t="shared" si="45"/>
        <v>0.12133813016866779</v>
      </c>
      <c r="BG26" s="192">
        <f t="shared" si="45"/>
        <v>0.1020833333333333</v>
      </c>
      <c r="BH26" s="192">
        <f t="shared" si="45"/>
        <v>0.15349716446124773</v>
      </c>
      <c r="BI26" s="192">
        <f t="shared" si="45"/>
        <v>0.10816125860373638</v>
      </c>
      <c r="BJ26" s="192">
        <f t="shared" si="45"/>
        <v>-6.5069506063294424E-3</v>
      </c>
    </row>
    <row r="27" spans="1:62" s="53" customFormat="1" x14ac:dyDescent="0.2">
      <c r="B27" s="53" t="s">
        <v>1017</v>
      </c>
      <c r="C27" s="193"/>
      <c r="D27" s="193"/>
      <c r="E27" s="193"/>
      <c r="F27" s="193"/>
      <c r="G27" s="179">
        <f t="shared" si="44"/>
        <v>0.14999999999999991</v>
      </c>
      <c r="H27" s="179">
        <f t="shared" si="44"/>
        <v>0.15999999999999992</v>
      </c>
      <c r="I27" s="179">
        <f t="shared" si="44"/>
        <v>4.0000000000000036E-2</v>
      </c>
      <c r="J27" s="179">
        <f t="shared" si="44"/>
        <v>0.15999999999999992</v>
      </c>
      <c r="K27" s="179">
        <f t="shared" si="44"/>
        <v>2.6455026455026509E-2</v>
      </c>
      <c r="L27" s="179">
        <f t="shared" si="44"/>
        <v>-6.4999999999999947E-2</v>
      </c>
      <c r="M27" s="179">
        <f t="shared" si="44"/>
        <v>-3.4090909090909061E-2</v>
      </c>
      <c r="N27" s="179">
        <f t="shared" si="44"/>
        <v>-0.1597701149425288</v>
      </c>
      <c r="O27" s="179">
        <f t="shared" si="44"/>
        <v>8.7628865979381354E-2</v>
      </c>
      <c r="P27" s="179">
        <f t="shared" si="44"/>
        <v>0.10160427807486627</v>
      </c>
      <c r="Q27" s="179">
        <f t="shared" si="44"/>
        <v>0.12588235294117656</v>
      </c>
      <c r="R27" s="179">
        <f t="shared" si="44"/>
        <v>0.16279069767441867</v>
      </c>
      <c r="S27" s="179">
        <f t="shared" si="44"/>
        <v>0.12796208530805697</v>
      </c>
      <c r="T27" s="179">
        <f t="shared" si="44"/>
        <v>0</v>
      </c>
      <c r="U27" s="179">
        <f t="shared" si="44"/>
        <v>3.4482758620689724E-2</v>
      </c>
      <c r="V27" s="179">
        <f t="shared" si="44"/>
        <v>0.17352941176470593</v>
      </c>
      <c r="W27" s="179">
        <f t="shared" si="44"/>
        <v>0.12941176470588234</v>
      </c>
      <c r="X27" s="179">
        <f t="shared" si="44"/>
        <v>0.12135922330097082</v>
      </c>
      <c r="Y27" s="179">
        <f t="shared" si="44"/>
        <v>0.20707070707070696</v>
      </c>
      <c r="Z27" s="179">
        <f t="shared" si="44"/>
        <v>0.19298245614035081</v>
      </c>
      <c r="AA27" s="179">
        <f t="shared" si="44"/>
        <v>5.2827380952380931E-2</v>
      </c>
      <c r="AB27" s="179">
        <f t="shared" si="44"/>
        <v>0.16017316017316019</v>
      </c>
      <c r="AC27" s="179">
        <f t="shared" si="44"/>
        <v>0.13389121338912124</v>
      </c>
      <c r="AD27" s="179">
        <f t="shared" si="44"/>
        <v>7.5630252100840289E-2</v>
      </c>
      <c r="AE27" s="179">
        <f t="shared" si="44"/>
        <v>0.18021201413427557</v>
      </c>
      <c r="AF27" s="179">
        <f t="shared" si="44"/>
        <v>0.11940298507462677</v>
      </c>
      <c r="AG27" s="179">
        <f t="shared" si="44"/>
        <v>-2.2140221402214055E-2</v>
      </c>
      <c r="AH27" s="179">
        <f t="shared" si="44"/>
        <v>9.765625E-2</v>
      </c>
      <c r="AI27" s="179">
        <f t="shared" si="44"/>
        <v>6.8862275449101729E-2</v>
      </c>
      <c r="AJ27" s="179">
        <f t="shared" si="44"/>
        <v>0.12666666666666671</v>
      </c>
      <c r="AK27" s="179">
        <f t="shared" si="44"/>
        <v>0.17358490566037732</v>
      </c>
      <c r="AL27" s="179">
        <f t="shared" si="44"/>
        <v>0.14946619217081847</v>
      </c>
      <c r="AM27" s="179">
        <f t="shared" si="44"/>
        <v>7.0028011204481766E-2</v>
      </c>
      <c r="AN27" s="179">
        <f t="shared" si="44"/>
        <v>0.12130177514792906</v>
      </c>
      <c r="AO27" s="179">
        <f t="shared" si="44"/>
        <v>0.15112540192926049</v>
      </c>
      <c r="AP27" s="179">
        <f t="shared" si="44"/>
        <v>6.1919504643962897E-2</v>
      </c>
      <c r="AQ27" s="179">
        <f t="shared" si="44"/>
        <v>0.10732984293193715</v>
      </c>
      <c r="AR27" s="179">
        <f t="shared" si="44"/>
        <v>8.4432717678100344E-2</v>
      </c>
      <c r="AS27" s="179">
        <f t="shared" si="44"/>
        <v>3.3519553072625774E-2</v>
      </c>
      <c r="AT27" s="179">
        <f t="shared" si="44"/>
        <v>7.871720116618075E-2</v>
      </c>
      <c r="AU27" s="179">
        <f t="shared" si="44"/>
        <v>6.8557919621749397E-2</v>
      </c>
      <c r="AV27" s="179"/>
      <c r="AW27" s="179"/>
      <c r="AX27" s="179"/>
      <c r="AY27" s="193"/>
      <c r="AZ27" s="193"/>
      <c r="BA27" s="194">
        <f t="shared" si="45"/>
        <v>0.12653746147665923</v>
      </c>
      <c r="BB27" s="194">
        <f t="shared" si="45"/>
        <v>-5.6562922868741428E-2</v>
      </c>
      <c r="BC27" s="194">
        <f t="shared" si="45"/>
        <v>0.11646586345381515</v>
      </c>
      <c r="BD27" s="194">
        <f t="shared" si="45"/>
        <v>8.1063720452209775E-2</v>
      </c>
      <c r="BE27" s="194">
        <f t="shared" si="45"/>
        <v>0.16078431372549007</v>
      </c>
      <c r="BF27" s="194">
        <f t="shared" si="45"/>
        <v>0.10360360360360366</v>
      </c>
      <c r="BG27" s="194">
        <f t="shared" si="45"/>
        <v>9.4619666048237461E-2</v>
      </c>
      <c r="BH27" s="194">
        <f t="shared" si="45"/>
        <v>0.12627118644067803</v>
      </c>
      <c r="BI27" s="194">
        <f t="shared" si="45"/>
        <v>0.10007524454477057</v>
      </c>
      <c r="BJ27" s="194">
        <f t="shared" si="45"/>
        <v>7.6607387140902983E-2</v>
      </c>
    </row>
    <row r="28" spans="1:62" s="53" customFormat="1" x14ac:dyDescent="0.2">
      <c r="B28" s="53" t="s">
        <v>1018</v>
      </c>
      <c r="C28" s="193"/>
      <c r="D28" s="193"/>
      <c r="E28" s="193"/>
      <c r="F28" s="193"/>
      <c r="G28" s="179">
        <f t="shared" si="44"/>
        <v>3.0000000000000027E-2</v>
      </c>
      <c r="H28" s="179">
        <f t="shared" si="44"/>
        <v>0</v>
      </c>
      <c r="I28" s="179">
        <f t="shared" si="44"/>
        <v>3.0000000000000027E-2</v>
      </c>
      <c r="J28" s="179">
        <f t="shared" si="44"/>
        <v>-2.9126213592232997E-2</v>
      </c>
      <c r="K28" s="179">
        <f t="shared" si="44"/>
        <v>-0.14146341463414636</v>
      </c>
      <c r="L28" s="179">
        <f t="shared" si="44"/>
        <v>-0.12121212121212122</v>
      </c>
      <c r="M28" s="179">
        <f t="shared" si="44"/>
        <v>-7.7595628415300433E-2</v>
      </c>
      <c r="N28" s="179">
        <f t="shared" si="44"/>
        <v>-2.4175824175824201E-2</v>
      </c>
      <c r="O28" s="179">
        <f t="shared" si="44"/>
        <v>6.8181818181818121E-2</v>
      </c>
      <c r="P28" s="179">
        <f t="shared" si="44"/>
        <v>0.11494252873563227</v>
      </c>
      <c r="Q28" s="179">
        <f t="shared" si="44"/>
        <v>0.18483412322274884</v>
      </c>
      <c r="R28" s="179">
        <f t="shared" si="44"/>
        <v>0.19650900900900914</v>
      </c>
      <c r="S28" s="179">
        <f t="shared" si="44"/>
        <v>0.20744680851063824</v>
      </c>
      <c r="T28" s="179">
        <f t="shared" si="44"/>
        <v>0.24742268041237114</v>
      </c>
      <c r="U28" s="179">
        <f t="shared" si="44"/>
        <v>0.11499999999999999</v>
      </c>
      <c r="V28" s="179">
        <f t="shared" si="44"/>
        <v>0.23764705882352932</v>
      </c>
      <c r="W28" s="179">
        <f t="shared" si="44"/>
        <v>0.29295154185022021</v>
      </c>
      <c r="X28" s="179">
        <f t="shared" si="44"/>
        <v>0.14876033057851235</v>
      </c>
      <c r="Y28" s="179">
        <f t="shared" si="44"/>
        <v>0.21076233183856496</v>
      </c>
      <c r="Z28" s="179">
        <f t="shared" si="44"/>
        <v>0.2243346007604563</v>
      </c>
      <c r="AA28" s="179">
        <f t="shared" si="44"/>
        <v>0.14821124361158433</v>
      </c>
      <c r="AB28" s="179">
        <f t="shared" si="44"/>
        <v>0.20143884892086339</v>
      </c>
      <c r="AC28" s="179">
        <f t="shared" si="44"/>
        <v>0.1518518518518519</v>
      </c>
      <c r="AD28" s="179">
        <f t="shared" si="44"/>
        <v>5.5900621118012417E-2</v>
      </c>
      <c r="AE28" s="179">
        <f t="shared" si="44"/>
        <v>-3.5608308605341255E-2</v>
      </c>
      <c r="AF28" s="179">
        <f t="shared" si="44"/>
        <v>9.5808383233533023E-2</v>
      </c>
      <c r="AG28" s="179">
        <f t="shared" si="44"/>
        <v>0.18971061093247599</v>
      </c>
      <c r="AH28" s="179">
        <f t="shared" si="44"/>
        <v>0.18823529411764706</v>
      </c>
      <c r="AI28" s="179">
        <f t="shared" si="44"/>
        <v>0.25230769230769234</v>
      </c>
      <c r="AJ28" s="179">
        <f t="shared" si="44"/>
        <v>0.14480874316939896</v>
      </c>
      <c r="AK28" s="179">
        <f t="shared" si="44"/>
        <v>0.15135135135135136</v>
      </c>
      <c r="AL28" s="179">
        <f t="shared" si="44"/>
        <v>0.16336633663366329</v>
      </c>
      <c r="AM28" s="179">
        <f t="shared" si="44"/>
        <v>0.1253071253071254</v>
      </c>
      <c r="AN28" s="179">
        <f t="shared" si="44"/>
        <v>9.7852028639618061E-2</v>
      </c>
      <c r="AO28" s="179">
        <f t="shared" si="44"/>
        <v>0.17370892018779349</v>
      </c>
      <c r="AP28" s="179">
        <f t="shared" si="44"/>
        <v>6.5957446808510678E-2</v>
      </c>
      <c r="AQ28" s="179">
        <f t="shared" si="44"/>
        <v>-8.515283842794763E-2</v>
      </c>
      <c r="AR28" s="179">
        <f t="shared" si="44"/>
        <v>-8.260869565217388E-2</v>
      </c>
      <c r="AS28" s="179">
        <f t="shared" si="44"/>
        <v>-5.600000000000005E-2</v>
      </c>
      <c r="AT28" s="179">
        <f t="shared" si="44"/>
        <v>-5.7884231536926123E-2</v>
      </c>
      <c r="AU28" s="179">
        <f t="shared" si="44"/>
        <v>0.11694510739856812</v>
      </c>
      <c r="AV28" s="179"/>
      <c r="AW28" s="179"/>
      <c r="AX28" s="179"/>
      <c r="AY28" s="193"/>
      <c r="AZ28" s="193"/>
      <c r="BA28" s="194">
        <f t="shared" si="45"/>
        <v>7.663716692410949E-3</v>
      </c>
      <c r="BB28" s="194">
        <f t="shared" si="45"/>
        <v>-9.3229166666666696E-2</v>
      </c>
      <c r="BC28" s="194">
        <f t="shared" si="45"/>
        <v>0.14086731763354399</v>
      </c>
      <c r="BD28" s="194">
        <f t="shared" si="45"/>
        <v>0.20201384518565146</v>
      </c>
      <c r="BE28" s="194">
        <f t="shared" si="45"/>
        <v>0.21832460732984282</v>
      </c>
      <c r="BF28" s="194">
        <f t="shared" si="45"/>
        <v>0.13622690159003015</v>
      </c>
      <c r="BG28" s="194">
        <f t="shared" si="45"/>
        <v>0.10816944024205744</v>
      </c>
      <c r="BH28" s="194">
        <f t="shared" si="45"/>
        <v>0.17542662116040963</v>
      </c>
      <c r="BI28" s="194">
        <f t="shared" si="45"/>
        <v>0.11440185830429739</v>
      </c>
      <c r="BJ28" s="194">
        <f t="shared" si="45"/>
        <v>-6.9828035435122504E-2</v>
      </c>
    </row>
    <row r="29" spans="1:62" s="53" customFormat="1" x14ac:dyDescent="0.2">
      <c r="B29" s="173" t="s">
        <v>1013</v>
      </c>
      <c r="C29" s="193"/>
      <c r="D29" s="193"/>
      <c r="E29" s="193"/>
      <c r="F29" s="193"/>
      <c r="G29" s="178">
        <f t="shared" si="44"/>
        <v>2.7008413929394903E-2</v>
      </c>
      <c r="H29" s="178">
        <f t="shared" si="44"/>
        <v>1.1897064528643586E-2</v>
      </c>
      <c r="I29" s="178">
        <f t="shared" si="44"/>
        <v>2.9806994630677819E-2</v>
      </c>
      <c r="J29" s="178">
        <f t="shared" si="44"/>
        <v>-1.0365166816507121E-2</v>
      </c>
      <c r="K29" s="178">
        <f t="shared" si="44"/>
        <v>-0.10679611650485432</v>
      </c>
      <c r="L29" s="178">
        <f t="shared" si="44"/>
        <v>-6.7092651757188482E-2</v>
      </c>
      <c r="M29" s="178">
        <f t="shared" si="44"/>
        <v>-7.6433121019108263E-2</v>
      </c>
      <c r="N29" s="178">
        <f t="shared" si="44"/>
        <v>-8.0536912751677847E-2</v>
      </c>
      <c r="O29" s="178">
        <f t="shared" si="44"/>
        <v>1.9202898550724656E-2</v>
      </c>
      <c r="P29" s="178">
        <f t="shared" si="44"/>
        <v>1.0273972602739656E-2</v>
      </c>
      <c r="Q29" s="178">
        <f t="shared" si="44"/>
        <v>3.5517241379310338E-2</v>
      </c>
      <c r="R29" s="178">
        <f t="shared" si="44"/>
        <v>3.649635036496357E-2</v>
      </c>
      <c r="S29" s="178">
        <f t="shared" si="44"/>
        <v>8.1407749733380719E-2</v>
      </c>
      <c r="T29" s="178">
        <f t="shared" si="44"/>
        <v>0.12033898305084745</v>
      </c>
      <c r="U29" s="178">
        <f t="shared" si="44"/>
        <v>0.12087912087912089</v>
      </c>
      <c r="V29" s="178">
        <f t="shared" si="44"/>
        <v>0.1901408450704225</v>
      </c>
      <c r="W29" s="178">
        <f t="shared" si="44"/>
        <v>0.12754766600920453</v>
      </c>
      <c r="X29" s="178">
        <f t="shared" si="44"/>
        <v>8.9258698940998471E-2</v>
      </c>
      <c r="Y29" s="178">
        <f t="shared" si="44"/>
        <v>7.3677956030897107E-2</v>
      </c>
      <c r="Z29" s="178">
        <f t="shared" si="44"/>
        <v>0.13165680473372787</v>
      </c>
      <c r="AA29" s="178">
        <f t="shared" si="44"/>
        <v>0.10524781341107881</v>
      </c>
      <c r="AB29" s="178">
        <f t="shared" si="44"/>
        <v>9.1666666666666563E-2</v>
      </c>
      <c r="AC29" s="178">
        <f t="shared" si="44"/>
        <v>9.4631986718317851E-2</v>
      </c>
      <c r="AD29" s="178">
        <f t="shared" si="44"/>
        <v>2.7450980392156765E-2</v>
      </c>
      <c r="AE29" s="178">
        <f t="shared" si="44"/>
        <v>7.095753099446056E-2</v>
      </c>
      <c r="AF29" s="178">
        <f t="shared" si="44"/>
        <v>6.8702290076335881E-2</v>
      </c>
      <c r="AG29" s="178">
        <f t="shared" si="44"/>
        <v>0.14004044489383216</v>
      </c>
      <c r="AH29" s="178">
        <f t="shared" si="44"/>
        <v>0.17302798982188294</v>
      </c>
      <c r="AI29" s="178">
        <f t="shared" si="44"/>
        <v>0.10098522167487678</v>
      </c>
      <c r="AJ29" s="178">
        <f t="shared" si="44"/>
        <v>0.15952380952380962</v>
      </c>
      <c r="AK29" s="178">
        <f t="shared" si="44"/>
        <v>0.13303769401330379</v>
      </c>
      <c r="AL29" s="178">
        <f t="shared" si="44"/>
        <v>0.16485900216919736</v>
      </c>
      <c r="AM29" s="178">
        <f t="shared" si="44"/>
        <v>0.19239373601789711</v>
      </c>
      <c r="AN29" s="178">
        <f t="shared" si="44"/>
        <v>0.17453798767967155</v>
      </c>
      <c r="AO29" s="178">
        <f t="shared" si="44"/>
        <v>0.14677103718199613</v>
      </c>
      <c r="AP29" s="178">
        <f t="shared" si="44"/>
        <v>-2.6070763500931071E-2</v>
      </c>
      <c r="AQ29" s="178">
        <f t="shared" si="44"/>
        <v>-8.2551594746716694E-2</v>
      </c>
      <c r="AR29" s="178">
        <f t="shared" si="44"/>
        <v>-0.11188811188811187</v>
      </c>
      <c r="AS29" s="178">
        <f t="shared" si="44"/>
        <v>-7.1672354948805417E-2</v>
      </c>
      <c r="AT29" s="178">
        <f t="shared" si="44"/>
        <v>4.0152963671128195E-2</v>
      </c>
      <c r="AU29" s="178">
        <f t="shared" si="44"/>
        <v>8.1799591002045036E-2</v>
      </c>
      <c r="AV29" s="178"/>
      <c r="AW29" s="178"/>
      <c r="AX29" s="178"/>
      <c r="AY29" s="193"/>
      <c r="AZ29" s="193"/>
      <c r="BA29" s="192">
        <f t="shared" si="45"/>
        <v>1.4613601830945067E-2</v>
      </c>
      <c r="BB29" s="192">
        <f t="shared" si="45"/>
        <v>-8.2658022690437649E-2</v>
      </c>
      <c r="BC29" s="192">
        <f t="shared" si="45"/>
        <v>2.5265017667844392E-2</v>
      </c>
      <c r="BD29" s="192">
        <f t="shared" si="45"/>
        <v>0.12812338445631566</v>
      </c>
      <c r="BE29" s="192">
        <f t="shared" si="45"/>
        <v>0.10509432521194539</v>
      </c>
      <c r="BF29" s="192">
        <f t="shared" si="45"/>
        <v>7.8650908839588141E-2</v>
      </c>
      <c r="BG29" s="192">
        <f t="shared" si="45"/>
        <v>0.11360287050682394</v>
      </c>
      <c r="BH29" s="192">
        <f t="shared" si="45"/>
        <v>0.14039125431530497</v>
      </c>
      <c r="BI29" s="192">
        <f t="shared" si="45"/>
        <v>0.1170534813319879</v>
      </c>
      <c r="BJ29" s="192">
        <f t="shared" si="45"/>
        <v>-5.8265582655826598E-2</v>
      </c>
    </row>
    <row r="30" spans="1:62" s="53" customFormat="1" x14ac:dyDescent="0.2">
      <c r="B30" s="53" t="s">
        <v>1017</v>
      </c>
      <c r="C30" s="193"/>
      <c r="D30" s="193"/>
      <c r="E30" s="193"/>
      <c r="F30" s="193"/>
      <c r="G30" s="179">
        <f t="shared" si="44"/>
        <v>0.1100000000000001</v>
      </c>
      <c r="H30" s="179">
        <f t="shared" si="44"/>
        <v>8.0000000000000071E-2</v>
      </c>
      <c r="I30" s="179">
        <f t="shared" si="44"/>
        <v>0.12999999999999989</v>
      </c>
      <c r="J30" s="179">
        <f t="shared" si="44"/>
        <v>0.1100000000000001</v>
      </c>
      <c r="K30" s="179">
        <f t="shared" si="44"/>
        <v>-0.12195121951219512</v>
      </c>
      <c r="L30" s="179">
        <f t="shared" si="44"/>
        <v>-7.407407407407407E-2</v>
      </c>
      <c r="M30" s="179">
        <f t="shared" si="44"/>
        <v>1.2658227848101333E-2</v>
      </c>
      <c r="N30" s="179">
        <f t="shared" si="44"/>
        <v>-8.8607594936708889E-2</v>
      </c>
      <c r="O30" s="179">
        <f t="shared" si="44"/>
        <v>8.0555555555555491E-2</v>
      </c>
      <c r="P30" s="179">
        <f t="shared" si="44"/>
        <v>1.3333333333333419E-2</v>
      </c>
      <c r="Q30" s="179">
        <f t="shared" si="44"/>
        <v>-2.750000000000008E-2</v>
      </c>
      <c r="R30" s="179">
        <f t="shared" si="44"/>
        <v>-0.11805555555555558</v>
      </c>
      <c r="S30" s="179">
        <f t="shared" si="44"/>
        <v>5.1413881748072487E-3</v>
      </c>
      <c r="T30" s="179">
        <f t="shared" si="44"/>
        <v>1.7105263157894735E-2</v>
      </c>
      <c r="U30" s="179">
        <f t="shared" si="44"/>
        <v>5.9125964010282805E-2</v>
      </c>
      <c r="V30" s="179">
        <f t="shared" si="44"/>
        <v>0.22834645669291342</v>
      </c>
      <c r="W30" s="179">
        <f t="shared" si="44"/>
        <v>0.15089514066496168</v>
      </c>
      <c r="X30" s="179">
        <f t="shared" si="44"/>
        <v>0.15135834411384219</v>
      </c>
      <c r="Y30" s="179">
        <f t="shared" si="44"/>
        <v>7.8883495145630977E-2</v>
      </c>
      <c r="Z30" s="179">
        <f t="shared" si="44"/>
        <v>0.18076923076923079</v>
      </c>
      <c r="AA30" s="179">
        <f t="shared" si="44"/>
        <v>5.4444444444444517E-2</v>
      </c>
      <c r="AB30" s="179">
        <f t="shared" si="44"/>
        <v>0.101123595505618</v>
      </c>
      <c r="AC30" s="179">
        <f t="shared" si="44"/>
        <v>3.2620922384701823E-2</v>
      </c>
      <c r="AD30" s="179">
        <f t="shared" si="44"/>
        <v>2.0629750271444092E-2</v>
      </c>
      <c r="AE30" s="179">
        <f t="shared" si="44"/>
        <v>5.3740779768177038E-2</v>
      </c>
      <c r="AF30" s="179">
        <f t="shared" si="44"/>
        <v>6.1224489795918435E-2</v>
      </c>
      <c r="AG30" s="179">
        <f t="shared" si="44"/>
        <v>0.11111111111111116</v>
      </c>
      <c r="AH30" s="179">
        <f t="shared" si="44"/>
        <v>8.5106382978723305E-2</v>
      </c>
      <c r="AI30" s="179">
        <f t="shared" si="44"/>
        <v>9.000000000000008E-2</v>
      </c>
      <c r="AJ30" s="179">
        <f t="shared" si="44"/>
        <v>1.9230769230769162E-2</v>
      </c>
      <c r="AK30" s="179">
        <f t="shared" si="44"/>
        <v>0.10784313725490202</v>
      </c>
      <c r="AL30" s="179">
        <f t="shared" si="44"/>
        <v>0.13725490196078427</v>
      </c>
      <c r="AM30" s="179">
        <f t="shared" si="44"/>
        <v>5.504587155963292E-2</v>
      </c>
      <c r="AN30" s="179">
        <f t="shared" si="44"/>
        <v>4.7169811320754818E-2</v>
      </c>
      <c r="AO30" s="179">
        <f t="shared" si="44"/>
        <v>8.8495575221239076E-3</v>
      </c>
      <c r="AP30" s="179">
        <f t="shared" si="44"/>
        <v>-6.0344827586206851E-2</v>
      </c>
      <c r="AQ30" s="179">
        <f t="shared" si="44"/>
        <v>-0.11304347826086958</v>
      </c>
      <c r="AR30" s="179">
        <f t="shared" si="44"/>
        <v>-6.3063063063063085E-2</v>
      </c>
      <c r="AS30" s="179">
        <f t="shared" si="44"/>
        <v>-0.10526315789473684</v>
      </c>
      <c r="AT30" s="179">
        <f t="shared" si="44"/>
        <v>-6.422018348623848E-2</v>
      </c>
      <c r="AU30" s="179">
        <f t="shared" si="44"/>
        <v>9.8039215686274161E-3</v>
      </c>
      <c r="AV30" s="179"/>
      <c r="AW30" s="179"/>
      <c r="AX30" s="179"/>
      <c r="AY30" s="193"/>
      <c r="AZ30" s="193"/>
      <c r="BA30" s="194">
        <f t="shared" si="45"/>
        <v>0.10706242223856699</v>
      </c>
      <c r="BB30" s="194">
        <f t="shared" si="45"/>
        <v>-6.8535825545171347E-2</v>
      </c>
      <c r="BC30" s="194">
        <f t="shared" si="45"/>
        <v>-1.304347826086949E-2</v>
      </c>
      <c r="BD30" s="194">
        <f t="shared" si="45"/>
        <v>7.0484581497797238E-2</v>
      </c>
      <c r="BE30" s="194">
        <f t="shared" si="45"/>
        <v>0.13960113960113962</v>
      </c>
      <c r="BF30" s="194">
        <f t="shared" si="45"/>
        <v>5.1944444444444349E-2</v>
      </c>
      <c r="BG30" s="194">
        <f t="shared" si="45"/>
        <v>7.7369949828360207E-2</v>
      </c>
      <c r="BH30" s="194">
        <f t="shared" si="45"/>
        <v>8.8235294117646967E-2</v>
      </c>
      <c r="BI30" s="194">
        <f t="shared" si="45"/>
        <v>1.1261261261261257E-2</v>
      </c>
      <c r="BJ30" s="194">
        <f t="shared" si="45"/>
        <v>-8.6859688195991103E-2</v>
      </c>
    </row>
    <row r="31" spans="1:62" s="53" customFormat="1" x14ac:dyDescent="0.2">
      <c r="B31" s="53" t="s">
        <v>1018</v>
      </c>
      <c r="C31" s="193"/>
      <c r="D31" s="193"/>
      <c r="E31" s="193"/>
      <c r="F31" s="193"/>
      <c r="G31" s="179">
        <f t="shared" si="44"/>
        <v>0</v>
      </c>
      <c r="H31" s="179">
        <f t="shared" si="44"/>
        <v>-9.9009900990099098E-3</v>
      </c>
      <c r="I31" s="179">
        <f t="shared" si="44"/>
        <v>0</v>
      </c>
      <c r="J31" s="179">
        <f t="shared" si="44"/>
        <v>-4.7619047619047672E-2</v>
      </c>
      <c r="K31" s="179">
        <f t="shared" si="44"/>
        <v>-0.10132158590308371</v>
      </c>
      <c r="L31" s="179">
        <f t="shared" si="44"/>
        <v>-6.4655172413793149E-2</v>
      </c>
      <c r="M31" s="179">
        <f t="shared" si="44"/>
        <v>-0.1063829787234043</v>
      </c>
      <c r="N31" s="179">
        <f t="shared" si="44"/>
        <v>-7.7625570776255759E-2</v>
      </c>
      <c r="O31" s="179">
        <f t="shared" si="44"/>
        <v>-2.450980392156854E-3</v>
      </c>
      <c r="P31" s="179">
        <f t="shared" si="44"/>
        <v>9.2165898617511122E-3</v>
      </c>
      <c r="Q31" s="179">
        <f t="shared" si="44"/>
        <v>5.9523809523809534E-2</v>
      </c>
      <c r="R31" s="179">
        <f t="shared" si="44"/>
        <v>9.1584158415841666E-2</v>
      </c>
      <c r="S31" s="179">
        <f t="shared" si="44"/>
        <v>0.11056511056511065</v>
      </c>
      <c r="T31" s="179">
        <f t="shared" si="44"/>
        <v>0.15616438356164375</v>
      </c>
      <c r="U31" s="179">
        <f t="shared" si="44"/>
        <v>0.14247191011235949</v>
      </c>
      <c r="V31" s="179">
        <f t="shared" si="44"/>
        <v>0.17913832199546476</v>
      </c>
      <c r="W31" s="179">
        <f t="shared" si="44"/>
        <v>0.11946902654867264</v>
      </c>
      <c r="X31" s="179">
        <f t="shared" si="44"/>
        <v>7.0300157977883249E-2</v>
      </c>
      <c r="Y31" s="179">
        <f t="shared" si="44"/>
        <v>7.19905586152636E-2</v>
      </c>
      <c r="Z31" s="179">
        <f t="shared" si="44"/>
        <v>0.11692307692307691</v>
      </c>
      <c r="AA31" s="179">
        <f t="shared" si="44"/>
        <v>0.12332015810276675</v>
      </c>
      <c r="AB31" s="179">
        <f t="shared" si="44"/>
        <v>8.8560885608855999E-2</v>
      </c>
      <c r="AC31" s="179">
        <f t="shared" si="44"/>
        <v>0.11486238532110105</v>
      </c>
      <c r="AD31" s="179">
        <f t="shared" si="44"/>
        <v>2.9614325068870517E-2</v>
      </c>
      <c r="AE31" s="179">
        <f t="shared" si="44"/>
        <v>7.6706544686840239E-2</v>
      </c>
      <c r="AF31" s="179">
        <f t="shared" si="44"/>
        <v>7.118644067796609E-2</v>
      </c>
      <c r="AG31" s="179">
        <f t="shared" si="44"/>
        <v>0.14878209348255433</v>
      </c>
      <c r="AH31" s="179">
        <f t="shared" si="44"/>
        <v>0.20066889632107032</v>
      </c>
      <c r="AI31" s="179">
        <f t="shared" si="44"/>
        <v>0.10457516339869288</v>
      </c>
      <c r="AJ31" s="179">
        <f t="shared" si="44"/>
        <v>0.20569620253164556</v>
      </c>
      <c r="AK31" s="179">
        <f t="shared" si="44"/>
        <v>0.1404011461318051</v>
      </c>
      <c r="AL31" s="179">
        <f t="shared" si="44"/>
        <v>0.17270194986072429</v>
      </c>
      <c r="AM31" s="179">
        <f t="shared" si="44"/>
        <v>0.23668639053254448</v>
      </c>
      <c r="AN31" s="179">
        <f t="shared" si="44"/>
        <v>0.20997375328083989</v>
      </c>
      <c r="AO31" s="179">
        <f t="shared" si="44"/>
        <v>0.18592964824120606</v>
      </c>
      <c r="AP31" s="179">
        <f t="shared" si="44"/>
        <v>-1.6627078384798155E-2</v>
      </c>
      <c r="AQ31" s="179">
        <f t="shared" si="44"/>
        <v>-7.4162679425837319E-2</v>
      </c>
      <c r="AR31" s="179">
        <f t="shared" si="44"/>
        <v>-0.12364425162689807</v>
      </c>
      <c r="AS31" s="179">
        <f t="shared" si="44"/>
        <v>-6.3559322033898358E-2</v>
      </c>
      <c r="AT31" s="179">
        <f t="shared" si="44"/>
        <v>6.7632850241545972E-2</v>
      </c>
      <c r="AU31" s="179">
        <f t="shared" si="44"/>
        <v>0.10077519379844957</v>
      </c>
      <c r="AV31" s="179"/>
      <c r="AW31" s="179"/>
      <c r="AX31" s="179"/>
      <c r="AY31" s="193"/>
      <c r="AZ31" s="193"/>
      <c r="BA31" s="194">
        <f t="shared" si="45"/>
        <v>-1.4326276355706158E-2</v>
      </c>
      <c r="BB31" s="194">
        <f t="shared" si="45"/>
        <v>-8.7623220153340675E-2</v>
      </c>
      <c r="BC31" s="194">
        <f t="shared" si="45"/>
        <v>3.9015606242496892E-2</v>
      </c>
      <c r="BD31" s="194">
        <f t="shared" si="45"/>
        <v>0.14777585210860766</v>
      </c>
      <c r="BE31" s="194">
        <f t="shared" si="45"/>
        <v>9.4121199919468657E-2</v>
      </c>
      <c r="BF31" s="194">
        <f t="shared" si="45"/>
        <v>8.749654982059063E-2</v>
      </c>
      <c r="BG31" s="194">
        <f t="shared" si="45"/>
        <v>0.1252115059221659</v>
      </c>
      <c r="BH31" s="194">
        <f t="shared" si="45"/>
        <v>0.15639097744360897</v>
      </c>
      <c r="BI31" s="194">
        <f t="shared" si="45"/>
        <v>0.14759427828348515</v>
      </c>
      <c r="BJ31" s="194">
        <f t="shared" si="45"/>
        <v>-5.0991501416430607E-2</v>
      </c>
    </row>
    <row r="32" spans="1:62" s="173" customFormat="1" x14ac:dyDescent="0.2">
      <c r="B32" s="173" t="s">
        <v>1014</v>
      </c>
      <c r="C32" s="191"/>
      <c r="D32" s="191"/>
      <c r="E32" s="191"/>
      <c r="F32" s="191"/>
      <c r="G32" s="178">
        <f t="shared" ref="G32:P34" si="46">G3/C3-1</f>
        <v>6.0000000000000053E-2</v>
      </c>
      <c r="H32" s="178">
        <f t="shared" si="46"/>
        <v>0</v>
      </c>
      <c r="I32" s="178">
        <f t="shared" si="46"/>
        <v>0.1100000000000001</v>
      </c>
      <c r="J32" s="178">
        <f t="shared" si="46"/>
        <v>0</v>
      </c>
      <c r="K32" s="178">
        <f t="shared" si="46"/>
        <v>-1.5217391304347849E-2</v>
      </c>
      <c r="L32" s="178">
        <f t="shared" si="46"/>
        <v>-3.1168831168831179E-2</v>
      </c>
      <c r="M32" s="178">
        <f t="shared" si="46"/>
        <v>-3.6796536796536827E-2</v>
      </c>
      <c r="N32" s="178">
        <f t="shared" si="46"/>
        <v>-5.2313883299798802E-2</v>
      </c>
      <c r="O32" s="178">
        <f t="shared" si="46"/>
        <v>-3.2008830022075108E-2</v>
      </c>
      <c r="P32" s="178">
        <f t="shared" si="46"/>
        <v>0.13780160857908852</v>
      </c>
      <c r="Q32" s="178">
        <f t="shared" ref="Q32:Z34" si="47">Q3/M3-1</f>
        <v>1.348314606741563E-2</v>
      </c>
      <c r="R32" s="178">
        <f t="shared" si="47"/>
        <v>3.8216560509554132E-2</v>
      </c>
      <c r="S32" s="178">
        <f t="shared" si="47"/>
        <v>0.10946408209806147</v>
      </c>
      <c r="T32" s="178">
        <f t="shared" si="47"/>
        <v>5.5136663524976592E-2</v>
      </c>
      <c r="U32" s="178">
        <f t="shared" si="47"/>
        <v>0.1048780487804879</v>
      </c>
      <c r="V32" s="178">
        <f t="shared" si="47"/>
        <v>0.24867075664621674</v>
      </c>
      <c r="W32" s="178">
        <f t="shared" si="47"/>
        <v>0.15724563206577602</v>
      </c>
      <c r="X32" s="178">
        <f t="shared" si="47"/>
        <v>0.18892362661902617</v>
      </c>
      <c r="Y32" s="178">
        <f t="shared" si="47"/>
        <v>0.13606261288380495</v>
      </c>
      <c r="Z32" s="178">
        <f t="shared" si="47"/>
        <v>0.19963969865705855</v>
      </c>
      <c r="AA32" s="178">
        <f t="shared" ref="AA32:AJ34" si="48">AA3/W3-1</f>
        <v>0.21669626998223812</v>
      </c>
      <c r="AB32" s="178">
        <f t="shared" si="48"/>
        <v>0.17956423741547711</v>
      </c>
      <c r="AC32" s="178">
        <f t="shared" si="48"/>
        <v>0.11959017841370767</v>
      </c>
      <c r="AD32" s="178">
        <f t="shared" si="48"/>
        <v>-2.0477815699658786E-3</v>
      </c>
      <c r="AE32" s="178">
        <f t="shared" si="48"/>
        <v>-4.6715328467153316E-2</v>
      </c>
      <c r="AF32" s="178">
        <f t="shared" si="48"/>
        <v>7.3248407643312197E-2</v>
      </c>
      <c r="AG32" s="178">
        <f t="shared" si="48"/>
        <v>0.10287156831808142</v>
      </c>
      <c r="AH32" s="178">
        <f t="shared" si="48"/>
        <v>3.5567715458276306E-2</v>
      </c>
      <c r="AI32" s="178">
        <f t="shared" si="48"/>
        <v>0.92496171516079628</v>
      </c>
      <c r="AJ32" s="178">
        <f t="shared" si="48"/>
        <v>0.78931750741839757</v>
      </c>
      <c r="AK32" s="178">
        <f t="shared" ref="AK32:AU34" si="49">AK3/AG3-1</f>
        <v>0.80829756795422036</v>
      </c>
      <c r="AL32" s="178">
        <f t="shared" si="49"/>
        <v>0.86922060766182296</v>
      </c>
      <c r="AM32" s="178">
        <f t="shared" si="49"/>
        <v>0.26809864757358781</v>
      </c>
      <c r="AN32" s="178">
        <f t="shared" si="49"/>
        <v>0.16500829187396349</v>
      </c>
      <c r="AO32" s="178">
        <f t="shared" si="49"/>
        <v>0.13844936708860756</v>
      </c>
      <c r="AP32" s="178">
        <f t="shared" si="49"/>
        <v>2.8975265017667784E-2</v>
      </c>
      <c r="AQ32" s="178">
        <f t="shared" si="49"/>
        <v>-0.15432873274780423</v>
      </c>
      <c r="AR32" s="178">
        <f>AR3/AN3-1</f>
        <v>-6.7615658362989328E-2</v>
      </c>
      <c r="AS32" s="178">
        <f t="shared" si="49"/>
        <v>-2.8492008339124353E-2</v>
      </c>
      <c r="AT32" s="178">
        <f t="shared" si="49"/>
        <v>2.8846153846153744E-2</v>
      </c>
      <c r="AU32" s="178">
        <f t="shared" si="49"/>
        <v>-0.10459940652818989</v>
      </c>
      <c r="AV32" s="178"/>
      <c r="AW32" s="178"/>
      <c r="AX32" s="178"/>
      <c r="AY32" s="191"/>
      <c r="AZ32" s="178"/>
      <c r="BA32" s="192">
        <f t="shared" ref="BA32:BJ32" si="50">BA3/AZ3-1</f>
        <v>3.7762526395062723E-2</v>
      </c>
      <c r="BB32" s="192">
        <f t="shared" si="50"/>
        <v>-3.4368070953436858E-2</v>
      </c>
      <c r="BC32" s="192">
        <f t="shared" si="50"/>
        <v>3.4959816303099966E-2</v>
      </c>
      <c r="BD32" s="192">
        <f t="shared" si="50"/>
        <v>0.13328526263242546</v>
      </c>
      <c r="BE32" s="192">
        <f t="shared" si="50"/>
        <v>0.17169146436961635</v>
      </c>
      <c r="BF32" s="192">
        <f t="shared" si="50"/>
        <v>0.11854636591478696</v>
      </c>
      <c r="BG32" s="192">
        <f t="shared" si="50"/>
        <v>3.9285981029202999E-2</v>
      </c>
      <c r="BH32" s="192">
        <f t="shared" si="50"/>
        <v>0.84764642472152363</v>
      </c>
      <c r="BI32" s="192">
        <f t="shared" si="50"/>
        <v>0.14624659665499795</v>
      </c>
      <c r="BJ32" s="192">
        <f t="shared" si="50"/>
        <v>-5.7685782151340348E-2</v>
      </c>
    </row>
    <row r="33" spans="2:62" s="53" customFormat="1" x14ac:dyDescent="0.2">
      <c r="B33" s="53" t="s">
        <v>1017</v>
      </c>
      <c r="C33" s="193"/>
      <c r="D33" s="193"/>
      <c r="E33" s="193"/>
      <c r="F33" s="193"/>
      <c r="G33" s="179">
        <f t="shared" si="46"/>
        <v>1.0000000000000009E-2</v>
      </c>
      <c r="H33" s="179">
        <f t="shared" si="46"/>
        <v>-1.9607843137254943E-2</v>
      </c>
      <c r="I33" s="179">
        <f t="shared" si="46"/>
        <v>7.0000000000000062E-2</v>
      </c>
      <c r="J33" s="179">
        <f t="shared" si="46"/>
        <v>-9.9009900990099098E-3</v>
      </c>
      <c r="K33" s="179">
        <f t="shared" si="46"/>
        <v>-3.8860103626943032E-2</v>
      </c>
      <c r="L33" s="179">
        <f t="shared" si="46"/>
        <v>-5.0156739811912265E-2</v>
      </c>
      <c r="M33" s="179">
        <f t="shared" si="46"/>
        <v>-4.081632653061229E-2</v>
      </c>
      <c r="N33" s="179">
        <f t="shared" si="46"/>
        <v>-5.6872037914691975E-2</v>
      </c>
      <c r="O33" s="179">
        <f t="shared" si="46"/>
        <v>-9.4339622641509413E-3</v>
      </c>
      <c r="P33" s="179">
        <f t="shared" si="46"/>
        <v>0.18613861386138608</v>
      </c>
      <c r="Q33" s="179">
        <f t="shared" si="47"/>
        <v>2.9255319148936199E-2</v>
      </c>
      <c r="R33" s="179">
        <f t="shared" si="47"/>
        <v>6.1557788944723635E-2</v>
      </c>
      <c r="S33" s="179">
        <f t="shared" si="47"/>
        <v>0.13469387755102047</v>
      </c>
      <c r="T33" s="179">
        <f t="shared" si="47"/>
        <v>4.8970506399554914E-2</v>
      </c>
      <c r="U33" s="179">
        <f t="shared" si="47"/>
        <v>0.10284237726098189</v>
      </c>
      <c r="V33" s="179">
        <f t="shared" si="47"/>
        <v>0.25443786982248517</v>
      </c>
      <c r="W33" s="179">
        <f t="shared" si="47"/>
        <v>0.13429256594724226</v>
      </c>
      <c r="X33" s="179">
        <f t="shared" si="47"/>
        <v>5.5702917771883298E-2</v>
      </c>
      <c r="Y33" s="179">
        <f t="shared" si="47"/>
        <v>1.5698219306466754E-2</v>
      </c>
      <c r="Z33" s="179">
        <f t="shared" si="47"/>
        <v>5.4716981132075571E-2</v>
      </c>
      <c r="AA33" s="179">
        <f t="shared" si="48"/>
        <v>8.4566596194504129E-3</v>
      </c>
      <c r="AB33" s="179">
        <f t="shared" si="48"/>
        <v>7.2864321608040239E-2</v>
      </c>
      <c r="AC33" s="179">
        <f t="shared" si="48"/>
        <v>3.5755478662053086E-2</v>
      </c>
      <c r="AD33" s="179">
        <f t="shared" si="48"/>
        <v>-5.0089445438282643E-2</v>
      </c>
      <c r="AE33" s="179">
        <f t="shared" si="48"/>
        <v>-0.11949685534591192</v>
      </c>
      <c r="AF33" s="179">
        <f t="shared" si="48"/>
        <v>5.3864168618267039E-2</v>
      </c>
      <c r="AG33" s="179">
        <f t="shared" si="48"/>
        <v>7.1269487750556859E-2</v>
      </c>
      <c r="AH33" s="179">
        <f t="shared" si="48"/>
        <v>-1.8832391713747842E-3</v>
      </c>
      <c r="AI33" s="179">
        <f t="shared" si="48"/>
        <v>0.55952380952380953</v>
      </c>
      <c r="AJ33" s="179">
        <f t="shared" si="48"/>
        <v>0.2977777777777777</v>
      </c>
      <c r="AK33" s="179">
        <f t="shared" si="49"/>
        <v>0.35758835758835761</v>
      </c>
      <c r="AL33" s="179">
        <f t="shared" si="49"/>
        <v>0.37358490566037728</v>
      </c>
      <c r="AM33" s="179">
        <f t="shared" si="49"/>
        <v>0.28549618320610692</v>
      </c>
      <c r="AN33" s="179">
        <f t="shared" si="49"/>
        <v>0.16267123287671237</v>
      </c>
      <c r="AO33" s="179">
        <f t="shared" si="49"/>
        <v>0.19142419601837668</v>
      </c>
      <c r="AP33" s="179">
        <f t="shared" si="49"/>
        <v>4.6703296703296759E-2</v>
      </c>
      <c r="AQ33" s="179">
        <f t="shared" si="49"/>
        <v>-0.13776722090261284</v>
      </c>
      <c r="AR33" s="179">
        <f t="shared" si="49"/>
        <v>0</v>
      </c>
      <c r="AS33" s="179">
        <f t="shared" si="49"/>
        <v>-5.9125964010282805E-2</v>
      </c>
      <c r="AT33" s="179">
        <f t="shared" si="49"/>
        <v>2.6246719160105014E-2</v>
      </c>
      <c r="AU33" s="179">
        <f t="shared" si="49"/>
        <v>-0.25344352617079891</v>
      </c>
      <c r="AV33" s="179"/>
      <c r="AW33" s="179"/>
      <c r="AX33" s="179"/>
      <c r="AY33" s="193"/>
      <c r="AZ33" s="193"/>
      <c r="BA33" s="194">
        <f t="shared" ref="BA33:BJ33" si="51">BA4/AZ4-1</f>
        <v>1.2576643196806181E-2</v>
      </c>
      <c r="BB33" s="194">
        <f t="shared" si="51"/>
        <v>-4.6741277156023719E-2</v>
      </c>
      <c r="BC33" s="194">
        <f t="shared" si="51"/>
        <v>6.1049723756906094E-2</v>
      </c>
      <c r="BD33" s="194">
        <f t="shared" si="51"/>
        <v>0.13954699297058037</v>
      </c>
      <c r="BE33" s="194">
        <f t="shared" si="51"/>
        <v>6.4370573452136259E-2</v>
      </c>
      <c r="BF33" s="194">
        <f t="shared" si="51"/>
        <v>1.1000804936946551E-2</v>
      </c>
      <c r="BG33" s="194">
        <f t="shared" si="51"/>
        <v>-1.5923566878981443E-3</v>
      </c>
      <c r="BH33" s="194">
        <f t="shared" si="51"/>
        <v>0.39287612971823505</v>
      </c>
      <c r="BI33" s="194">
        <f t="shared" si="51"/>
        <v>0.16832061068702298</v>
      </c>
      <c r="BJ33" s="194">
        <f t="shared" si="51"/>
        <v>-4.6390068605031032E-2</v>
      </c>
    </row>
    <row r="34" spans="2:62" s="53" customFormat="1" x14ac:dyDescent="0.2">
      <c r="B34" s="53" t="s">
        <v>1018</v>
      </c>
      <c r="C34" s="193"/>
      <c r="D34" s="193"/>
      <c r="E34" s="193"/>
      <c r="F34" s="193"/>
      <c r="G34" s="179">
        <f t="shared" si="46"/>
        <v>0.41999999999999993</v>
      </c>
      <c r="H34" s="179">
        <f t="shared" si="46"/>
        <v>0.10000000000000009</v>
      </c>
      <c r="I34" s="179">
        <f t="shared" si="46"/>
        <v>0.35000000000000009</v>
      </c>
      <c r="J34" s="179">
        <f t="shared" si="46"/>
        <v>1.0000000000000009E-2</v>
      </c>
      <c r="K34" s="179">
        <f t="shared" si="46"/>
        <v>0.10810810810810811</v>
      </c>
      <c r="L34" s="179">
        <f t="shared" si="46"/>
        <v>6.0606060606060552E-2</v>
      </c>
      <c r="M34" s="179">
        <f t="shared" si="46"/>
        <v>-1.4285714285714235E-2</v>
      </c>
      <c r="N34" s="179">
        <f t="shared" si="46"/>
        <v>-2.6666666666666616E-2</v>
      </c>
      <c r="O34" s="179">
        <f t="shared" si="46"/>
        <v>-0.13414634146341464</v>
      </c>
      <c r="P34" s="179">
        <f t="shared" si="46"/>
        <v>-7.1428571428571397E-2</v>
      </c>
      <c r="Q34" s="179">
        <f t="shared" si="47"/>
        <v>-7.2463768115942018E-2</v>
      </c>
      <c r="R34" s="179">
        <f t="shared" si="47"/>
        <v>-8.9041095890410982E-2</v>
      </c>
      <c r="S34" s="179">
        <f t="shared" si="47"/>
        <v>-2.1126760563380254E-2</v>
      </c>
      <c r="T34" s="179">
        <f t="shared" si="47"/>
        <v>8.9230769230769225E-2</v>
      </c>
      <c r="U34" s="179">
        <f t="shared" si="47"/>
        <v>0.1171875</v>
      </c>
      <c r="V34" s="179">
        <f t="shared" si="47"/>
        <v>0.21203007518796979</v>
      </c>
      <c r="W34" s="179">
        <f t="shared" si="47"/>
        <v>0.29496402877697836</v>
      </c>
      <c r="X34" s="179">
        <f t="shared" si="47"/>
        <v>0.89830508474576276</v>
      </c>
      <c r="Y34" s="179">
        <f t="shared" si="47"/>
        <v>0.8545454545454545</v>
      </c>
      <c r="Z34" s="179">
        <f t="shared" si="47"/>
        <v>1.1526054590570722</v>
      </c>
      <c r="AA34" s="179">
        <f t="shared" si="48"/>
        <v>1.3111111111111109</v>
      </c>
      <c r="AB34" s="179">
        <f t="shared" si="48"/>
        <v>0.49553571428571419</v>
      </c>
      <c r="AC34" s="179">
        <f t="shared" si="48"/>
        <v>0.39366515837104088</v>
      </c>
      <c r="AD34" s="179">
        <f t="shared" si="48"/>
        <v>0.1527377521613833</v>
      </c>
      <c r="AE34" s="179">
        <f t="shared" si="48"/>
        <v>0.12019230769230771</v>
      </c>
      <c r="AF34" s="179">
        <f t="shared" si="48"/>
        <v>0.11442786069651745</v>
      </c>
      <c r="AG34" s="179">
        <f t="shared" si="48"/>
        <v>0.17965367965367962</v>
      </c>
      <c r="AH34" s="179">
        <f t="shared" si="48"/>
        <v>0.13500000000000001</v>
      </c>
      <c r="AI34" s="179">
        <f t="shared" si="48"/>
        <v>1.5836909871244633</v>
      </c>
      <c r="AJ34" s="179">
        <f t="shared" si="48"/>
        <v>1.7767857142857144</v>
      </c>
      <c r="AK34" s="179">
        <f t="shared" si="49"/>
        <v>1.8027522935779818</v>
      </c>
      <c r="AL34" s="179">
        <f t="shared" si="49"/>
        <v>2.0264317180616742</v>
      </c>
      <c r="AM34" s="179">
        <f t="shared" si="49"/>
        <v>0.24916943521594681</v>
      </c>
      <c r="AN34" s="179">
        <f t="shared" si="49"/>
        <v>0.16720257234726699</v>
      </c>
      <c r="AO34" s="179">
        <f t="shared" si="49"/>
        <v>8.1833060556464776E-2</v>
      </c>
      <c r="AP34" s="179">
        <f t="shared" si="49"/>
        <v>1.0189228529839944E-2</v>
      </c>
      <c r="AQ34" s="179">
        <f t="shared" si="49"/>
        <v>-0.1728723404255319</v>
      </c>
      <c r="AR34" s="179">
        <f t="shared" si="49"/>
        <v>-0.13085399449035817</v>
      </c>
      <c r="AS34" s="179">
        <f t="shared" si="49"/>
        <v>7.5642965204236745E-3</v>
      </c>
      <c r="AT34" s="179">
        <f t="shared" si="49"/>
        <v>3.170028818443793E-2</v>
      </c>
      <c r="AU34" s="179">
        <f t="shared" si="49"/>
        <v>6.9131832797427739E-2</v>
      </c>
      <c r="AV34" s="179"/>
      <c r="AW34" s="179"/>
      <c r="AX34" s="179"/>
      <c r="AY34" s="193"/>
      <c r="AZ34" s="193"/>
      <c r="BA34" s="194">
        <f t="shared" ref="BA34:BJ34" si="52">BA5/AZ5-1</f>
        <v>0.19636328907709721</v>
      </c>
      <c r="BB34" s="194">
        <f t="shared" si="52"/>
        <v>3.1578947368421151E-2</v>
      </c>
      <c r="BC34" s="194">
        <f t="shared" si="52"/>
        <v>-9.3537414965986443E-2</v>
      </c>
      <c r="BD34" s="194">
        <f t="shared" si="52"/>
        <v>9.7185741088180011E-2</v>
      </c>
      <c r="BE34" s="194">
        <f t="shared" si="52"/>
        <v>0.81429548563611509</v>
      </c>
      <c r="BF34" s="194">
        <f t="shared" si="52"/>
        <v>0.49632422243166818</v>
      </c>
      <c r="BG34" s="194">
        <f t="shared" si="52"/>
        <v>0.13630637440161264</v>
      </c>
      <c r="BH34" s="194">
        <f t="shared" si="52"/>
        <v>1.7960088691796008</v>
      </c>
      <c r="BI34" s="194">
        <f t="shared" si="52"/>
        <v>0.12331482950039652</v>
      </c>
      <c r="BJ34" s="194">
        <f t="shared" si="52"/>
        <v>-6.9890575361807317E-2</v>
      </c>
    </row>
    <row r="35" spans="2:62" s="173" customFormat="1" x14ac:dyDescent="0.2">
      <c r="B35" s="173" t="s">
        <v>999</v>
      </c>
      <c r="C35" s="191"/>
      <c r="D35" s="191"/>
      <c r="E35" s="191"/>
      <c r="F35" s="191"/>
      <c r="G35" s="178">
        <f t="shared" ref="G35:AU37" si="53">G15/C15-1</f>
        <v>-2.0172910662824228E-2</v>
      </c>
      <c r="H35" s="178">
        <f t="shared" si="53"/>
        <v>-1.1299435028248594E-2</v>
      </c>
      <c r="I35" s="178">
        <f t="shared" si="53"/>
        <v>-5.555555555555558E-2</v>
      </c>
      <c r="J35" s="178">
        <f t="shared" si="53"/>
        <v>-0.12290502793296088</v>
      </c>
      <c r="K35" s="178">
        <f t="shared" si="53"/>
        <v>-8.2352941176470629E-2</v>
      </c>
      <c r="L35" s="178">
        <f t="shared" si="53"/>
        <v>-0.13142857142857145</v>
      </c>
      <c r="M35" s="178">
        <f t="shared" si="53"/>
        <v>-4.294117647058826E-2</v>
      </c>
      <c r="N35" s="178">
        <f t="shared" si="53"/>
        <v>-8.1242038216560508E-2</v>
      </c>
      <c r="O35" s="178">
        <f t="shared" si="53"/>
        <v>-4.6153846153846101E-2</v>
      </c>
      <c r="P35" s="178">
        <f t="shared" si="53"/>
        <v>5.4276315789473673E-2</v>
      </c>
      <c r="Q35" s="178">
        <f t="shared" si="53"/>
        <v>-7.3755377996311822E-3</v>
      </c>
      <c r="R35" s="178">
        <f t="shared" si="53"/>
        <v>7.6293805677839721E-2</v>
      </c>
      <c r="S35" s="178">
        <f t="shared" si="53"/>
        <v>5.0403225806451513E-2</v>
      </c>
      <c r="T35" s="178">
        <f t="shared" si="53"/>
        <v>7.3322932917316619E-2</v>
      </c>
      <c r="U35" s="178">
        <f t="shared" si="53"/>
        <v>0.10959752321981409</v>
      </c>
      <c r="V35" s="178">
        <f t="shared" si="53"/>
        <v>0.14138486312399356</v>
      </c>
      <c r="W35" s="178">
        <f t="shared" si="53"/>
        <v>0.11452335252719115</v>
      </c>
      <c r="X35" s="178">
        <f t="shared" si="53"/>
        <v>6.9767441860465018E-2</v>
      </c>
      <c r="Y35" s="178">
        <f t="shared" si="53"/>
        <v>3.5714285714285809E-2</v>
      </c>
      <c r="Z35" s="178">
        <f t="shared" si="53"/>
        <v>7.900677200902928E-2</v>
      </c>
      <c r="AA35" s="178">
        <f t="shared" si="53"/>
        <v>8.2089552238806096E-2</v>
      </c>
      <c r="AB35" s="178">
        <f t="shared" si="53"/>
        <v>0.10326086956521729</v>
      </c>
      <c r="AC35" s="178">
        <f t="shared" si="53"/>
        <v>7.219827586206895E-2</v>
      </c>
      <c r="AD35" s="178">
        <f t="shared" si="53"/>
        <v>1.4644351464435212E-2</v>
      </c>
      <c r="AE35" s="178">
        <f t="shared" si="53"/>
        <v>5.8355437665782439E-2</v>
      </c>
      <c r="AF35" s="178">
        <f t="shared" si="53"/>
        <v>9.1133004926108319E-2</v>
      </c>
      <c r="AG35" s="178">
        <f t="shared" si="53"/>
        <v>8.5427135678391997E-2</v>
      </c>
      <c r="AH35" s="178">
        <f t="shared" si="53"/>
        <v>8.247422680412364E-2</v>
      </c>
      <c r="AI35" s="178">
        <f t="shared" si="53"/>
        <v>5.513784461152893E-2</v>
      </c>
      <c r="AJ35" s="178">
        <f t="shared" si="53"/>
        <v>4.5146726862302478E-2</v>
      </c>
      <c r="AK35" s="178">
        <f t="shared" si="53"/>
        <v>6.7129629629629539E-2</v>
      </c>
      <c r="AL35" s="178">
        <f t="shared" si="53"/>
        <v>9.7619047619047716E-2</v>
      </c>
      <c r="AM35" s="178">
        <f t="shared" si="53"/>
        <v>9.5011876484560664E-2</v>
      </c>
      <c r="AN35" s="178">
        <f t="shared" si="53"/>
        <v>8.8552915766738627E-2</v>
      </c>
      <c r="AO35" s="178">
        <f t="shared" si="53"/>
        <v>0.10629067245119317</v>
      </c>
      <c r="AP35" s="178">
        <f t="shared" si="53"/>
        <v>-5.4229934924078127E-2</v>
      </c>
      <c r="AQ35" s="178">
        <f t="shared" si="53"/>
        <v>-8.2429501084598678E-2</v>
      </c>
      <c r="AR35" s="178">
        <f t="shared" si="53"/>
        <v>-4.5634920634920584E-2</v>
      </c>
      <c r="AS35" s="178">
        <f t="shared" si="53"/>
        <v>-1.5686274509803977E-2</v>
      </c>
      <c r="AT35" s="178">
        <f t="shared" si="53"/>
        <v>0.15137614678899092</v>
      </c>
      <c r="AU35" s="178">
        <f t="shared" si="53"/>
        <v>0.10874704491725762</v>
      </c>
      <c r="AV35" s="178"/>
      <c r="AW35" s="178"/>
      <c r="AX35" s="178"/>
      <c r="AY35" s="191"/>
      <c r="AZ35" s="178"/>
      <c r="BA35" s="192">
        <f t="shared" ref="BA35:BJ37" si="54">BA15/AZ15-1</f>
        <v>-5.2854122621564525E-2</v>
      </c>
      <c r="BB35" s="192">
        <f t="shared" si="54"/>
        <v>-8.5647321428571566E-2</v>
      </c>
      <c r="BC35" s="192">
        <f t="shared" si="54"/>
        <v>1.8480091790152198E-2</v>
      </c>
      <c r="BD35" s="192">
        <f t="shared" si="54"/>
        <v>9.4119527005433135E-2</v>
      </c>
      <c r="BE35" s="192">
        <f t="shared" si="54"/>
        <v>7.3462830436687554E-2</v>
      </c>
      <c r="BF35" s="192">
        <f t="shared" si="54"/>
        <v>6.7346938775510123E-2</v>
      </c>
      <c r="BG35" s="192">
        <f t="shared" si="54"/>
        <v>7.9668578712555727E-2</v>
      </c>
      <c r="BH35" s="192">
        <f t="shared" si="54"/>
        <v>6.6115702479338845E-2</v>
      </c>
      <c r="BI35" s="192">
        <f t="shared" si="54"/>
        <v>5.8139534883721034E-2</v>
      </c>
      <c r="BJ35" s="192">
        <f t="shared" si="54"/>
        <v>-1.5698587127158659E-3</v>
      </c>
    </row>
    <row r="36" spans="2:62" s="53" customFormat="1" x14ac:dyDescent="0.2">
      <c r="B36" s="53" t="s">
        <v>1017</v>
      </c>
      <c r="C36" s="193"/>
      <c r="D36" s="193"/>
      <c r="E36" s="193"/>
      <c r="F36" s="193"/>
      <c r="G36" s="179">
        <f t="shared" si="53"/>
        <v>4.5801526717557328E-2</v>
      </c>
      <c r="H36" s="179">
        <f t="shared" si="53"/>
        <v>7.4626865671640896E-3</v>
      </c>
      <c r="I36" s="179">
        <f t="shared" si="53"/>
        <v>-1.4388489208633115E-2</v>
      </c>
      <c r="J36" s="179">
        <f t="shared" si="53"/>
        <v>-7.8014184397163122E-2</v>
      </c>
      <c r="K36" s="179">
        <f t="shared" si="53"/>
        <v>-9.4890510948905105E-2</v>
      </c>
      <c r="L36" s="179">
        <f t="shared" si="53"/>
        <v>-9.6296296296296324E-2</v>
      </c>
      <c r="M36" s="179">
        <f t="shared" si="53"/>
        <v>7.2992700729928028E-3</v>
      </c>
      <c r="N36" s="179">
        <f t="shared" si="53"/>
        <v>-9.2384615384615398E-2</v>
      </c>
      <c r="O36" s="179">
        <f t="shared" si="53"/>
        <v>2.7419354838709831E-2</v>
      </c>
      <c r="P36" s="179">
        <f t="shared" si="53"/>
        <v>5.7377049180327822E-2</v>
      </c>
      <c r="Q36" s="179">
        <f t="shared" si="53"/>
        <v>-2.1739130434782594E-2</v>
      </c>
      <c r="R36" s="179">
        <f t="shared" si="53"/>
        <v>0.11450122891770498</v>
      </c>
      <c r="S36" s="179">
        <f t="shared" si="53"/>
        <v>1.5698587127158659E-2</v>
      </c>
      <c r="T36" s="179">
        <f t="shared" si="53"/>
        <v>-7.7519379844961378E-3</v>
      </c>
      <c r="U36" s="179">
        <f t="shared" si="53"/>
        <v>4.7407407407407343E-2</v>
      </c>
      <c r="V36" s="179">
        <f t="shared" si="53"/>
        <v>-2.9657794676806182E-2</v>
      </c>
      <c r="W36" s="179">
        <f t="shared" si="53"/>
        <v>3.8639876352395408E-3</v>
      </c>
      <c r="X36" s="179">
        <f t="shared" si="53"/>
        <v>5.46875E-2</v>
      </c>
      <c r="Y36" s="179">
        <f t="shared" si="53"/>
        <v>-4.3847241867043918E-2</v>
      </c>
      <c r="Z36" s="179">
        <f t="shared" si="53"/>
        <v>4.5454545454545636E-2</v>
      </c>
      <c r="AA36" s="179">
        <f t="shared" si="53"/>
        <v>7.0053887605850518E-2</v>
      </c>
      <c r="AB36" s="179">
        <f t="shared" si="53"/>
        <v>0.11851851851851847</v>
      </c>
      <c r="AC36" s="179">
        <f t="shared" si="53"/>
        <v>3.5502958579881838E-2</v>
      </c>
      <c r="AD36" s="179">
        <f t="shared" si="53"/>
        <v>1.9490254872563728E-2</v>
      </c>
      <c r="AE36" s="179">
        <f t="shared" si="53"/>
        <v>7.194244604316502E-3</v>
      </c>
      <c r="AF36" s="179">
        <f t="shared" si="53"/>
        <v>9.27152317880795E-2</v>
      </c>
      <c r="AG36" s="179">
        <f t="shared" si="53"/>
        <v>7.8571428571428514E-2</v>
      </c>
      <c r="AH36" s="179">
        <f t="shared" si="53"/>
        <v>2.9411764705882248E-2</v>
      </c>
      <c r="AI36" s="179">
        <f t="shared" si="53"/>
        <v>0.16428571428571437</v>
      </c>
      <c r="AJ36" s="179">
        <f t="shared" si="53"/>
        <v>-1.2121212121212088E-2</v>
      </c>
      <c r="AK36" s="179">
        <f t="shared" si="53"/>
        <v>-1.3245033112582738E-2</v>
      </c>
      <c r="AL36" s="179">
        <f t="shared" si="53"/>
        <v>5.7142857142857162E-2</v>
      </c>
      <c r="AM36" s="179">
        <f t="shared" si="53"/>
        <v>-9.2024539877300637E-2</v>
      </c>
      <c r="AN36" s="179">
        <f t="shared" si="53"/>
        <v>-3.0674846625766916E-2</v>
      </c>
      <c r="AO36" s="179">
        <f t="shared" si="53"/>
        <v>0.10067114093959728</v>
      </c>
      <c r="AP36" s="179">
        <f t="shared" si="53"/>
        <v>0</v>
      </c>
      <c r="AQ36" s="179">
        <f t="shared" si="53"/>
        <v>6.7567567567567988E-3</v>
      </c>
      <c r="AR36" s="179">
        <f t="shared" si="53"/>
        <v>-3.7974683544303778E-2</v>
      </c>
      <c r="AS36" s="179">
        <f t="shared" si="53"/>
        <v>-0.13414634146341464</v>
      </c>
      <c r="AT36" s="179">
        <f t="shared" si="53"/>
        <v>-4.0540540540540571E-2</v>
      </c>
      <c r="AU36" s="179">
        <f t="shared" si="53"/>
        <v>-2.0134228187919434E-2</v>
      </c>
      <c r="AV36" s="179"/>
      <c r="AW36" s="179"/>
      <c r="AX36" s="179"/>
      <c r="AY36" s="193"/>
      <c r="AZ36" s="193"/>
      <c r="BA36" s="194">
        <f t="shared" si="54"/>
        <v>-1.1009174311926606E-2</v>
      </c>
      <c r="BB36" s="194">
        <f t="shared" si="54"/>
        <v>-6.8664192949907221E-2</v>
      </c>
      <c r="BC36" s="194">
        <f t="shared" si="54"/>
        <v>4.1654216219446649E-2</v>
      </c>
      <c r="BD36" s="194">
        <f t="shared" si="54"/>
        <v>6.6934404283802706E-3</v>
      </c>
      <c r="BE36" s="194">
        <f t="shared" si="54"/>
        <v>1.3487841945288848E-2</v>
      </c>
      <c r="BF36" s="194">
        <f t="shared" si="54"/>
        <v>6.0918462980318555E-2</v>
      </c>
      <c r="BG36" s="194">
        <f t="shared" si="54"/>
        <v>5.3003533568904526E-2</v>
      </c>
      <c r="BH36" s="194">
        <f t="shared" si="54"/>
        <v>4.530201342281881E-2</v>
      </c>
      <c r="BI36" s="194">
        <f t="shared" si="54"/>
        <v>-8.0256821829856051E-3</v>
      </c>
      <c r="BJ36" s="194">
        <f t="shared" si="54"/>
        <v>-5.3398058252427161E-2</v>
      </c>
    </row>
    <row r="37" spans="2:62" s="53" customFormat="1" x14ac:dyDescent="0.2">
      <c r="B37" s="53" t="s">
        <v>1018</v>
      </c>
      <c r="C37" s="193"/>
      <c r="D37" s="193"/>
      <c r="E37" s="193"/>
      <c r="F37" s="193"/>
      <c r="G37" s="179">
        <f t="shared" si="53"/>
        <v>-6.018518518518523E-2</v>
      </c>
      <c r="H37" s="179">
        <f t="shared" si="53"/>
        <v>-2.2727272727272707E-2</v>
      </c>
      <c r="I37" s="179">
        <f t="shared" si="53"/>
        <v>-8.1447963800905021E-2</v>
      </c>
      <c r="J37" s="179">
        <f t="shared" si="53"/>
        <v>-0.15207373271889402</v>
      </c>
      <c r="K37" s="179">
        <f t="shared" si="53"/>
        <v>-7.3891625615763568E-2</v>
      </c>
      <c r="L37" s="179">
        <f t="shared" si="53"/>
        <v>-0.15348837209302324</v>
      </c>
      <c r="M37" s="179">
        <f t="shared" si="53"/>
        <v>-7.6847290640394084E-2</v>
      </c>
      <c r="N37" s="179">
        <f t="shared" si="53"/>
        <v>-7.8804347826086918E-2</v>
      </c>
      <c r="O37" s="179">
        <f t="shared" si="53"/>
        <v>-9.4680851063829841E-2</v>
      </c>
      <c r="P37" s="179">
        <f t="shared" si="53"/>
        <v>5.2197802197802234E-2</v>
      </c>
      <c r="Q37" s="179">
        <f t="shared" si="53"/>
        <v>3.2017075773744796E-3</v>
      </c>
      <c r="R37" s="179">
        <f t="shared" si="53"/>
        <v>5.6047197640118007E-2</v>
      </c>
      <c r="S37" s="179">
        <f t="shared" si="53"/>
        <v>7.6380728554641619E-2</v>
      </c>
      <c r="T37" s="179">
        <f t="shared" si="53"/>
        <v>0.12793733681462149</v>
      </c>
      <c r="U37" s="179">
        <f t="shared" si="53"/>
        <v>0.1542553191489362</v>
      </c>
      <c r="V37" s="179">
        <f t="shared" si="53"/>
        <v>0.2670391061452515</v>
      </c>
      <c r="W37" s="179">
        <f t="shared" si="53"/>
        <v>0.19268558951965065</v>
      </c>
      <c r="X37" s="179">
        <f t="shared" si="53"/>
        <v>7.870370370370372E-2</v>
      </c>
      <c r="Y37" s="179">
        <f t="shared" si="53"/>
        <v>8.7557603686635899E-2</v>
      </c>
      <c r="Z37" s="179">
        <f t="shared" si="53"/>
        <v>9.7883597883597906E-2</v>
      </c>
      <c r="AA37" s="179">
        <f t="shared" si="53"/>
        <v>8.9244851258581281E-2</v>
      </c>
      <c r="AB37" s="179">
        <f t="shared" si="53"/>
        <v>9.4420600858369008E-2</v>
      </c>
      <c r="AC37" s="179">
        <f t="shared" si="53"/>
        <v>9.3220338983050821E-2</v>
      </c>
      <c r="AD37" s="179">
        <f t="shared" si="53"/>
        <v>1.2048192771084265E-2</v>
      </c>
      <c r="AE37" s="179">
        <f t="shared" si="53"/>
        <v>8.8235294117646967E-2</v>
      </c>
      <c r="AF37" s="179">
        <f t="shared" si="53"/>
        <v>9.0196078431372451E-2</v>
      </c>
      <c r="AG37" s="179">
        <f t="shared" si="53"/>
        <v>8.9147286821705363E-2</v>
      </c>
      <c r="AH37" s="179">
        <f t="shared" si="53"/>
        <v>0.11111111111111116</v>
      </c>
      <c r="AI37" s="179">
        <f t="shared" si="53"/>
        <v>-3.8610038610038533E-3</v>
      </c>
      <c r="AJ37" s="179">
        <f t="shared" si="53"/>
        <v>7.9136690647481966E-2</v>
      </c>
      <c r="AK37" s="179">
        <f t="shared" si="53"/>
        <v>0.11032028469750887</v>
      </c>
      <c r="AL37" s="179">
        <f t="shared" si="53"/>
        <v>0.11785714285714288</v>
      </c>
      <c r="AM37" s="179">
        <f t="shared" si="53"/>
        <v>0.21317829457364335</v>
      </c>
      <c r="AN37" s="179">
        <f t="shared" si="53"/>
        <v>0.15333333333333332</v>
      </c>
      <c r="AO37" s="179">
        <f t="shared" si="53"/>
        <v>0.10897435897435903</v>
      </c>
      <c r="AP37" s="179">
        <f t="shared" si="53"/>
        <v>-7.9872204472843489E-2</v>
      </c>
      <c r="AQ37" s="179">
        <f t="shared" si="53"/>
        <v>-0.12460063897763574</v>
      </c>
      <c r="AR37" s="179">
        <f t="shared" si="53"/>
        <v>-4.9132947976878616E-2</v>
      </c>
      <c r="AS37" s="179">
        <f t="shared" si="53"/>
        <v>4.0462427745664664E-2</v>
      </c>
      <c r="AT37" s="179">
        <f t="shared" si="53"/>
        <v>0.25</v>
      </c>
      <c r="AU37" s="179">
        <f t="shared" si="53"/>
        <v>0.17883211678832112</v>
      </c>
      <c r="AV37" s="179"/>
      <c r="AW37" s="179"/>
      <c r="AX37" s="179"/>
      <c r="AY37" s="193"/>
      <c r="AZ37" s="193"/>
      <c r="BA37" s="194">
        <f t="shared" si="54"/>
        <v>-7.8947368421052655E-2</v>
      </c>
      <c r="BB37" s="194">
        <f t="shared" si="54"/>
        <v>-9.7018633540372656E-2</v>
      </c>
      <c r="BC37" s="194">
        <f t="shared" si="54"/>
        <v>2.4762690879076565E-3</v>
      </c>
      <c r="BD37" s="194">
        <f t="shared" si="54"/>
        <v>0.15685467270481679</v>
      </c>
      <c r="BE37" s="194">
        <f t="shared" si="54"/>
        <v>0.11091340450771048</v>
      </c>
      <c r="BF37" s="194">
        <f t="shared" si="54"/>
        <v>7.1009076348104605E-2</v>
      </c>
      <c r="BG37" s="194">
        <f t="shared" si="54"/>
        <v>9.4715852442671888E-2</v>
      </c>
      <c r="BH37" s="194">
        <f t="shared" si="54"/>
        <v>7.7413479052823364E-2</v>
      </c>
      <c r="BI37" s="194">
        <f t="shared" si="54"/>
        <v>9.2983939137785354E-2</v>
      </c>
      <c r="BJ37" s="194">
        <f t="shared" si="54"/>
        <v>2.3201856148491906E-2</v>
      </c>
    </row>
    <row r="38" spans="2:62" s="50" customFormat="1" x14ac:dyDescent="0.2">
      <c r="B38" s="50" t="s">
        <v>1019</v>
      </c>
      <c r="C38" s="186"/>
      <c r="D38" s="186"/>
      <c r="E38" s="186"/>
      <c r="F38" s="186"/>
      <c r="G38" s="180">
        <f t="shared" ref="G38:AU40" si="55">G22/C22-1</f>
        <v>1.0000000000000009E-2</v>
      </c>
      <c r="H38" s="180">
        <f t="shared" si="55"/>
        <v>1.0000000000000009E-2</v>
      </c>
      <c r="I38" s="180">
        <f t="shared" si="55"/>
        <v>1.0000000000000009E-2</v>
      </c>
      <c r="J38" s="180">
        <f t="shared" si="55"/>
        <v>-9.9009900990099098E-3</v>
      </c>
      <c r="K38" s="180">
        <f t="shared" si="55"/>
        <v>-6.9349315068493178E-2</v>
      </c>
      <c r="L38" s="180">
        <f t="shared" si="55"/>
        <v>-0.10342806914737768</v>
      </c>
      <c r="M38" s="180">
        <f t="shared" si="55"/>
        <v>-6.5795586527293781E-2</v>
      </c>
      <c r="N38" s="180">
        <f t="shared" si="55"/>
        <v>-0.10000580383052815</v>
      </c>
      <c r="O38" s="180">
        <f t="shared" si="55"/>
        <v>-1.6314014106102337E-2</v>
      </c>
      <c r="P38" s="180">
        <f t="shared" si="55"/>
        <v>7.7973856209150316E-2</v>
      </c>
      <c r="Q38" s="180">
        <f t="shared" si="55"/>
        <v>3.6924224529123029E-2</v>
      </c>
      <c r="R38" s="180">
        <f t="shared" si="55"/>
        <v>6.397797109673764E-2</v>
      </c>
      <c r="S38" s="180">
        <f t="shared" si="55"/>
        <v>0.11674667996757893</v>
      </c>
      <c r="T38" s="180">
        <f t="shared" si="55"/>
        <v>0.10334687443157708</v>
      </c>
      <c r="U38" s="180">
        <f t="shared" si="55"/>
        <v>0.10386067981535874</v>
      </c>
      <c r="V38" s="180">
        <f t="shared" si="55"/>
        <v>0.19931511000666702</v>
      </c>
      <c r="W38" s="180">
        <f t="shared" si="55"/>
        <v>0.14284119141333784</v>
      </c>
      <c r="X38" s="180">
        <f t="shared" si="55"/>
        <v>9.9271878005220637E-2</v>
      </c>
      <c r="Y38" s="180">
        <f t="shared" si="55"/>
        <v>9.9030602547044211E-2</v>
      </c>
      <c r="Z38" s="180">
        <f t="shared" si="55"/>
        <v>0.14304485154769431</v>
      </c>
      <c r="AA38" s="180">
        <f t="shared" si="55"/>
        <v>0.11382510991695161</v>
      </c>
      <c r="AB38" s="180">
        <f t="shared" si="55"/>
        <v>0.13887222555488887</v>
      </c>
      <c r="AC38" s="180">
        <f t="shared" si="55"/>
        <v>0.10243613183772315</v>
      </c>
      <c r="AD38" s="180">
        <f t="shared" si="55"/>
        <v>2.3963215138385285E-2</v>
      </c>
      <c r="AE38" s="180">
        <f t="shared" si="55"/>
        <v>3.289473684210531E-2</v>
      </c>
      <c r="AF38" s="180">
        <f t="shared" si="55"/>
        <v>7.8921955930120413E-2</v>
      </c>
      <c r="AG38" s="180">
        <f t="shared" si="55"/>
        <v>0.10085163603765124</v>
      </c>
      <c r="AH38" s="180">
        <f t="shared" si="55"/>
        <v>0.10751295336787559</v>
      </c>
      <c r="AI38" s="180">
        <f t="shared" si="55"/>
        <v>0.48450106157112516</v>
      </c>
      <c r="AJ38" s="180">
        <f t="shared" si="55"/>
        <v>0.44995931651749399</v>
      </c>
      <c r="AK38" s="180">
        <f t="shared" si="55"/>
        <v>0.47516286644951133</v>
      </c>
      <c r="AL38" s="180">
        <f t="shared" si="55"/>
        <v>0.48538011695906436</v>
      </c>
      <c r="AM38" s="180">
        <f t="shared" si="55"/>
        <v>0.1624713958810069</v>
      </c>
      <c r="AN38" s="180">
        <f t="shared" si="55"/>
        <v>0.13243546576879917</v>
      </c>
      <c r="AO38" s="180">
        <f t="shared" si="55"/>
        <v>0.13138283190725919</v>
      </c>
      <c r="AP38" s="180">
        <f t="shared" si="55"/>
        <v>1.1811023622047223E-2</v>
      </c>
      <c r="AQ38" s="180">
        <f t="shared" si="55"/>
        <v>-8.6860236220472453E-2</v>
      </c>
      <c r="AR38" s="181">
        <f t="shared" si="55"/>
        <v>-4.5094152626362738E-2</v>
      </c>
      <c r="AS38" s="180">
        <f t="shared" si="55"/>
        <v>-2.6835813613076409E-2</v>
      </c>
      <c r="AT38" s="180">
        <f t="shared" si="55"/>
        <v>6.0700389105058372E-2</v>
      </c>
      <c r="AU38" s="180">
        <f t="shared" si="55"/>
        <v>1.4820803018054329E-2</v>
      </c>
      <c r="AV38" s="180"/>
      <c r="AW38" s="180"/>
      <c r="AX38" s="180"/>
      <c r="AY38" s="186"/>
      <c r="AZ38" s="186"/>
      <c r="BA38" s="181">
        <f t="shared" ref="BA38:BJ40" si="56">BA22/AZ22-1</f>
        <v>1.0000000000000009E-2</v>
      </c>
      <c r="BB38" s="181">
        <f t="shared" si="56"/>
        <v>-8.4538277685232255E-2</v>
      </c>
      <c r="BC38" s="181">
        <f t="shared" si="56"/>
        <v>3.976493261749825E-2</v>
      </c>
      <c r="BD38" s="181">
        <f t="shared" si="56"/>
        <v>0.13084368151935699</v>
      </c>
      <c r="BE38" s="181">
        <f t="shared" si="56"/>
        <v>0.12136993675144669</v>
      </c>
      <c r="BF38" s="181">
        <f t="shared" si="56"/>
        <v>9.2680819402608972E-2</v>
      </c>
      <c r="BG38" s="181">
        <f t="shared" si="56"/>
        <v>8.0042173702938868E-2</v>
      </c>
      <c r="BH38" s="181">
        <f>BH22/BG22-1</f>
        <v>0.32245271507016482</v>
      </c>
      <c r="BI38" s="181">
        <f>BI22/BH22-1</f>
        <v>0.23444828911956939</v>
      </c>
      <c r="BJ38" s="181">
        <f>BJ22/BI22-1</f>
        <v>-2.5601096299987525E-2</v>
      </c>
    </row>
    <row r="39" spans="2:62" x14ac:dyDescent="0.2">
      <c r="B39" s="48" t="s">
        <v>1017</v>
      </c>
      <c r="G39" s="182">
        <f t="shared" si="55"/>
        <v>2.0000000000000018E-2</v>
      </c>
      <c r="H39" s="182">
        <f t="shared" si="55"/>
        <v>3.0000000000000027E-2</v>
      </c>
      <c r="I39" s="182">
        <f t="shared" si="55"/>
        <v>2.0000000000000018E-2</v>
      </c>
      <c r="J39" s="182">
        <f t="shared" si="55"/>
        <v>3.0000000000000027E-2</v>
      </c>
      <c r="K39" s="182">
        <f t="shared" si="55"/>
        <v>-4.9840933191940606E-2</v>
      </c>
      <c r="L39" s="182">
        <f t="shared" si="55"/>
        <v>-0.10532150776053217</v>
      </c>
      <c r="M39" s="182">
        <f t="shared" si="55"/>
        <v>-4.6325878594249192E-2</v>
      </c>
      <c r="N39" s="182">
        <f t="shared" si="55"/>
        <v>-0.12890368852459011</v>
      </c>
      <c r="O39" s="182">
        <f t="shared" si="55"/>
        <v>4.1294642857143682E-3</v>
      </c>
      <c r="P39" s="182">
        <f t="shared" si="55"/>
        <v>0.12441140024783137</v>
      </c>
      <c r="Q39" s="182">
        <f t="shared" si="55"/>
        <v>1.6638749302065881E-2</v>
      </c>
      <c r="R39" s="182">
        <f t="shared" si="55"/>
        <v>4.4354791281948636E-2</v>
      </c>
      <c r="S39" s="182">
        <f t="shared" si="55"/>
        <v>0.11125930865844169</v>
      </c>
      <c r="T39" s="182">
        <f t="shared" si="55"/>
        <v>2.6559400484901907E-2</v>
      </c>
      <c r="U39" s="182">
        <f t="shared" si="55"/>
        <v>8.1502636203866219E-2</v>
      </c>
      <c r="V39" s="182">
        <f t="shared" si="55"/>
        <v>0.18538123662574613</v>
      </c>
      <c r="W39" s="182">
        <f t="shared" si="55"/>
        <v>8.1216243248649622E-2</v>
      </c>
      <c r="X39" s="182">
        <f t="shared" si="55"/>
        <v>5.9581320450885711E-2</v>
      </c>
      <c r="Y39" s="182">
        <f t="shared" si="55"/>
        <v>3.8594353036766282E-2</v>
      </c>
      <c r="Z39" s="182">
        <f t="shared" si="55"/>
        <v>7.7339667458432348E-2</v>
      </c>
      <c r="AA39" s="182">
        <f t="shared" si="55"/>
        <v>3.0527289546715908E-2</v>
      </c>
      <c r="AB39" s="182">
        <f t="shared" si="55"/>
        <v>0.1063829787234043</v>
      </c>
      <c r="AC39" s="182">
        <f t="shared" si="55"/>
        <v>5.1437512223743598E-2</v>
      </c>
      <c r="AD39" s="182">
        <f t="shared" si="55"/>
        <v>-7.8490166681366436E-3</v>
      </c>
      <c r="AE39" s="182">
        <f t="shared" si="55"/>
        <v>8.9766606822261341E-3</v>
      </c>
      <c r="AF39" s="182">
        <f t="shared" si="55"/>
        <v>7.0512820512820484E-2</v>
      </c>
      <c r="AG39" s="182">
        <f t="shared" si="55"/>
        <v>5.8407738095238138E-2</v>
      </c>
      <c r="AH39" s="182">
        <f t="shared" si="55"/>
        <v>5.0666666666666638E-2</v>
      </c>
      <c r="AI39" s="182">
        <f t="shared" si="55"/>
        <v>0.44928825622775803</v>
      </c>
      <c r="AJ39" s="182">
        <f t="shared" si="55"/>
        <v>0.33618477331052188</v>
      </c>
      <c r="AK39" s="182">
        <f t="shared" si="55"/>
        <v>0.39806678383128302</v>
      </c>
      <c r="AL39" s="182">
        <f t="shared" si="55"/>
        <v>0.37563451776649748</v>
      </c>
      <c r="AM39" s="182">
        <f t="shared" si="55"/>
        <v>0.11663597298956407</v>
      </c>
      <c r="AN39" s="182">
        <f t="shared" si="55"/>
        <v>8.4507042253521236E-2</v>
      </c>
      <c r="AO39" s="182">
        <f t="shared" si="55"/>
        <v>0.11187932118164667</v>
      </c>
      <c r="AP39" s="182">
        <f t="shared" si="55"/>
        <v>1.7835178351783609E-2</v>
      </c>
      <c r="AQ39" s="182">
        <f t="shared" si="55"/>
        <v>-5.1126992853216091E-2</v>
      </c>
      <c r="AR39" s="183">
        <f t="shared" si="55"/>
        <v>8.2644628099173278E-3</v>
      </c>
      <c r="AS39" s="182">
        <f t="shared" si="55"/>
        <v>-4.4092707744488369E-2</v>
      </c>
      <c r="AT39" s="182">
        <f t="shared" si="55"/>
        <v>5.1963746223564922E-2</v>
      </c>
      <c r="AU39" s="182">
        <f t="shared" si="55"/>
        <v>-9.6176129779837805E-2</v>
      </c>
      <c r="AV39" s="182"/>
      <c r="AW39" s="182"/>
      <c r="AX39" s="182"/>
      <c r="BA39" s="183">
        <f t="shared" si="56"/>
        <v>2.0000000000000018E-2</v>
      </c>
      <c r="BB39" s="183">
        <f t="shared" si="56"/>
        <v>-8.2795212765957471E-2</v>
      </c>
      <c r="BC39" s="183">
        <f t="shared" si="56"/>
        <v>4.5440442602843412E-2</v>
      </c>
      <c r="BD39" s="183">
        <f t="shared" si="56"/>
        <v>0.10068230986853055</v>
      </c>
      <c r="BE39" s="183">
        <f t="shared" si="56"/>
        <v>6.4534825118435668E-2</v>
      </c>
      <c r="BF39" s="183">
        <f t="shared" si="56"/>
        <v>4.3011007219789343E-2</v>
      </c>
      <c r="BG39" s="183">
        <f t="shared" si="56"/>
        <v>4.6933865916209072E-2</v>
      </c>
      <c r="BH39" s="183">
        <f t="shared" si="56"/>
        <v>0.21807934099284632</v>
      </c>
      <c r="BI39" s="183">
        <f t="shared" si="56"/>
        <v>0.23456130984160883</v>
      </c>
      <c r="BJ39" s="183">
        <f t="shared" si="56"/>
        <v>-1.0234971889865885E-2</v>
      </c>
    </row>
    <row r="40" spans="2:62" x14ac:dyDescent="0.2">
      <c r="B40" s="48" t="s">
        <v>1018</v>
      </c>
      <c r="G40" s="182">
        <f t="shared" si="55"/>
        <v>1.0000000000000009E-2</v>
      </c>
      <c r="H40" s="182">
        <f t="shared" si="55"/>
        <v>-9.9009900990097988E-3</v>
      </c>
      <c r="I40" s="182">
        <f t="shared" si="55"/>
        <v>0</v>
      </c>
      <c r="J40" s="182">
        <f t="shared" si="55"/>
        <v>-5.6603773584905759E-2</v>
      </c>
      <c r="K40" s="182">
        <f t="shared" si="55"/>
        <v>-9.2088998763906083E-2</v>
      </c>
      <c r="L40" s="182">
        <f t="shared" si="55"/>
        <v>-0.10130515848353017</v>
      </c>
      <c r="M40" s="182">
        <f t="shared" si="55"/>
        <v>-8.9144316730523587E-2</v>
      </c>
      <c r="N40" s="182">
        <f t="shared" si="55"/>
        <v>-6.224899598393574E-2</v>
      </c>
      <c r="O40" s="182">
        <f t="shared" si="55"/>
        <v>-4.1252552756977479E-2</v>
      </c>
      <c r="P40" s="182">
        <f t="shared" si="55"/>
        <v>2.6141078838174181E-2</v>
      </c>
      <c r="Q40" s="182">
        <f t="shared" si="55"/>
        <v>6.2394840157038667E-2</v>
      </c>
      <c r="R40" s="182">
        <f t="shared" si="55"/>
        <v>8.7794432548179868E-2</v>
      </c>
      <c r="S40" s="182">
        <f t="shared" si="55"/>
        <v>0.12375745526838955</v>
      </c>
      <c r="T40" s="182">
        <f t="shared" si="55"/>
        <v>0.19726378218088692</v>
      </c>
      <c r="U40" s="182">
        <f t="shared" si="55"/>
        <v>0.13072456117196762</v>
      </c>
      <c r="V40" s="182">
        <f t="shared" si="55"/>
        <v>0.21555118110236227</v>
      </c>
      <c r="W40" s="182">
        <f t="shared" si="55"/>
        <v>0.22069880583812473</v>
      </c>
      <c r="X40" s="182">
        <f t="shared" si="55"/>
        <v>0.1408950182943991</v>
      </c>
      <c r="Y40" s="182">
        <f t="shared" si="55"/>
        <v>0.1684855558797782</v>
      </c>
      <c r="Z40" s="182">
        <f t="shared" si="55"/>
        <v>0.21770580296896092</v>
      </c>
      <c r="AA40" s="182">
        <f t="shared" si="55"/>
        <v>0.20703933747412018</v>
      </c>
      <c r="AB40" s="182">
        <f t="shared" si="55"/>
        <v>0.17051509769094153</v>
      </c>
      <c r="AC40" s="182">
        <f t="shared" si="55"/>
        <v>0.15453001698132041</v>
      </c>
      <c r="AD40" s="182">
        <f t="shared" si="55"/>
        <v>5.594467594644903E-2</v>
      </c>
      <c r="AE40" s="182">
        <f t="shared" si="55"/>
        <v>5.5746140651800946E-2</v>
      </c>
      <c r="AF40" s="182">
        <f t="shared" si="55"/>
        <v>8.6663294554037984E-2</v>
      </c>
      <c r="AG40" s="182">
        <f t="shared" si="55"/>
        <v>0.14033569821768466</v>
      </c>
      <c r="AH40" s="182">
        <f t="shared" si="55"/>
        <v>0.16120906801007551</v>
      </c>
      <c r="AI40" s="182">
        <f t="shared" si="55"/>
        <v>0.51665312753858661</v>
      </c>
      <c r="AJ40" s="182">
        <f t="shared" si="55"/>
        <v>0.55314197051978287</v>
      </c>
      <c r="AK40" s="182">
        <f t="shared" si="55"/>
        <v>0.54172989377845226</v>
      </c>
      <c r="AL40" s="182">
        <f t="shared" si="55"/>
        <v>0.57917570498915394</v>
      </c>
      <c r="AM40" s="182">
        <f t="shared" si="55"/>
        <v>0.20246384574183174</v>
      </c>
      <c r="AN40" s="182">
        <f t="shared" si="55"/>
        <v>0.16983016983016985</v>
      </c>
      <c r="AO40" s="182">
        <f t="shared" si="55"/>
        <v>0.14665354330708658</v>
      </c>
      <c r="AP40" s="182">
        <f t="shared" si="55"/>
        <v>7.3260073260073E-3</v>
      </c>
      <c r="AQ40" s="182">
        <f t="shared" si="55"/>
        <v>-0.11581291759465484</v>
      </c>
      <c r="AR40" s="183">
        <f t="shared" si="55"/>
        <v>-8.3689154568744706E-2</v>
      </c>
      <c r="AS40" s="182">
        <f t="shared" si="55"/>
        <v>-1.373390557939913E-2</v>
      </c>
      <c r="AT40" s="182">
        <f t="shared" si="55"/>
        <v>6.7272727272727373E-2</v>
      </c>
      <c r="AU40" s="182">
        <f t="shared" si="55"/>
        <v>0.11133501259445855</v>
      </c>
      <c r="AV40" s="182"/>
      <c r="AW40" s="182"/>
      <c r="AX40" s="182"/>
      <c r="BA40" s="183">
        <f t="shared" si="56"/>
        <v>-1.9607843137254832E-2</v>
      </c>
      <c r="BB40" s="183">
        <f t="shared" si="56"/>
        <v>-8.6623190710991005E-2</v>
      </c>
      <c r="BC40" s="183">
        <f t="shared" si="56"/>
        <v>3.2947896349958317E-2</v>
      </c>
      <c r="BD40" s="183">
        <f t="shared" si="56"/>
        <v>0.16750960954885685</v>
      </c>
      <c r="BE40" s="183">
        <f t="shared" si="56"/>
        <v>0.18650724888811876</v>
      </c>
      <c r="BF40" s="183">
        <f t="shared" si="56"/>
        <v>0.14375425956576771</v>
      </c>
      <c r="BG40" s="183">
        <f t="shared" si="56"/>
        <v>0.11108746541817416</v>
      </c>
      <c r="BH40" s="183">
        <f t="shared" si="56"/>
        <v>0.41467151886611764</v>
      </c>
      <c r="BI40" s="183">
        <f t="shared" si="56"/>
        <v>0.23436230706742478</v>
      </c>
      <c r="BJ40" s="183">
        <f t="shared" si="56"/>
        <v>-3.7292969178457813E-2</v>
      </c>
    </row>
    <row r="41" spans="2:62" x14ac:dyDescent="0.2">
      <c r="B41" s="48" t="s">
        <v>1195</v>
      </c>
      <c r="AR41" s="183">
        <v>3.1E-2</v>
      </c>
    </row>
    <row r="42" spans="2:62" x14ac:dyDescent="0.2">
      <c r="B42" s="48" t="s">
        <v>1196</v>
      </c>
      <c r="AR42" s="183">
        <f>AR38-AR41</f>
        <v>-7.6094152626362738E-2</v>
      </c>
    </row>
    <row r="43" spans="2:62" x14ac:dyDescent="0.2">
      <c r="B43" s="48" t="s">
        <v>1194</v>
      </c>
      <c r="AR43" s="183">
        <v>4.7E-2</v>
      </c>
    </row>
    <row r="44" spans="2:62" x14ac:dyDescent="0.2">
      <c r="B44" s="48" t="s">
        <v>1197</v>
      </c>
      <c r="AR44" s="183">
        <f>AR40-AR43</f>
        <v>-0.13068915456874469</v>
      </c>
    </row>
    <row r="45" spans="2:62" x14ac:dyDescent="0.2">
      <c r="B45" s="48" t="s">
        <v>1452</v>
      </c>
      <c r="C45" s="182">
        <f t="shared" ref="C45:AV45" si="57">C3/$AW$22</f>
        <v>0.12166029272524345</v>
      </c>
      <c r="D45" s="182">
        <f t="shared" si="57"/>
        <v>0.10793383795906925</v>
      </c>
      <c r="E45" s="182">
        <f t="shared" si="57"/>
        <v>0.1166852302260208</v>
      </c>
      <c r="F45" s="182">
        <f t="shared" si="57"/>
        <v>0.1393327726380712</v>
      </c>
      <c r="G45" s="182">
        <f t="shared" si="57"/>
        <v>0.12895991028875806</v>
      </c>
      <c r="H45" s="182">
        <f t="shared" si="57"/>
        <v>0.10793383795906925</v>
      </c>
      <c r="I45" s="182">
        <f t="shared" si="57"/>
        <v>0.1295206055508831</v>
      </c>
      <c r="J45" s="182">
        <f t="shared" si="57"/>
        <v>0.1393327726380712</v>
      </c>
      <c r="K45" s="182">
        <f t="shared" si="57"/>
        <v>0.12699747687132043</v>
      </c>
      <c r="L45" s="182">
        <f t="shared" si="57"/>
        <v>0.10456966638631904</v>
      </c>
      <c r="M45" s="182">
        <f t="shared" si="57"/>
        <v>0.1247546958228203</v>
      </c>
      <c r="N45" s="182">
        <f t="shared" si="57"/>
        <v>0.13204373423044574</v>
      </c>
      <c r="O45" s="182">
        <f t="shared" si="57"/>
        <v>0.12293243622091393</v>
      </c>
      <c r="P45" s="182">
        <f t="shared" si="57"/>
        <v>0.11897953462293243</v>
      </c>
      <c r="Q45" s="182">
        <f t="shared" si="57"/>
        <v>0.12643678160919541</v>
      </c>
      <c r="R45" s="182">
        <f t="shared" si="57"/>
        <v>0.13708999158957108</v>
      </c>
      <c r="S45" s="182">
        <f t="shared" si="57"/>
        <v>0.13638912251191476</v>
      </c>
      <c r="T45" s="182">
        <f t="shared" si="57"/>
        <v>0.12553966918979534</v>
      </c>
      <c r="U45" s="182">
        <f t="shared" si="57"/>
        <v>0.13969722455845249</v>
      </c>
      <c r="V45" s="182">
        <f t="shared" si="57"/>
        <v>0.17118026352677321</v>
      </c>
      <c r="W45" s="182">
        <f t="shared" si="57"/>
        <v>0.15783571628819737</v>
      </c>
      <c r="X45" s="182">
        <f t="shared" si="57"/>
        <v>0.14925707877768432</v>
      </c>
      <c r="Y45" s="182">
        <f t="shared" si="57"/>
        <v>0.15870479394449116</v>
      </c>
      <c r="Z45" s="182">
        <f t="shared" si="57"/>
        <v>0.20535463975329407</v>
      </c>
      <c r="AA45" s="182">
        <f t="shared" si="57"/>
        <v>0.19203812727782449</v>
      </c>
      <c r="AB45" s="182">
        <f t="shared" si="57"/>
        <v>0.17605831230726102</v>
      </c>
      <c r="AC45" s="182">
        <f t="shared" si="57"/>
        <v>0.17768432856742358</v>
      </c>
      <c r="AD45" s="182">
        <f t="shared" si="57"/>
        <v>0.2049341183067003</v>
      </c>
      <c r="AE45" s="182">
        <f t="shared" si="57"/>
        <v>0.18306700308382395</v>
      </c>
      <c r="AF45" s="182">
        <f t="shared" si="57"/>
        <v>0.1889543033361368</v>
      </c>
      <c r="AG45" s="182">
        <f t="shared" si="57"/>
        <v>0.19596299411269974</v>
      </c>
      <c r="AH45" s="182">
        <f t="shared" si="57"/>
        <v>0.21222315671432576</v>
      </c>
      <c r="AI45" s="182">
        <f t="shared" si="57"/>
        <v>0.35239697224558453</v>
      </c>
      <c r="AJ45" s="182">
        <f t="shared" si="57"/>
        <v>0.3380992430613961</v>
      </c>
      <c r="AK45" s="182">
        <f t="shared" si="57"/>
        <v>0.35435940566302215</v>
      </c>
      <c r="AL45" s="182">
        <f t="shared" si="57"/>
        <v>0.39669189795346227</v>
      </c>
      <c r="AM45" s="182">
        <f t="shared" si="57"/>
        <v>0.44687412391365294</v>
      </c>
      <c r="AN45" s="182">
        <f t="shared" si="57"/>
        <v>0.39388842164283711</v>
      </c>
      <c r="AO45" s="182">
        <f t="shared" si="57"/>
        <v>0.40342024109896274</v>
      </c>
      <c r="AP45" s="182">
        <f t="shared" si="57"/>
        <v>0.40818615082702553</v>
      </c>
      <c r="AQ45" s="182">
        <f t="shared" si="57"/>
        <v>0.37790860667227361</v>
      </c>
      <c r="AR45" s="182">
        <f t="shared" si="57"/>
        <v>0.36725539669189794</v>
      </c>
      <c r="AS45" s="182">
        <f t="shared" si="57"/>
        <v>0.39192598822539948</v>
      </c>
      <c r="AT45" s="182">
        <f t="shared" si="57"/>
        <v>0.41996075133165123</v>
      </c>
      <c r="AU45" s="182">
        <f t="shared" si="57"/>
        <v>0.33837959069245865</v>
      </c>
      <c r="AV45" s="182">
        <f t="shared" si="57"/>
        <v>0</v>
      </c>
      <c r="AW45" s="182">
        <f>AW3/$AW$22</f>
        <v>0.31090552284833195</v>
      </c>
    </row>
    <row r="46" spans="2:62" x14ac:dyDescent="0.2">
      <c r="B46" s="48" t="s">
        <v>1453</v>
      </c>
      <c r="C46" s="182">
        <f t="shared" ref="C46:AV46" si="58">C6/$AW$22</f>
        <v>0.10187186776017626</v>
      </c>
      <c r="D46" s="182">
        <f t="shared" si="58"/>
        <v>0.10331329366933514</v>
      </c>
      <c r="E46" s="182">
        <f t="shared" si="58"/>
        <v>9.6773845722542107E-2</v>
      </c>
      <c r="F46" s="182">
        <f t="shared" si="58"/>
        <v>9.4154487413449284E-2</v>
      </c>
      <c r="G46" s="182">
        <f t="shared" si="58"/>
        <v>0.1104569666386319</v>
      </c>
      <c r="H46" s="182">
        <f t="shared" si="58"/>
        <v>0.11157835716288197</v>
      </c>
      <c r="I46" s="182">
        <f t="shared" si="58"/>
        <v>0.10064479955144379</v>
      </c>
      <c r="J46" s="182">
        <f t="shared" si="58"/>
        <v>9.9803756658256235E-2</v>
      </c>
      <c r="K46" s="182">
        <f t="shared" si="58"/>
        <v>0.10372862349313149</v>
      </c>
      <c r="L46" s="182">
        <f t="shared" si="58"/>
        <v>0.10120549481356883</v>
      </c>
      <c r="M46" s="182">
        <f t="shared" si="58"/>
        <v>9.4981777403980935E-2</v>
      </c>
      <c r="N46" s="182">
        <f t="shared" si="58"/>
        <v>9.0776562938043162E-2</v>
      </c>
      <c r="O46" s="182">
        <f t="shared" si="58"/>
        <v>0.1118587047939445</v>
      </c>
      <c r="P46" s="182">
        <f t="shared" si="58"/>
        <v>0.112139052425007</v>
      </c>
      <c r="Q46" s="182">
        <f t="shared" si="58"/>
        <v>0.10972806279786936</v>
      </c>
      <c r="R46" s="182">
        <f t="shared" si="58"/>
        <v>0.10723296888141295</v>
      </c>
      <c r="S46" s="182">
        <f t="shared" si="58"/>
        <v>0.13036164844407064</v>
      </c>
      <c r="T46" s="182">
        <f t="shared" si="58"/>
        <v>0.12559573871600785</v>
      </c>
      <c r="U46" s="182">
        <f t="shared" si="58"/>
        <v>0.11802635267731988</v>
      </c>
      <c r="V46" s="182">
        <f t="shared" si="58"/>
        <v>0.12966077936641435</v>
      </c>
      <c r="W46" s="182">
        <f t="shared" si="58"/>
        <v>0.15763947294645358</v>
      </c>
      <c r="X46" s="182">
        <f t="shared" si="58"/>
        <v>0.14269694421082141</v>
      </c>
      <c r="Y46" s="182">
        <f t="shared" si="58"/>
        <v>0.14269694421082141</v>
      </c>
      <c r="Z46" s="182">
        <f t="shared" si="58"/>
        <v>0.1569946733950098</v>
      </c>
      <c r="AA46" s="182">
        <f t="shared" si="58"/>
        <v>0.17381553125876087</v>
      </c>
      <c r="AB46" s="182">
        <f t="shared" si="58"/>
        <v>0.16876927389963556</v>
      </c>
      <c r="AC46" s="182">
        <f t="shared" si="58"/>
        <v>0.1631623212783852</v>
      </c>
      <c r="AD46" s="182">
        <f t="shared" si="58"/>
        <v>0.16708718811326045</v>
      </c>
      <c r="AE46" s="182">
        <f t="shared" si="58"/>
        <v>0.18474908887019906</v>
      </c>
      <c r="AF46" s="182">
        <f t="shared" si="58"/>
        <v>0.18671152228763668</v>
      </c>
      <c r="AG46" s="182">
        <f t="shared" si="58"/>
        <v>0.17802074572469861</v>
      </c>
      <c r="AH46" s="182">
        <f t="shared" si="58"/>
        <v>0.19203812727782449</v>
      </c>
      <c r="AI46" s="182">
        <f t="shared" si="58"/>
        <v>0.21418559013176339</v>
      </c>
      <c r="AJ46" s="182">
        <f t="shared" si="58"/>
        <v>0.21222315671432576</v>
      </c>
      <c r="AK46" s="182">
        <f t="shared" si="58"/>
        <v>0.20661620409307541</v>
      </c>
      <c r="AL46" s="182">
        <f t="shared" si="58"/>
        <v>0.22231567143257638</v>
      </c>
      <c r="AM46" s="182">
        <f t="shared" si="58"/>
        <v>0.23549201009251472</v>
      </c>
      <c r="AN46" s="182">
        <f t="shared" si="58"/>
        <v>0.2352116624614522</v>
      </c>
      <c r="AO46" s="182">
        <f t="shared" si="58"/>
        <v>0.24053826745164003</v>
      </c>
      <c r="AP46" s="182">
        <f t="shared" si="58"/>
        <v>0.23661340061676478</v>
      </c>
      <c r="AQ46" s="182">
        <f t="shared" si="58"/>
        <v>0.23605270535463976</v>
      </c>
      <c r="AR46" s="182">
        <f t="shared" si="58"/>
        <v>0.23352957667507709</v>
      </c>
      <c r="AS46" s="182">
        <f t="shared" si="58"/>
        <v>0.23605270535463976</v>
      </c>
      <c r="AT46" s="182">
        <f t="shared" si="58"/>
        <v>0.23605270535463976</v>
      </c>
      <c r="AU46" s="182">
        <f t="shared" si="58"/>
        <v>0.25791982057751611</v>
      </c>
      <c r="AV46" s="182">
        <f t="shared" si="58"/>
        <v>0</v>
      </c>
      <c r="AW46" s="182">
        <f>AW6/$AW$22</f>
        <v>0.22427810485001401</v>
      </c>
    </row>
    <row r="47" spans="2:62" x14ac:dyDescent="0.2">
      <c r="B47" s="48" t="s">
        <v>1454</v>
      </c>
      <c r="C47" s="182">
        <f t="shared" ref="C47:AV47" si="59">C9/$AW$22</f>
        <v>8.4349277789143223E-2</v>
      </c>
      <c r="D47" s="182">
        <f t="shared" si="59"/>
        <v>8.6717129240257915E-2</v>
      </c>
      <c r="E47" s="182">
        <f t="shared" si="59"/>
        <v>8.5481217949195054E-2</v>
      </c>
      <c r="F47" s="182">
        <f t="shared" si="59"/>
        <v>8.4418607000608686E-2</v>
      </c>
      <c r="G47" s="182">
        <f t="shared" si="59"/>
        <v>8.6627417998317913E-2</v>
      </c>
      <c r="H47" s="182">
        <f t="shared" si="59"/>
        <v>8.7748808522567986E-2</v>
      </c>
      <c r="I47" s="182">
        <f t="shared" si="59"/>
        <v>8.8029156153630508E-2</v>
      </c>
      <c r="J47" s="182">
        <f t="shared" si="59"/>
        <v>8.3543594056630227E-2</v>
      </c>
      <c r="K47" s="182">
        <f t="shared" si="59"/>
        <v>7.7375946173254842E-2</v>
      </c>
      <c r="L47" s="182">
        <f t="shared" si="59"/>
        <v>8.1861508270255109E-2</v>
      </c>
      <c r="M47" s="182">
        <f t="shared" si="59"/>
        <v>8.1300813008130079E-2</v>
      </c>
      <c r="N47" s="182">
        <f t="shared" si="59"/>
        <v>7.6815250911129798E-2</v>
      </c>
      <c r="O47" s="182">
        <f t="shared" si="59"/>
        <v>7.8861788617886189E-2</v>
      </c>
      <c r="P47" s="182">
        <f t="shared" si="59"/>
        <v>8.2702551163442675E-2</v>
      </c>
      <c r="Q47" s="182">
        <f t="shared" si="59"/>
        <v>8.4188393608074008E-2</v>
      </c>
      <c r="R47" s="182">
        <f t="shared" si="59"/>
        <v>7.9618727221754976E-2</v>
      </c>
      <c r="S47" s="182">
        <f t="shared" si="59"/>
        <v>8.5281749369217827E-2</v>
      </c>
      <c r="T47" s="182">
        <f t="shared" si="59"/>
        <v>9.2654892066162037E-2</v>
      </c>
      <c r="U47" s="182">
        <f t="shared" si="59"/>
        <v>9.4365012615643409E-2</v>
      </c>
      <c r="V47" s="182">
        <f t="shared" si="59"/>
        <v>9.4757499299130923E-2</v>
      </c>
      <c r="W47" s="182">
        <f t="shared" si="59"/>
        <v>9.6159237454443505E-2</v>
      </c>
      <c r="X47" s="182">
        <f t="shared" si="59"/>
        <v>0.10092514718250631</v>
      </c>
      <c r="Y47" s="182">
        <f t="shared" si="59"/>
        <v>0.10131763386599382</v>
      </c>
      <c r="Z47" s="182">
        <f t="shared" si="59"/>
        <v>0.10723296888141295</v>
      </c>
      <c r="AA47" s="182">
        <f t="shared" si="59"/>
        <v>0.1062797869358004</v>
      </c>
      <c r="AB47" s="182">
        <f t="shared" si="59"/>
        <v>0.11017661900756939</v>
      </c>
      <c r="AC47" s="182">
        <f t="shared" si="59"/>
        <v>0.11090552284833194</v>
      </c>
      <c r="AD47" s="182">
        <f t="shared" si="59"/>
        <v>0.11017661900756939</v>
      </c>
      <c r="AE47" s="182">
        <f t="shared" si="59"/>
        <v>0.11382113821138211</v>
      </c>
      <c r="AF47" s="182">
        <f t="shared" si="59"/>
        <v>0.11774600504625736</v>
      </c>
      <c r="AG47" s="182">
        <f t="shared" si="59"/>
        <v>0.12643678160919541</v>
      </c>
      <c r="AH47" s="182">
        <f t="shared" si="59"/>
        <v>0.12924025791982058</v>
      </c>
      <c r="AI47" s="182">
        <f t="shared" si="59"/>
        <v>0.12531539108494533</v>
      </c>
      <c r="AJ47" s="182">
        <f t="shared" si="59"/>
        <v>0.13652929632744604</v>
      </c>
      <c r="AK47" s="182">
        <f t="shared" si="59"/>
        <v>0.14325763947294645</v>
      </c>
      <c r="AL47" s="182">
        <f t="shared" si="59"/>
        <v>0.15054667788057191</v>
      </c>
      <c r="AM47" s="182">
        <f t="shared" si="59"/>
        <v>0.14942528735632185</v>
      </c>
      <c r="AN47" s="182">
        <f t="shared" si="59"/>
        <v>0.16035884496776001</v>
      </c>
      <c r="AO47" s="182">
        <f t="shared" si="59"/>
        <v>0.16428371180263526</v>
      </c>
      <c r="AP47" s="182">
        <f t="shared" si="59"/>
        <v>0.14662181104569666</v>
      </c>
      <c r="AQ47" s="182">
        <f t="shared" si="59"/>
        <v>0.13708999158957108</v>
      </c>
      <c r="AR47" s="182">
        <f t="shared" si="59"/>
        <v>0.14241659657975891</v>
      </c>
      <c r="AS47" s="182">
        <f t="shared" si="59"/>
        <v>0.15250911129800954</v>
      </c>
      <c r="AT47" s="182">
        <f t="shared" si="59"/>
        <v>0.15250911129800954</v>
      </c>
      <c r="AU47" s="182">
        <f t="shared" si="59"/>
        <v>0.14830389683207176</v>
      </c>
      <c r="AV47" s="182">
        <f t="shared" si="59"/>
        <v>0</v>
      </c>
      <c r="AW47" s="182">
        <f>AW9/$AW$22</f>
        <v>0.15867675918138491</v>
      </c>
    </row>
    <row r="48" spans="2:62" x14ac:dyDescent="0.2">
      <c r="B48" s="48" t="s">
        <v>1455</v>
      </c>
      <c r="C48" s="182">
        <f t="shared" ref="C48:AV48" si="60">C12/$AW$22</f>
        <v>0</v>
      </c>
      <c r="D48" s="182">
        <f t="shared" si="60"/>
        <v>0</v>
      </c>
      <c r="E48" s="182">
        <f t="shared" si="60"/>
        <v>0</v>
      </c>
      <c r="F48" s="182">
        <f t="shared" si="60"/>
        <v>0</v>
      </c>
      <c r="G48" s="182">
        <f t="shared" si="60"/>
        <v>0</v>
      </c>
      <c r="H48" s="182">
        <f t="shared" si="60"/>
        <v>0</v>
      </c>
      <c r="I48" s="182">
        <f t="shared" si="60"/>
        <v>0</v>
      </c>
      <c r="J48" s="182">
        <f t="shared" si="60"/>
        <v>0</v>
      </c>
      <c r="K48" s="182">
        <f t="shared" si="60"/>
        <v>0</v>
      </c>
      <c r="L48" s="182">
        <f t="shared" si="60"/>
        <v>0</v>
      </c>
      <c r="M48" s="182">
        <f t="shared" si="60"/>
        <v>0</v>
      </c>
      <c r="N48" s="182">
        <f t="shared" si="60"/>
        <v>0</v>
      </c>
      <c r="O48" s="182">
        <f t="shared" si="60"/>
        <v>0</v>
      </c>
      <c r="P48" s="182">
        <f t="shared" si="60"/>
        <v>0</v>
      </c>
      <c r="Q48" s="182">
        <f t="shared" si="60"/>
        <v>0</v>
      </c>
      <c r="R48" s="182">
        <f t="shared" si="60"/>
        <v>0</v>
      </c>
      <c r="S48" s="182">
        <f t="shared" si="60"/>
        <v>0</v>
      </c>
      <c r="T48" s="182">
        <f t="shared" si="60"/>
        <v>0</v>
      </c>
      <c r="U48" s="182">
        <f t="shared" si="60"/>
        <v>0</v>
      </c>
      <c r="V48" s="182">
        <f t="shared" si="60"/>
        <v>0</v>
      </c>
      <c r="W48" s="182">
        <f t="shared" si="60"/>
        <v>0</v>
      </c>
      <c r="X48" s="182">
        <f t="shared" si="60"/>
        <v>0</v>
      </c>
      <c r="Y48" s="182">
        <f t="shared" si="60"/>
        <v>0</v>
      </c>
      <c r="Z48" s="182">
        <f t="shared" si="60"/>
        <v>0</v>
      </c>
      <c r="AA48" s="182">
        <f t="shared" si="60"/>
        <v>0</v>
      </c>
      <c r="AB48" s="182">
        <f t="shared" si="60"/>
        <v>0</v>
      </c>
      <c r="AC48" s="182">
        <f t="shared" si="60"/>
        <v>0</v>
      </c>
      <c r="AD48" s="182">
        <f t="shared" si="60"/>
        <v>0</v>
      </c>
      <c r="AE48" s="182">
        <f t="shared" si="60"/>
        <v>0</v>
      </c>
      <c r="AF48" s="182">
        <f t="shared" si="60"/>
        <v>0</v>
      </c>
      <c r="AG48" s="182">
        <f t="shared" si="60"/>
        <v>2.6913372582001681E-2</v>
      </c>
      <c r="AH48" s="182">
        <f t="shared" si="60"/>
        <v>3.1679282310064477E-2</v>
      </c>
      <c r="AI48" s="182">
        <f t="shared" si="60"/>
        <v>0.10064479955144379</v>
      </c>
      <c r="AJ48" s="182">
        <f t="shared" si="60"/>
        <v>9.9243061396131205E-2</v>
      </c>
      <c r="AK48" s="182">
        <f t="shared" si="60"/>
        <v>0.11101766190075694</v>
      </c>
      <c r="AL48" s="182">
        <f t="shared" si="60"/>
        <v>0.10625175217269414</v>
      </c>
      <c r="AM48" s="182">
        <f t="shared" si="60"/>
        <v>0.10821418559013177</v>
      </c>
      <c r="AN48" s="182">
        <f t="shared" si="60"/>
        <v>0.11438183347350715</v>
      </c>
      <c r="AO48" s="182">
        <f t="shared" si="60"/>
        <v>0.12167087188113261</v>
      </c>
      <c r="AP48" s="182">
        <f t="shared" si="60"/>
        <v>0.11101766190075694</v>
      </c>
      <c r="AQ48" s="182">
        <f t="shared" si="60"/>
        <v>0.10232688533781889</v>
      </c>
      <c r="AR48" s="182">
        <f t="shared" si="60"/>
        <v>0.10821418559013177</v>
      </c>
      <c r="AS48" s="182">
        <f t="shared" si="60"/>
        <v>0.11494252873563218</v>
      </c>
      <c r="AT48" s="182">
        <f t="shared" si="60"/>
        <v>0.11494252873563218</v>
      </c>
      <c r="AU48" s="182">
        <f t="shared" si="60"/>
        <v>0.10681244743481917</v>
      </c>
      <c r="AV48" s="182">
        <f t="shared" si="60"/>
        <v>0</v>
      </c>
      <c r="AW48" s="182">
        <f>AW12/$AW$22</f>
        <v>0.10765349032800672</v>
      </c>
    </row>
    <row r="49" spans="2:62" x14ac:dyDescent="0.2">
      <c r="B49" s="48" t="s">
        <v>1456</v>
      </c>
      <c r="C49" s="182">
        <f t="shared" ref="C49:AV49" si="61">C15/$AW$22</f>
        <v>9.7280627978693579E-2</v>
      </c>
      <c r="D49" s="182">
        <f t="shared" si="61"/>
        <v>9.9243061396131205E-2</v>
      </c>
      <c r="E49" s="182">
        <f t="shared" si="61"/>
        <v>0.10092514718250631</v>
      </c>
      <c r="F49" s="182">
        <f t="shared" si="61"/>
        <v>0.10036445192038128</v>
      </c>
      <c r="G49" s="182">
        <f t="shared" si="61"/>
        <v>9.5318194561255953E-2</v>
      </c>
      <c r="H49" s="182">
        <f t="shared" si="61"/>
        <v>9.8121670871881131E-2</v>
      </c>
      <c r="I49" s="182">
        <f t="shared" si="61"/>
        <v>9.5318194561255953E-2</v>
      </c>
      <c r="J49" s="182">
        <f t="shared" si="61"/>
        <v>8.8029156153630508E-2</v>
      </c>
      <c r="K49" s="182">
        <f t="shared" si="61"/>
        <v>8.7468460891505465E-2</v>
      </c>
      <c r="L49" s="182">
        <f t="shared" si="61"/>
        <v>8.5225679843005331E-2</v>
      </c>
      <c r="M49" s="182">
        <f t="shared" si="61"/>
        <v>9.12251191477432E-2</v>
      </c>
      <c r="N49" s="182">
        <f t="shared" si="61"/>
        <v>8.0877488085225685E-2</v>
      </c>
      <c r="O49" s="182">
        <f t="shared" si="61"/>
        <v>8.3431455004205221E-2</v>
      </c>
      <c r="P49" s="182">
        <f t="shared" si="61"/>
        <v>8.9851415755536859E-2</v>
      </c>
      <c r="Q49" s="182">
        <f t="shared" si="61"/>
        <v>9.0552284833193164E-2</v>
      </c>
      <c r="R49" s="182">
        <f t="shared" si="61"/>
        <v>8.7047939444911696E-2</v>
      </c>
      <c r="S49" s="182">
        <f t="shared" si="61"/>
        <v>8.763666947014298E-2</v>
      </c>
      <c r="T49" s="182">
        <f t="shared" si="61"/>
        <v>9.6439585085506027E-2</v>
      </c>
      <c r="U49" s="182">
        <f t="shared" si="61"/>
        <v>0.10047659097280627</v>
      </c>
      <c r="V49" s="182">
        <f t="shared" si="61"/>
        <v>9.9355200448556197E-2</v>
      </c>
      <c r="W49" s="182">
        <f t="shared" si="61"/>
        <v>9.7673114662181093E-2</v>
      </c>
      <c r="X49" s="182">
        <f t="shared" si="61"/>
        <v>0.10316792823100644</v>
      </c>
      <c r="Y49" s="182">
        <f t="shared" si="61"/>
        <v>0.1040650406504065</v>
      </c>
      <c r="Z49" s="182">
        <f t="shared" si="61"/>
        <v>0.1072049341183067</v>
      </c>
      <c r="AA49" s="182">
        <f t="shared" si="61"/>
        <v>0.10569105691056911</v>
      </c>
      <c r="AB49" s="182">
        <f t="shared" si="61"/>
        <v>0.11382113821138211</v>
      </c>
      <c r="AC49" s="182">
        <f t="shared" si="61"/>
        <v>0.11157835716288197</v>
      </c>
      <c r="AD49" s="182">
        <f t="shared" si="61"/>
        <v>0.1087748808522568</v>
      </c>
      <c r="AE49" s="182">
        <f t="shared" si="61"/>
        <v>0.1118587047939445</v>
      </c>
      <c r="AF49" s="182">
        <f t="shared" si="61"/>
        <v>0.12419400056069527</v>
      </c>
      <c r="AG49" s="182">
        <f t="shared" si="61"/>
        <v>0.12111017661900757</v>
      </c>
      <c r="AH49" s="182">
        <f t="shared" si="61"/>
        <v>0.11774600504625736</v>
      </c>
      <c r="AI49" s="182">
        <f t="shared" si="61"/>
        <v>0.11802635267731988</v>
      </c>
      <c r="AJ49" s="182">
        <f t="shared" si="61"/>
        <v>0.12980095318194562</v>
      </c>
      <c r="AK49" s="182">
        <f t="shared" si="61"/>
        <v>0.12924025791982058</v>
      </c>
      <c r="AL49" s="182">
        <f t="shared" si="61"/>
        <v>0.12924025791982058</v>
      </c>
      <c r="AM49" s="182">
        <f t="shared" si="61"/>
        <v>0.12924025791982058</v>
      </c>
      <c r="AN49" s="182">
        <f t="shared" si="61"/>
        <v>0.14129520605550883</v>
      </c>
      <c r="AO49" s="182">
        <f t="shared" si="61"/>
        <v>0.14297729184188393</v>
      </c>
      <c r="AP49" s="182">
        <f t="shared" si="61"/>
        <v>0.12223156714325764</v>
      </c>
      <c r="AQ49" s="182">
        <f t="shared" si="61"/>
        <v>0.11858704793944491</v>
      </c>
      <c r="AR49" s="182">
        <f t="shared" si="61"/>
        <v>0.13484721054107093</v>
      </c>
      <c r="AS49" s="182">
        <f t="shared" si="61"/>
        <v>0.14073451079338378</v>
      </c>
      <c r="AT49" s="182">
        <f t="shared" si="61"/>
        <v>0.14073451079338378</v>
      </c>
      <c r="AU49" s="182">
        <f t="shared" si="61"/>
        <v>0.13148303896832073</v>
      </c>
      <c r="AV49" s="182">
        <f t="shared" si="61"/>
        <v>0</v>
      </c>
      <c r="AW49" s="182">
        <f>AW15/$AW$22</f>
        <v>0.12867956265769553</v>
      </c>
    </row>
    <row r="50" spans="2:62" x14ac:dyDescent="0.2">
      <c r="B50" s="48" t="s">
        <v>1457</v>
      </c>
      <c r="C50" s="182">
        <f t="shared" ref="C50:AV50" si="62">C18/$AW$22</f>
        <v>7.7485281749369236E-2</v>
      </c>
      <c r="D50" s="182">
        <f t="shared" si="62"/>
        <v>7.4491169049621525E-2</v>
      </c>
      <c r="E50" s="182">
        <f t="shared" si="62"/>
        <v>7.6862910008410432E-2</v>
      </c>
      <c r="F50" s="182">
        <f t="shared" si="62"/>
        <v>6.9547777705893765E-2</v>
      </c>
      <c r="G50" s="182">
        <f t="shared" si="62"/>
        <v>6.9806560134566861E-2</v>
      </c>
      <c r="H50" s="182">
        <f t="shared" si="62"/>
        <v>7.3030557891785808E-2</v>
      </c>
      <c r="I50" s="182">
        <f t="shared" si="62"/>
        <v>6.9245864872441831E-2</v>
      </c>
      <c r="J50" s="182">
        <f t="shared" si="62"/>
        <v>7.2329688814129517E-2</v>
      </c>
      <c r="K50" s="182">
        <f t="shared" si="62"/>
        <v>6.1536305018222597E-2</v>
      </c>
      <c r="L50" s="182">
        <f t="shared" si="62"/>
        <v>5.6069526212503502E-2</v>
      </c>
      <c r="M50" s="182">
        <f t="shared" si="62"/>
        <v>5.8732828707597419E-2</v>
      </c>
      <c r="N50" s="182">
        <f t="shared" si="62"/>
        <v>5.4499579478553405E-2</v>
      </c>
      <c r="O50" s="182">
        <f t="shared" si="62"/>
        <v>5.2565180824222034E-2</v>
      </c>
      <c r="P50" s="182">
        <f t="shared" si="62"/>
        <v>5.8704793944491171E-2</v>
      </c>
      <c r="Q50" s="182">
        <f t="shared" si="62"/>
        <v>5.6742360527053545E-2</v>
      </c>
      <c r="R50" s="182">
        <f t="shared" si="62"/>
        <v>5.1555929352396973E-2</v>
      </c>
      <c r="S50" s="182">
        <f t="shared" si="62"/>
        <v>6.23493131483039E-2</v>
      </c>
      <c r="T50" s="182">
        <f t="shared" si="62"/>
        <v>6.9806560134566861E-2</v>
      </c>
      <c r="U50" s="182">
        <f t="shared" si="62"/>
        <v>6.352677319876647E-2</v>
      </c>
      <c r="V50" s="182">
        <f t="shared" si="62"/>
        <v>5.9714045416316232E-2</v>
      </c>
      <c r="W50" s="182">
        <f t="shared" si="62"/>
        <v>6.4564059433697793E-2</v>
      </c>
      <c r="X50" s="182">
        <f t="shared" si="62"/>
        <v>6.476030277544155E-2</v>
      </c>
      <c r="Y50" s="182">
        <f t="shared" si="62"/>
        <v>6.0555088309503784E-2</v>
      </c>
      <c r="Z50" s="182">
        <f t="shared" si="62"/>
        <v>5.7303055789178582E-2</v>
      </c>
      <c r="AA50" s="182">
        <f t="shared" si="62"/>
        <v>6.1368096439585081E-2</v>
      </c>
      <c r="AB50" s="182">
        <f t="shared" si="62"/>
        <v>6.9862629660779357E-2</v>
      </c>
      <c r="AC50" s="182">
        <f t="shared" si="62"/>
        <v>6.2125035043453888E-2</v>
      </c>
      <c r="AD50" s="182">
        <f t="shared" si="62"/>
        <v>5.8312307261003643E-2</v>
      </c>
      <c r="AE50" s="182">
        <f t="shared" si="62"/>
        <v>6.6722736192879176E-2</v>
      </c>
      <c r="AF50" s="182">
        <f t="shared" si="62"/>
        <v>7.1488645920941965E-2</v>
      </c>
      <c r="AG50" s="182">
        <f t="shared" si="62"/>
        <v>4.0089711241940003E-2</v>
      </c>
      <c r="AH50" s="182">
        <f t="shared" si="62"/>
        <v>3.6164844407064758E-2</v>
      </c>
      <c r="AI50" s="182">
        <f t="shared" si="62"/>
        <v>6.9526212503504339E-2</v>
      </c>
      <c r="AJ50" s="182">
        <f t="shared" si="62"/>
        <v>8.3263246425567705E-2</v>
      </c>
      <c r="AK50" s="182">
        <f t="shared" si="62"/>
        <v>7.1208298289879457E-2</v>
      </c>
      <c r="AL50" s="182">
        <f t="shared" si="62"/>
        <v>6.3078216989066446E-2</v>
      </c>
      <c r="AM50" s="182">
        <f t="shared" si="62"/>
        <v>7.0086907765629383E-2</v>
      </c>
      <c r="AN50" s="182">
        <f t="shared" si="62"/>
        <v>8.6347070367255391E-2</v>
      </c>
      <c r="AO50" s="182">
        <f t="shared" si="62"/>
        <v>7.6254555649004768E-2</v>
      </c>
      <c r="AP50" s="182">
        <f t="shared" si="62"/>
        <v>5.6069526212503502E-2</v>
      </c>
      <c r="AQ50" s="182">
        <f t="shared" si="62"/>
        <v>6.8404821979254279E-2</v>
      </c>
      <c r="AR50" s="182">
        <f t="shared" si="62"/>
        <v>9.4196804037005893E-2</v>
      </c>
      <c r="AS50" s="182">
        <f t="shared" si="62"/>
        <v>8.2141855901317631E-2</v>
      </c>
      <c r="AT50" s="182">
        <f t="shared" si="62"/>
        <v>8.2141855901317631E-2</v>
      </c>
      <c r="AU50" s="182">
        <f t="shared" si="62"/>
        <v>7.2890384076254561E-2</v>
      </c>
      <c r="AV50" s="182">
        <f t="shared" si="62"/>
        <v>0</v>
      </c>
      <c r="AW50" s="182">
        <f>AW18/$AW$22</f>
        <v>6.9806560134566861E-2</v>
      </c>
    </row>
    <row r="51" spans="2:62" x14ac:dyDescent="0.2">
      <c r="B51" s="38" t="s">
        <v>1221</v>
      </c>
    </row>
    <row r="53" spans="2:62" customFormat="1" ht="13.5" customHeight="1" x14ac:dyDescent="0.2">
      <c r="B53" s="76"/>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row>
    <row r="54" spans="2:62" customFormat="1" ht="13.5" customHeight="1" x14ac:dyDescent="0.2">
      <c r="B54" s="76"/>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6"/>
      <c r="AZ54" s="76"/>
      <c r="BA54" s="76"/>
      <c r="BB54" s="76"/>
      <c r="BC54" s="76"/>
      <c r="BD54" s="76"/>
      <c r="BE54" s="76"/>
      <c r="BF54" s="76"/>
      <c r="BG54" s="76"/>
      <c r="BH54" s="76"/>
      <c r="BI54" s="76"/>
      <c r="BJ54" s="76"/>
    </row>
    <row r="55" spans="2:62" customFormat="1" ht="13.5" customHeight="1" x14ac:dyDescent="0.2">
      <c r="B55" s="7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row>
    <row r="56" spans="2:62" customFormat="1" ht="13.5" customHeight="1" x14ac:dyDescent="0.2">
      <c r="B56" s="76"/>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row>
    <row r="57" spans="2:62" customFormat="1" ht="13.5" customHeight="1" x14ac:dyDescent="0.2">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c r="AP57" s="76"/>
      <c r="AQ57" s="76"/>
      <c r="AR57" s="76"/>
      <c r="AS57" s="76"/>
      <c r="AT57" s="76"/>
      <c r="AU57" s="76"/>
      <c r="AV57" s="76"/>
      <c r="AW57" s="76"/>
      <c r="AX57" s="76"/>
      <c r="AY57" s="76"/>
      <c r="AZ57" s="76"/>
      <c r="BA57" s="76"/>
      <c r="BB57" s="76"/>
      <c r="BC57" s="76"/>
      <c r="BD57" s="76"/>
      <c r="BE57" s="76"/>
      <c r="BF57" s="76"/>
      <c r="BG57" s="76"/>
      <c r="BH57" s="76"/>
      <c r="BI57" s="76"/>
      <c r="BJ57" s="76"/>
    </row>
    <row r="58" spans="2:62" customFormat="1" ht="13.5" customHeight="1" x14ac:dyDescent="0.2">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76"/>
      <c r="AY58" s="76"/>
      <c r="AZ58" s="76"/>
      <c r="BA58" s="76"/>
      <c r="BB58" s="76"/>
      <c r="BC58" s="76"/>
      <c r="BD58" s="76"/>
      <c r="BE58" s="76"/>
      <c r="BF58" s="76"/>
      <c r="BG58" s="76"/>
      <c r="BH58" s="76"/>
      <c r="BI58" s="76"/>
      <c r="BJ58" s="76"/>
    </row>
    <row r="59" spans="2:62" customFormat="1" ht="13.5" customHeight="1" x14ac:dyDescent="0.2">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6"/>
      <c r="AZ59" s="76"/>
      <c r="BA59" s="76"/>
      <c r="BB59" s="76"/>
      <c r="BC59" s="76"/>
      <c r="BD59" s="76"/>
      <c r="BE59" s="76"/>
      <c r="BF59" s="76"/>
      <c r="BG59" s="76"/>
      <c r="BH59" s="76"/>
      <c r="BI59" s="76"/>
      <c r="BJ59" s="76"/>
    </row>
    <row r="60" spans="2:62" customFormat="1" ht="13.5" customHeight="1" x14ac:dyDescent="0.2">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6"/>
      <c r="AZ60" s="76"/>
      <c r="BA60" s="76"/>
      <c r="BB60" s="76"/>
      <c r="BC60" s="76"/>
      <c r="BD60" s="76"/>
      <c r="BE60" s="76"/>
      <c r="BF60" s="76"/>
      <c r="BG60" s="76"/>
      <c r="BH60" s="76"/>
      <c r="BI60" s="76"/>
      <c r="BJ60" s="76"/>
    </row>
    <row r="61" spans="2:62" customFormat="1" ht="13.5" customHeight="1" x14ac:dyDescent="0.2">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c r="BB61" s="76"/>
      <c r="BC61" s="76"/>
      <c r="BD61" s="76"/>
      <c r="BE61" s="76"/>
      <c r="BF61" s="76"/>
      <c r="BG61" s="76"/>
      <c r="BH61" s="76"/>
      <c r="BI61" s="76"/>
      <c r="BJ61" s="76"/>
    </row>
    <row r="62" spans="2:62" customFormat="1" ht="13.5" customHeight="1" x14ac:dyDescent="0.2">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76"/>
      <c r="BH62" s="76"/>
      <c r="BI62" s="76"/>
      <c r="BJ62" s="76"/>
    </row>
    <row r="63" spans="2:62" customFormat="1" ht="13.5" customHeight="1" x14ac:dyDescent="0.2">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76"/>
      <c r="BB63" s="76"/>
      <c r="BC63" s="76"/>
      <c r="BD63" s="76"/>
      <c r="BE63" s="76"/>
      <c r="BF63" s="76"/>
      <c r="BG63" s="76"/>
      <c r="BH63" s="76"/>
      <c r="BI63" s="76"/>
      <c r="BJ63" s="76"/>
    </row>
    <row r="64" spans="2:62" customFormat="1" ht="13.5" customHeight="1" x14ac:dyDescent="0.2">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76"/>
      <c r="BB64" s="76"/>
      <c r="BC64" s="76"/>
      <c r="BD64" s="76"/>
      <c r="BE64" s="76"/>
      <c r="BF64" s="76"/>
      <c r="BG64" s="76"/>
      <c r="BH64" s="76"/>
      <c r="BI64" s="76"/>
      <c r="BJ64" s="76"/>
    </row>
    <row r="65" spans="2:62" customFormat="1" ht="13.5" customHeight="1" x14ac:dyDescent="0.2">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76"/>
      <c r="AZ65" s="76"/>
      <c r="BA65" s="76"/>
      <c r="BB65" s="76"/>
      <c r="BC65" s="76"/>
      <c r="BD65" s="76"/>
      <c r="BE65" s="76"/>
      <c r="BF65" s="76"/>
      <c r="BG65" s="76"/>
      <c r="BH65" s="76"/>
      <c r="BI65" s="76"/>
      <c r="BJ65" s="76"/>
    </row>
    <row r="66" spans="2:62" customFormat="1" ht="13.5" customHeight="1" x14ac:dyDescent="0.2">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row>
    <row r="67" spans="2:62" customFormat="1" ht="13.5" customHeight="1" x14ac:dyDescent="0.2">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76"/>
      <c r="BB67" s="76"/>
      <c r="BC67" s="76"/>
      <c r="BD67" s="76"/>
      <c r="BE67" s="76"/>
      <c r="BF67" s="76"/>
      <c r="BG67" s="76"/>
      <c r="BH67" s="76"/>
      <c r="BI67" s="76"/>
      <c r="BJ67" s="76"/>
    </row>
    <row r="68" spans="2:62" customFormat="1" ht="13.5" customHeight="1" x14ac:dyDescent="0.2">
      <c r="B68" s="76"/>
      <c r="C68" s="76"/>
      <c r="D68" s="76"/>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c r="AH68" s="76"/>
      <c r="AI68" s="76"/>
      <c r="AJ68" s="76"/>
      <c r="AK68" s="76"/>
      <c r="AL68" s="76"/>
      <c r="AM68" s="76"/>
      <c r="AN68" s="76"/>
      <c r="AO68" s="76"/>
      <c r="AP68" s="76"/>
      <c r="AQ68" s="76"/>
      <c r="AR68" s="76"/>
      <c r="AS68" s="76"/>
      <c r="AT68" s="76"/>
      <c r="AU68" s="76"/>
      <c r="AV68" s="76"/>
      <c r="AW68" s="76"/>
      <c r="AX68" s="76"/>
      <c r="AY68" s="76"/>
      <c r="AZ68" s="76"/>
      <c r="BA68" s="76"/>
      <c r="BB68" s="76"/>
      <c r="BC68" s="76"/>
      <c r="BD68" s="76"/>
      <c r="BE68" s="76"/>
      <c r="BF68" s="76"/>
      <c r="BG68" s="76"/>
      <c r="BH68" s="76"/>
      <c r="BI68" s="76"/>
      <c r="BJ68" s="76"/>
    </row>
    <row r="69" spans="2:62" customFormat="1" ht="13.5" customHeight="1" x14ac:dyDescent="0.2">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6"/>
      <c r="AZ69" s="76"/>
      <c r="BA69" s="76"/>
      <c r="BB69" s="76"/>
      <c r="BC69" s="76"/>
      <c r="BD69" s="76"/>
      <c r="BE69" s="76"/>
      <c r="BF69" s="76"/>
      <c r="BG69" s="76"/>
      <c r="BH69" s="76"/>
      <c r="BI69" s="76"/>
      <c r="BJ69" s="76"/>
    </row>
    <row r="70" spans="2:62" customFormat="1" ht="13.5" customHeight="1" x14ac:dyDescent="0.2">
      <c r="B70" s="76"/>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76"/>
      <c r="AJ70" s="76"/>
      <c r="AK70" s="76"/>
      <c r="AL70" s="76"/>
      <c r="AM70" s="76"/>
      <c r="AN70" s="76"/>
      <c r="AO70" s="76"/>
      <c r="AP70" s="76"/>
      <c r="AQ70" s="76"/>
      <c r="AR70" s="76"/>
      <c r="AS70" s="76"/>
      <c r="AT70" s="76"/>
      <c r="AU70" s="76"/>
      <c r="AV70" s="76"/>
      <c r="AW70" s="76"/>
      <c r="AX70" s="76"/>
      <c r="AY70" s="76"/>
      <c r="AZ70" s="76"/>
      <c r="BA70" s="76"/>
      <c r="BB70" s="76"/>
      <c r="BC70" s="76"/>
      <c r="BD70" s="76"/>
      <c r="BE70" s="76"/>
      <c r="BF70" s="76"/>
      <c r="BG70" s="76"/>
      <c r="BH70" s="76"/>
      <c r="BI70" s="76"/>
      <c r="BJ70" s="76"/>
    </row>
    <row r="71" spans="2:62" customFormat="1" ht="13.5" customHeight="1" x14ac:dyDescent="0.2">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76"/>
      <c r="BB71" s="76"/>
      <c r="BC71" s="76"/>
      <c r="BD71" s="76"/>
      <c r="BE71" s="76"/>
      <c r="BF71" s="76"/>
      <c r="BG71" s="76"/>
      <c r="BH71" s="76"/>
      <c r="BI71" s="76"/>
      <c r="BJ71" s="76"/>
    </row>
    <row r="72" spans="2:62" customFormat="1" ht="13.5" customHeight="1" x14ac:dyDescent="0.2">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76"/>
      <c r="AJ72" s="76"/>
      <c r="AK72" s="76"/>
      <c r="AL72" s="76"/>
      <c r="AM72" s="76"/>
      <c r="AN72" s="76"/>
      <c r="AO72" s="76"/>
      <c r="AP72" s="76"/>
      <c r="AQ72" s="76"/>
      <c r="AR72" s="76"/>
      <c r="AS72" s="76"/>
      <c r="AT72" s="76"/>
      <c r="AU72" s="76"/>
      <c r="AV72" s="76"/>
      <c r="AW72" s="76"/>
      <c r="AX72" s="76"/>
      <c r="AY72" s="76"/>
      <c r="AZ72" s="76"/>
      <c r="BA72" s="76"/>
      <c r="BB72" s="76"/>
      <c r="BC72" s="76"/>
      <c r="BD72" s="76"/>
      <c r="BE72" s="76"/>
      <c r="BF72" s="76"/>
      <c r="BG72" s="76"/>
      <c r="BH72" s="76"/>
      <c r="BI72" s="76"/>
      <c r="BJ72" s="76"/>
    </row>
    <row r="73" spans="2:62" customFormat="1" ht="13.5" customHeight="1" x14ac:dyDescent="0.2">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6"/>
      <c r="AZ73" s="76"/>
      <c r="BA73" s="76"/>
      <c r="BB73" s="76"/>
      <c r="BC73" s="76"/>
      <c r="BD73" s="76"/>
      <c r="BE73" s="76"/>
      <c r="BF73" s="76"/>
      <c r="BG73" s="76"/>
      <c r="BH73" s="76"/>
      <c r="BI73" s="76"/>
      <c r="BJ73" s="76"/>
    </row>
    <row r="74" spans="2:62" customFormat="1" ht="13.5" customHeight="1" x14ac:dyDescent="0.2">
      <c r="B74" s="76"/>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6"/>
      <c r="AZ74" s="76"/>
      <c r="BA74" s="76"/>
      <c r="BB74" s="76"/>
      <c r="BC74" s="76"/>
      <c r="BD74" s="76"/>
      <c r="BE74" s="76"/>
      <c r="BF74" s="76"/>
      <c r="BG74" s="76"/>
      <c r="BH74" s="76"/>
      <c r="BI74" s="76"/>
      <c r="BJ74" s="76"/>
    </row>
    <row r="75" spans="2:62" customFormat="1" ht="13.5" customHeight="1" x14ac:dyDescent="0.2">
      <c r="B75" s="76"/>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76"/>
      <c r="AJ75" s="76"/>
      <c r="AK75" s="76"/>
      <c r="AL75" s="76"/>
      <c r="AM75" s="76"/>
      <c r="AN75" s="76"/>
      <c r="AO75" s="76"/>
      <c r="AP75" s="76"/>
      <c r="AQ75" s="76"/>
      <c r="AR75" s="76"/>
      <c r="AS75" s="76"/>
      <c r="AT75" s="76"/>
      <c r="AU75" s="76"/>
      <c r="AV75" s="76"/>
      <c r="AW75" s="76"/>
      <c r="AX75" s="76"/>
      <c r="AY75" s="76"/>
      <c r="AZ75" s="76"/>
      <c r="BA75" s="76"/>
      <c r="BB75" s="76"/>
      <c r="BC75" s="76"/>
      <c r="BD75" s="76"/>
      <c r="BE75" s="76"/>
      <c r="BF75" s="76"/>
      <c r="BG75" s="76"/>
      <c r="BH75" s="76"/>
      <c r="BI75" s="76"/>
      <c r="BJ75" s="76"/>
    </row>
    <row r="76" spans="2:62" customFormat="1" ht="13.5" customHeight="1" x14ac:dyDescent="0.2">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c r="AH76" s="76"/>
      <c r="AI76" s="76"/>
      <c r="AJ76" s="76"/>
      <c r="AK76" s="76"/>
      <c r="AL76" s="76"/>
      <c r="AM76" s="76"/>
      <c r="AN76" s="76"/>
      <c r="AO76" s="76"/>
      <c r="AP76" s="76"/>
      <c r="AQ76" s="76"/>
      <c r="AR76" s="76"/>
      <c r="AS76" s="76"/>
      <c r="AT76" s="76"/>
      <c r="AU76" s="76"/>
      <c r="AV76" s="76"/>
      <c r="AW76" s="76"/>
      <c r="AX76" s="76"/>
      <c r="AY76" s="76"/>
      <c r="AZ76" s="76"/>
      <c r="BA76" s="76"/>
      <c r="BB76" s="76"/>
      <c r="BC76" s="76"/>
      <c r="BD76" s="76"/>
      <c r="BE76" s="76"/>
      <c r="BF76" s="76"/>
      <c r="BG76" s="76"/>
      <c r="BH76" s="76"/>
      <c r="BI76" s="76"/>
      <c r="BJ76" s="76"/>
    </row>
    <row r="77" spans="2:62" customFormat="1" ht="13.5" customHeight="1" x14ac:dyDescent="0.2">
      <c r="B77" s="76"/>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6"/>
      <c r="BF77" s="76"/>
      <c r="BG77" s="76"/>
      <c r="BH77" s="76"/>
      <c r="BI77" s="76"/>
      <c r="BJ77" s="76"/>
    </row>
    <row r="78" spans="2:62" customFormat="1" ht="13.5" customHeight="1" x14ac:dyDescent="0.2">
      <c r="B78" s="76"/>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76"/>
      <c r="AJ78" s="76"/>
      <c r="AK78" s="76"/>
      <c r="AL78" s="76"/>
      <c r="AM78" s="76"/>
      <c r="AN78" s="76"/>
      <c r="AO78" s="76"/>
      <c r="AP78" s="76"/>
      <c r="AQ78" s="76"/>
      <c r="AR78" s="76"/>
      <c r="AS78" s="76"/>
      <c r="AT78" s="76"/>
      <c r="AU78" s="76"/>
      <c r="AV78" s="76"/>
      <c r="AW78" s="76"/>
      <c r="AX78" s="76"/>
      <c r="AY78" s="76"/>
      <c r="AZ78" s="76"/>
      <c r="BA78" s="76"/>
      <c r="BB78" s="76"/>
      <c r="BC78" s="76"/>
      <c r="BD78" s="76"/>
      <c r="BE78" s="76"/>
      <c r="BF78" s="76"/>
      <c r="BG78" s="76"/>
      <c r="BH78" s="76"/>
      <c r="BI78" s="76"/>
      <c r="BJ78" s="76"/>
    </row>
    <row r="79" spans="2:62" customFormat="1" ht="13.5" customHeight="1" x14ac:dyDescent="0.2">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76"/>
      <c r="AJ79" s="76"/>
      <c r="AK79" s="76"/>
      <c r="AL79" s="76"/>
      <c r="AM79" s="76"/>
      <c r="AN79" s="76"/>
      <c r="AO79" s="76"/>
      <c r="AP79" s="76"/>
      <c r="AQ79" s="76"/>
      <c r="AR79" s="76"/>
      <c r="AS79" s="76"/>
      <c r="AT79" s="76"/>
      <c r="AU79" s="76"/>
      <c r="AV79" s="76"/>
      <c r="AW79" s="76"/>
      <c r="AX79" s="76"/>
      <c r="AY79" s="76"/>
      <c r="AZ79" s="76"/>
      <c r="BA79" s="76"/>
      <c r="BB79" s="76"/>
      <c r="BC79" s="76"/>
      <c r="BD79" s="76"/>
      <c r="BE79" s="76"/>
      <c r="BF79" s="76"/>
      <c r="BG79" s="76"/>
      <c r="BH79" s="76"/>
      <c r="BI79" s="76"/>
      <c r="BJ79" s="76"/>
    </row>
    <row r="80" spans="2:62" customFormat="1" ht="13.5" customHeight="1" x14ac:dyDescent="0.2">
      <c r="C80" s="76"/>
      <c r="D80" s="76"/>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6"/>
      <c r="AZ80" s="76"/>
      <c r="BA80" s="76"/>
      <c r="BB80" s="76"/>
      <c r="BC80" s="76"/>
      <c r="BD80" s="76"/>
      <c r="BE80" s="76"/>
      <c r="BF80" s="76"/>
      <c r="BG80" s="76"/>
      <c r="BH80" s="76"/>
      <c r="BI80" s="76"/>
      <c r="BJ80" s="76"/>
    </row>
    <row r="81" spans="3:62" customFormat="1" ht="13.5" customHeight="1" x14ac:dyDescent="0.2">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c r="AI81" s="76"/>
      <c r="AJ81" s="76"/>
      <c r="AK81" s="76"/>
      <c r="AL81" s="76"/>
      <c r="AM81" s="76"/>
      <c r="AN81" s="76"/>
      <c r="AO81" s="76"/>
      <c r="AP81" s="76"/>
      <c r="AQ81" s="76"/>
      <c r="AR81" s="76"/>
      <c r="AS81" s="76"/>
      <c r="AT81" s="76"/>
      <c r="AU81" s="76"/>
      <c r="AV81" s="76"/>
      <c r="AW81" s="76"/>
      <c r="AX81" s="76"/>
      <c r="AY81" s="76"/>
      <c r="AZ81" s="76"/>
      <c r="BA81" s="76"/>
      <c r="BB81" s="76"/>
      <c r="BC81" s="76"/>
      <c r="BD81" s="76"/>
      <c r="BE81" s="76"/>
      <c r="BF81" s="76"/>
      <c r="BG81" s="76"/>
      <c r="BH81" s="76"/>
      <c r="BI81" s="76"/>
      <c r="BJ81" s="76"/>
    </row>
    <row r="82" spans="3:62" customFormat="1" ht="13.5" customHeight="1" x14ac:dyDescent="0.2">
      <c r="C82" s="76"/>
      <c r="D82" s="76"/>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c r="AH82" s="76"/>
      <c r="AI82" s="76"/>
      <c r="AJ82" s="76"/>
      <c r="AK82" s="76"/>
      <c r="AL82" s="76"/>
      <c r="AM82" s="76"/>
      <c r="AN82" s="76"/>
      <c r="AO82" s="76"/>
      <c r="AP82" s="76"/>
      <c r="AQ82" s="76"/>
      <c r="AR82" s="76"/>
      <c r="AS82" s="76"/>
      <c r="AT82" s="76"/>
      <c r="AU82" s="76"/>
      <c r="AV82" s="76"/>
      <c r="AW82" s="76"/>
      <c r="AX82" s="76"/>
      <c r="AY82" s="76"/>
      <c r="AZ82" s="76"/>
      <c r="BA82" s="76"/>
      <c r="BB82" s="76"/>
      <c r="BC82" s="76"/>
      <c r="BD82" s="76"/>
      <c r="BE82" s="76"/>
      <c r="BF82" s="76"/>
      <c r="BG82" s="76"/>
      <c r="BH82" s="76"/>
      <c r="BI82" s="76"/>
      <c r="BJ82" s="76"/>
    </row>
    <row r="83" spans="3:62" customFormat="1" ht="13.5" customHeight="1" x14ac:dyDescent="0.2">
      <c r="C83" s="76"/>
      <c r="D83" s="76"/>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c r="AH83" s="76"/>
      <c r="AI83" s="76"/>
      <c r="AJ83" s="76"/>
      <c r="AK83" s="76"/>
      <c r="AL83" s="76"/>
      <c r="AM83" s="76"/>
      <c r="AN83" s="76"/>
      <c r="AO83" s="76"/>
      <c r="AP83" s="76"/>
      <c r="AQ83" s="76"/>
      <c r="AR83" s="76"/>
      <c r="AS83" s="76"/>
      <c r="AT83" s="76"/>
      <c r="AU83" s="76"/>
      <c r="AV83" s="76"/>
      <c r="AW83" s="76"/>
      <c r="AX83" s="76"/>
      <c r="AY83" s="76"/>
      <c r="AZ83" s="76"/>
      <c r="BA83" s="76"/>
      <c r="BB83" s="76"/>
      <c r="BC83" s="76"/>
      <c r="BD83" s="76"/>
      <c r="BE83" s="76"/>
      <c r="BF83" s="76"/>
      <c r="BG83" s="76"/>
      <c r="BH83" s="76"/>
      <c r="BI83" s="76"/>
      <c r="BJ83" s="76"/>
    </row>
    <row r="84" spans="3:62" customFormat="1" ht="13.5" customHeight="1" x14ac:dyDescent="0.2">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c r="AJ84" s="76"/>
      <c r="AK84" s="76"/>
      <c r="AL84" s="76"/>
      <c r="AM84" s="76"/>
      <c r="AN84" s="76"/>
      <c r="AO84" s="76"/>
      <c r="AP84" s="76"/>
      <c r="AQ84" s="76"/>
      <c r="AR84" s="76"/>
      <c r="AS84" s="76"/>
      <c r="AT84" s="76"/>
      <c r="AU84" s="76"/>
      <c r="AV84" s="76"/>
      <c r="AW84" s="76"/>
      <c r="AX84" s="76"/>
      <c r="AY84" s="76"/>
      <c r="AZ84" s="76"/>
      <c r="BA84" s="76"/>
      <c r="BB84" s="76"/>
      <c r="BC84" s="76"/>
      <c r="BD84" s="76"/>
      <c r="BE84" s="76"/>
      <c r="BF84" s="76"/>
      <c r="BG84" s="76"/>
      <c r="BH84" s="76"/>
      <c r="BI84" s="76"/>
      <c r="BJ84" s="76"/>
    </row>
  </sheetData>
  <phoneticPr fontId="11" type="noConversion"/>
  <hyperlinks>
    <hyperlink ref="A1" location="Main!A1" display="Main" xr:uid="{00000000-0004-0000-2400-000000000000}"/>
  </hyperlinks>
  <pageMargins left="0.74791666666666667" right="0.74791666666666667" top="0.98402777777777783" bottom="0.98402777777777772" header="0.51180555555555562" footer="0.5"/>
  <pageSetup scale="32" firstPageNumber="0" orientation="landscape" horizontalDpi="300" verticalDpi="300" r:id="rId1"/>
  <headerFooter alignWithMargins="0">
    <oddFooter>&amp;RKatherine Martinelli
Merrill Lynch Med Tech
(617) 350-5864
Katherine_Martinelli@ml.com</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
  <sheetViews>
    <sheetView workbookViewId="0"/>
  </sheetViews>
  <sheetFormatPr defaultColWidth="8.85546875" defaultRowHeight="12.75" x14ac:dyDescent="0.2"/>
  <sheetData>
    <row r="1" spans="1:8" x14ac:dyDescent="0.2">
      <c r="A1" s="264" t="s">
        <v>1553</v>
      </c>
      <c r="B1" s="264"/>
      <c r="C1" s="264"/>
      <c r="D1" s="264"/>
      <c r="E1" s="264"/>
      <c r="F1" s="264"/>
      <c r="G1" s="264"/>
      <c r="H1" s="264"/>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CA88"/>
  <sheetViews>
    <sheetView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9.140625" defaultRowHeight="12.75" x14ac:dyDescent="0.2"/>
  <cols>
    <col min="1" max="1" width="5" style="56" customWidth="1"/>
    <col min="2" max="2" width="25.140625" style="56" customWidth="1"/>
    <col min="3" max="11" width="7.42578125" style="56" customWidth="1"/>
    <col min="12" max="22" width="7.42578125" style="57" customWidth="1"/>
    <col min="23" max="27" width="7.42578125" style="56" customWidth="1"/>
    <col min="28" max="31" width="7.42578125" style="57" customWidth="1"/>
    <col min="32" max="37" width="7.42578125" style="56" customWidth="1"/>
    <col min="38" max="40" width="8.42578125" style="56" customWidth="1"/>
    <col min="41" max="16384" width="9.140625" style="56"/>
  </cols>
  <sheetData>
    <row r="1" spans="1:37" x14ac:dyDescent="0.2">
      <c r="A1" s="2" t="s">
        <v>154</v>
      </c>
      <c r="B1" s="58"/>
      <c r="C1" s="57"/>
      <c r="D1" s="57"/>
      <c r="E1" s="57"/>
      <c r="F1" s="57"/>
      <c r="G1" s="57"/>
      <c r="H1" s="57"/>
      <c r="I1" s="57"/>
      <c r="J1" s="57"/>
      <c r="K1" s="57"/>
      <c r="U1" s="59"/>
      <c r="V1" s="59"/>
      <c r="W1" s="57"/>
      <c r="X1" s="57"/>
      <c r="Y1" s="57"/>
      <c r="Z1" s="57"/>
      <c r="AA1" s="57"/>
      <c r="AE1" s="59"/>
      <c r="AF1" s="60"/>
      <c r="AG1" s="57"/>
      <c r="AH1" s="57"/>
      <c r="AI1" s="57"/>
    </row>
    <row r="2" spans="1:37" x14ac:dyDescent="0.2">
      <c r="B2" s="61"/>
      <c r="C2" s="62" t="s">
        <v>277</v>
      </c>
      <c r="D2" s="62" t="s">
        <v>278</v>
      </c>
      <c r="E2" s="62" t="s">
        <v>279</v>
      </c>
      <c r="F2" s="62" t="s">
        <v>280</v>
      </c>
      <c r="G2" s="62" t="s">
        <v>281</v>
      </c>
      <c r="H2" s="62" t="s">
        <v>282</v>
      </c>
      <c r="I2" s="62" t="s">
        <v>283</v>
      </c>
      <c r="J2" s="62" t="s">
        <v>284</v>
      </c>
      <c r="K2" s="62" t="s">
        <v>285</v>
      </c>
      <c r="L2" s="62" t="s">
        <v>286</v>
      </c>
      <c r="M2" s="62" t="s">
        <v>287</v>
      </c>
      <c r="N2" s="62" t="s">
        <v>288</v>
      </c>
      <c r="O2" s="62" t="s">
        <v>289</v>
      </c>
      <c r="P2" s="62" t="s">
        <v>290</v>
      </c>
      <c r="Q2" s="62" t="s">
        <v>291</v>
      </c>
      <c r="R2" s="62" t="s">
        <v>292</v>
      </c>
      <c r="S2" s="62" t="s">
        <v>293</v>
      </c>
      <c r="T2" s="62" t="s">
        <v>294</v>
      </c>
      <c r="U2" s="62" t="s">
        <v>295</v>
      </c>
      <c r="V2" s="62" t="s">
        <v>296</v>
      </c>
      <c r="W2" s="62" t="s">
        <v>297</v>
      </c>
      <c r="X2" s="62" t="s">
        <v>298</v>
      </c>
      <c r="Y2" s="62" t="s">
        <v>299</v>
      </c>
      <c r="Z2" s="224"/>
      <c r="AA2" s="63">
        <v>2000</v>
      </c>
      <c r="AB2" s="225">
        <v>2001</v>
      </c>
      <c r="AC2" s="225">
        <v>2002</v>
      </c>
      <c r="AD2" s="225">
        <v>2003</v>
      </c>
      <c r="AE2" s="63">
        <v>2004</v>
      </c>
      <c r="AF2" s="63">
        <v>2005</v>
      </c>
      <c r="AG2" s="226">
        <v>2006</v>
      </c>
      <c r="AH2" s="226">
        <v>2007</v>
      </c>
      <c r="AI2" s="224"/>
      <c r="AJ2" s="224"/>
      <c r="AK2" s="224"/>
    </row>
    <row r="3" spans="1:37" x14ac:dyDescent="0.2">
      <c r="B3" s="58" t="s">
        <v>1272</v>
      </c>
      <c r="C3" s="227">
        <v>17</v>
      </c>
      <c r="D3" s="227">
        <v>27</v>
      </c>
      <c r="E3" s="227">
        <v>50</v>
      </c>
      <c r="F3" s="227">
        <v>64</v>
      </c>
      <c r="G3" s="227">
        <v>68</v>
      </c>
      <c r="H3" s="227">
        <v>79.2</v>
      </c>
      <c r="I3" s="227">
        <v>78.2</v>
      </c>
      <c r="J3" s="227">
        <v>90.2</v>
      </c>
      <c r="K3" s="227">
        <v>104</v>
      </c>
      <c r="L3" s="227">
        <v>101</v>
      </c>
      <c r="M3" s="227">
        <v>101</v>
      </c>
      <c r="N3" s="227">
        <v>99</v>
      </c>
      <c r="O3" s="227">
        <v>52</v>
      </c>
      <c r="P3" s="227">
        <v>209</v>
      </c>
      <c r="Q3" s="227">
        <v>430</v>
      </c>
      <c r="R3" s="227">
        <v>470</v>
      </c>
      <c r="S3" s="227">
        <v>432.4</v>
      </c>
      <c r="T3" s="227">
        <v>211</v>
      </c>
      <c r="U3" s="227">
        <v>269</v>
      </c>
      <c r="V3" s="227">
        <v>307</v>
      </c>
      <c r="W3" s="228">
        <v>317</v>
      </c>
      <c r="X3" s="227">
        <v>320</v>
      </c>
      <c r="Y3" s="228">
        <v>347</v>
      </c>
      <c r="Z3" s="224"/>
      <c r="AA3" s="227">
        <v>158</v>
      </c>
      <c r="AB3" s="227">
        <f>G3+H3+I3+J3</f>
        <v>315.59999999999997</v>
      </c>
      <c r="AC3" s="227">
        <f t="shared" ref="AC3:AC10" si="0">K3+L3+M3+N3</f>
        <v>405</v>
      </c>
      <c r="AD3" s="227">
        <f>O3+P3+Q3+R3</f>
        <v>1161</v>
      </c>
      <c r="AE3" s="227">
        <f>S3+T3+U3+V3</f>
        <v>1219.4000000000001</v>
      </c>
      <c r="AF3" s="224"/>
      <c r="AG3" s="224"/>
      <c r="AH3" s="224"/>
      <c r="AI3" s="224"/>
      <c r="AJ3" s="224"/>
      <c r="AK3" s="224"/>
    </row>
    <row r="4" spans="1:37" x14ac:dyDescent="0.2">
      <c r="B4" s="64" t="s">
        <v>581</v>
      </c>
      <c r="C4" s="227">
        <v>20</v>
      </c>
      <c r="D4" s="227">
        <v>20</v>
      </c>
      <c r="E4" s="227">
        <v>26</v>
      </c>
      <c r="F4" s="227">
        <v>30</v>
      </c>
      <c r="G4" s="227">
        <f>94-68</f>
        <v>26</v>
      </c>
      <c r="H4" s="227">
        <v>37.200000000000003</v>
      </c>
      <c r="I4" s="227">
        <v>32.200000000000003</v>
      </c>
      <c r="J4" s="227">
        <v>55</v>
      </c>
      <c r="K4" s="227">
        <f>142-104</f>
        <v>38</v>
      </c>
      <c r="L4" s="227">
        <v>61</v>
      </c>
      <c r="M4" s="227">
        <v>73.5</v>
      </c>
      <c r="N4" s="227">
        <v>98</v>
      </c>
      <c r="O4" s="227">
        <v>110</v>
      </c>
      <c r="P4" s="227">
        <v>115</v>
      </c>
      <c r="Q4" s="227">
        <v>90</v>
      </c>
      <c r="R4" s="227">
        <v>110</v>
      </c>
      <c r="S4" s="227">
        <v>122.4</v>
      </c>
      <c r="T4" s="227">
        <v>136</v>
      </c>
      <c r="U4" s="227">
        <v>179</v>
      </c>
      <c r="V4" s="227">
        <v>254</v>
      </c>
      <c r="W4" s="228">
        <v>300</v>
      </c>
      <c r="X4" s="227">
        <v>339</v>
      </c>
      <c r="Y4" s="228">
        <v>309</v>
      </c>
      <c r="Z4" s="224"/>
      <c r="AA4" s="227">
        <v>96</v>
      </c>
      <c r="AB4" s="227">
        <f>G4+H4+I4+J4</f>
        <v>150.4</v>
      </c>
      <c r="AC4" s="227">
        <f t="shared" si="0"/>
        <v>270.5</v>
      </c>
      <c r="AD4" s="227">
        <f>O4+P4+Q4+R4</f>
        <v>425</v>
      </c>
      <c r="AE4" s="227">
        <f>S4+T4+U4+V4</f>
        <v>691.4</v>
      </c>
      <c r="AF4" s="224"/>
      <c r="AG4" s="224"/>
      <c r="AH4" s="224"/>
      <c r="AI4" s="224"/>
      <c r="AJ4" s="224"/>
      <c r="AK4" s="224"/>
    </row>
    <row r="5" spans="1:37" x14ac:dyDescent="0.2">
      <c r="B5" s="58" t="s">
        <v>1093</v>
      </c>
      <c r="C5" s="227">
        <v>94</v>
      </c>
      <c r="D5" s="227">
        <v>89</v>
      </c>
      <c r="E5" s="227">
        <v>99</v>
      </c>
      <c r="F5" s="227">
        <v>101</v>
      </c>
      <c r="G5" s="227"/>
      <c r="H5" s="227">
        <v>115.4</v>
      </c>
      <c r="I5" s="227">
        <v>118.3</v>
      </c>
      <c r="J5" s="227"/>
      <c r="K5" s="227"/>
      <c r="L5" s="227">
        <v>130</v>
      </c>
      <c r="M5" s="227">
        <v>124.8</v>
      </c>
      <c r="N5" s="227">
        <v>139.5</v>
      </c>
      <c r="O5" s="227">
        <v>132</v>
      </c>
      <c r="P5" s="227">
        <v>151</v>
      </c>
      <c r="Q5" s="227">
        <v>144</v>
      </c>
      <c r="R5" s="227">
        <v>169</v>
      </c>
      <c r="S5" s="227">
        <v>159</v>
      </c>
      <c r="T5" s="227">
        <v>157</v>
      </c>
      <c r="U5" s="227">
        <v>158.5</v>
      </c>
      <c r="V5" s="227">
        <v>172.6</v>
      </c>
      <c r="W5" s="228"/>
      <c r="X5" s="227"/>
      <c r="Y5" s="228"/>
      <c r="Z5" s="224"/>
      <c r="AA5" s="227">
        <v>383</v>
      </c>
      <c r="AB5" s="227">
        <f>G5+H5+I5+J5</f>
        <v>233.7</v>
      </c>
      <c r="AC5" s="227">
        <f t="shared" si="0"/>
        <v>394.3</v>
      </c>
      <c r="AD5" s="227">
        <f>O5+P5+Q5+R5</f>
        <v>596</v>
      </c>
      <c r="AE5" s="227">
        <f>S5+T5+U5+V5</f>
        <v>647.1</v>
      </c>
      <c r="AF5" s="224"/>
      <c r="AG5" s="224"/>
      <c r="AH5" s="224"/>
      <c r="AI5" s="224"/>
      <c r="AJ5" s="224"/>
      <c r="AK5" s="224"/>
    </row>
    <row r="6" spans="1:37" x14ac:dyDescent="0.2">
      <c r="B6" s="64" t="s">
        <v>581</v>
      </c>
      <c r="C6" s="227">
        <v>118</v>
      </c>
      <c r="D6" s="227">
        <v>111</v>
      </c>
      <c r="E6" s="227">
        <v>95</v>
      </c>
      <c r="F6" s="227">
        <v>95</v>
      </c>
      <c r="G6" s="227"/>
      <c r="H6" s="227">
        <v>110.2</v>
      </c>
      <c r="I6" s="227">
        <v>98.2</v>
      </c>
      <c r="J6" s="227">
        <v>101</v>
      </c>
      <c r="K6" s="227"/>
      <c r="L6" s="227">
        <v>117</v>
      </c>
      <c r="M6" s="227">
        <v>115</v>
      </c>
      <c r="N6" s="227">
        <v>112.5</v>
      </c>
      <c r="O6" s="227">
        <v>126</v>
      </c>
      <c r="P6" s="227">
        <v>124</v>
      </c>
      <c r="Q6" s="227">
        <v>127</v>
      </c>
      <c r="R6" s="227">
        <v>147</v>
      </c>
      <c r="S6" s="227">
        <v>163.19999999999999</v>
      </c>
      <c r="T6" s="227">
        <v>160</v>
      </c>
      <c r="U6" s="227">
        <v>149.5</v>
      </c>
      <c r="V6" s="227">
        <v>181.5</v>
      </c>
      <c r="W6" s="228"/>
      <c r="X6" s="227"/>
      <c r="Y6" s="228"/>
      <c r="Z6" s="224"/>
      <c r="AA6" s="227">
        <v>419</v>
      </c>
      <c r="AB6" s="227">
        <f>G6+H6+I6+J6</f>
        <v>309.39999999999998</v>
      </c>
      <c r="AC6" s="227">
        <f t="shared" si="0"/>
        <v>344.5</v>
      </c>
      <c r="AD6" s="227">
        <f>O6+P6+Q6+R6</f>
        <v>524</v>
      </c>
      <c r="AE6" s="227">
        <f>S6+T6+U6+V6</f>
        <v>654.20000000000005</v>
      </c>
      <c r="AF6" s="224"/>
      <c r="AG6" s="224"/>
      <c r="AH6" s="224"/>
      <c r="AI6" s="224"/>
      <c r="AJ6" s="224"/>
      <c r="AK6" s="224"/>
    </row>
    <row r="7" spans="1:37" x14ac:dyDescent="0.2">
      <c r="B7" s="64" t="s">
        <v>582</v>
      </c>
      <c r="C7" s="227">
        <v>212</v>
      </c>
      <c r="D7" s="227">
        <v>200</v>
      </c>
      <c r="E7" s="227">
        <v>194</v>
      </c>
      <c r="F7" s="227">
        <v>196</v>
      </c>
      <c r="G7" s="227"/>
      <c r="H7" s="227">
        <f t="shared" ref="H7:R7" si="1">SUM(H5:H6)</f>
        <v>225.60000000000002</v>
      </c>
      <c r="I7" s="227">
        <f t="shared" si="1"/>
        <v>216.5</v>
      </c>
      <c r="J7" s="227"/>
      <c r="K7" s="227"/>
      <c r="L7" s="227">
        <f t="shared" si="1"/>
        <v>247</v>
      </c>
      <c r="M7" s="227">
        <f t="shared" si="1"/>
        <v>239.8</v>
      </c>
      <c r="N7" s="227">
        <f t="shared" si="1"/>
        <v>252</v>
      </c>
      <c r="O7" s="227">
        <f t="shared" si="1"/>
        <v>258</v>
      </c>
      <c r="P7" s="227">
        <f t="shared" si="1"/>
        <v>275</v>
      </c>
      <c r="Q7" s="227">
        <f t="shared" si="1"/>
        <v>271</v>
      </c>
      <c r="R7" s="227">
        <f t="shared" si="1"/>
        <v>316</v>
      </c>
      <c r="S7" s="227">
        <f>SUM(S5:S6)</f>
        <v>322.2</v>
      </c>
      <c r="T7" s="227">
        <f>SUM(T5:T6)</f>
        <v>317</v>
      </c>
      <c r="U7" s="227">
        <f>SUM(U5:U6)</f>
        <v>308</v>
      </c>
      <c r="V7" s="227">
        <f>SUM(V5:V6)</f>
        <v>354.1</v>
      </c>
      <c r="W7" s="227"/>
      <c r="X7" s="227"/>
      <c r="Y7" s="227"/>
      <c r="Z7" s="224"/>
      <c r="AA7" s="227">
        <v>802</v>
      </c>
      <c r="AB7" s="227">
        <f>AB5+AB6</f>
        <v>543.09999999999991</v>
      </c>
      <c r="AC7" s="227">
        <f t="shared" si="0"/>
        <v>738.8</v>
      </c>
      <c r="AD7" s="227">
        <f>O7+P7+Q7+R7</f>
        <v>1120</v>
      </c>
      <c r="AE7" s="227">
        <f>S7+T7+U7+V7</f>
        <v>1301.3000000000002</v>
      </c>
      <c r="AF7" s="224"/>
      <c r="AG7" s="224"/>
      <c r="AH7" s="224"/>
      <c r="AI7" s="224"/>
      <c r="AJ7" s="224"/>
      <c r="AK7" s="224"/>
    </row>
    <row r="8" spans="1:37" x14ac:dyDescent="0.2">
      <c r="B8" s="58" t="s">
        <v>1094</v>
      </c>
      <c r="C8" s="227">
        <v>111</v>
      </c>
      <c r="D8" s="227">
        <v>116</v>
      </c>
      <c r="E8" s="227">
        <v>149</v>
      </c>
      <c r="F8" s="227">
        <v>165</v>
      </c>
      <c r="G8" s="227">
        <v>167.4</v>
      </c>
      <c r="H8" s="227">
        <v>194.2</v>
      </c>
      <c r="I8" s="227">
        <v>195.5</v>
      </c>
      <c r="J8" s="227">
        <v>210.5</v>
      </c>
      <c r="K8" s="227">
        <v>214</v>
      </c>
      <c r="L8" s="227"/>
      <c r="M8" s="227"/>
      <c r="N8" s="227"/>
      <c r="O8" s="227"/>
      <c r="P8" s="227"/>
      <c r="Q8" s="227"/>
      <c r="R8" s="227"/>
      <c r="S8" s="227"/>
      <c r="T8" s="227"/>
      <c r="U8" s="227"/>
      <c r="V8" s="227"/>
      <c r="W8" s="227">
        <v>476.4</v>
      </c>
      <c r="X8" s="227">
        <v>485</v>
      </c>
      <c r="Y8" s="227">
        <v>519.49</v>
      </c>
      <c r="Z8" s="224"/>
      <c r="AA8" s="227">
        <v>541</v>
      </c>
      <c r="AB8" s="227">
        <f>G8+H8+I8+J8</f>
        <v>767.6</v>
      </c>
      <c r="AC8" s="227">
        <f t="shared" si="0"/>
        <v>214</v>
      </c>
      <c r="AD8" s="227"/>
      <c r="AE8" s="227"/>
      <c r="AF8" s="224"/>
      <c r="AG8" s="224"/>
      <c r="AH8" s="224"/>
      <c r="AI8" s="224"/>
      <c r="AJ8" s="224"/>
      <c r="AK8" s="224"/>
    </row>
    <row r="9" spans="1:37" x14ac:dyDescent="0.2">
      <c r="B9" s="64" t="s">
        <v>581</v>
      </c>
      <c r="C9" s="227">
        <v>138</v>
      </c>
      <c r="D9" s="227">
        <v>131</v>
      </c>
      <c r="E9" s="227">
        <v>121</v>
      </c>
      <c r="F9" s="227">
        <v>125</v>
      </c>
      <c r="G9" s="227">
        <v>143</v>
      </c>
      <c r="H9" s="227">
        <v>147.30000000000001</v>
      </c>
      <c r="I9" s="227">
        <v>130.19999999999999</v>
      </c>
      <c r="J9" s="227">
        <v>155.5</v>
      </c>
      <c r="K9" s="227">
        <v>155</v>
      </c>
      <c r="L9" s="227"/>
      <c r="M9" s="227"/>
      <c r="N9" s="227"/>
      <c r="O9" s="227"/>
      <c r="P9" s="227"/>
      <c r="Q9" s="227"/>
      <c r="R9" s="227"/>
      <c r="S9" s="227"/>
      <c r="T9" s="227"/>
      <c r="U9" s="227"/>
      <c r="V9" s="227"/>
      <c r="W9" s="227">
        <v>492.5</v>
      </c>
      <c r="X9" s="227">
        <v>529</v>
      </c>
      <c r="Y9" s="227">
        <v>474.68</v>
      </c>
      <c r="Z9" s="224"/>
      <c r="AA9" s="227">
        <v>515</v>
      </c>
      <c r="AB9" s="227">
        <f>G9+H9+I9+J9</f>
        <v>576</v>
      </c>
      <c r="AC9" s="227">
        <f t="shared" si="0"/>
        <v>155</v>
      </c>
      <c r="AD9" s="227"/>
      <c r="AE9" s="227"/>
      <c r="AF9" s="224"/>
      <c r="AG9" s="224"/>
      <c r="AH9" s="224"/>
      <c r="AI9" s="224"/>
      <c r="AJ9" s="224"/>
      <c r="AK9" s="224"/>
    </row>
    <row r="10" spans="1:37" x14ac:dyDescent="0.2">
      <c r="B10" s="64" t="s">
        <v>582</v>
      </c>
      <c r="C10" s="227">
        <v>249</v>
      </c>
      <c r="D10" s="227">
        <v>247</v>
      </c>
      <c r="E10" s="227">
        <v>270</v>
      </c>
      <c r="F10" s="227">
        <v>290</v>
      </c>
      <c r="G10" s="227">
        <f t="shared" ref="G10:K10" si="2">SUM(G8:G9)</f>
        <v>310.39999999999998</v>
      </c>
      <c r="H10" s="227">
        <f t="shared" si="2"/>
        <v>341.5</v>
      </c>
      <c r="I10" s="227">
        <f t="shared" si="2"/>
        <v>325.7</v>
      </c>
      <c r="J10" s="227">
        <f t="shared" si="2"/>
        <v>366</v>
      </c>
      <c r="K10" s="227">
        <f t="shared" si="2"/>
        <v>369</v>
      </c>
      <c r="L10" s="227"/>
      <c r="M10" s="227"/>
      <c r="N10" s="227"/>
      <c r="O10" s="227"/>
      <c r="P10" s="227"/>
      <c r="Q10" s="227"/>
      <c r="R10" s="227"/>
      <c r="S10" s="227"/>
      <c r="T10" s="227"/>
      <c r="U10" s="227"/>
      <c r="V10" s="227"/>
      <c r="W10" s="227">
        <f>SUM(W8:W9)</f>
        <v>968.9</v>
      </c>
      <c r="X10" s="227">
        <f>SUM(X8:X9)</f>
        <v>1014</v>
      </c>
      <c r="Y10" s="227">
        <f>SUM(Y8:Y9)</f>
        <v>994.17000000000007</v>
      </c>
      <c r="Z10" s="224"/>
      <c r="AA10" s="227">
        <v>1056</v>
      </c>
      <c r="AB10" s="227">
        <f>AB8+AB9</f>
        <v>1343.6</v>
      </c>
      <c r="AC10" s="227">
        <f t="shared" si="0"/>
        <v>369</v>
      </c>
      <c r="AD10" s="227"/>
      <c r="AE10" s="227"/>
      <c r="AF10" s="224"/>
      <c r="AG10" s="224"/>
      <c r="AH10" s="224"/>
      <c r="AI10" s="224"/>
      <c r="AJ10" s="224"/>
      <c r="AK10" s="224"/>
    </row>
    <row r="11" spans="1:37" x14ac:dyDescent="0.2">
      <c r="B11" s="58" t="s">
        <v>234</v>
      </c>
      <c r="C11" s="227">
        <v>286</v>
      </c>
      <c r="D11" s="227">
        <v>279</v>
      </c>
      <c r="E11" s="227">
        <v>270</v>
      </c>
      <c r="F11" s="227">
        <v>288</v>
      </c>
      <c r="G11" s="227">
        <v>320</v>
      </c>
      <c r="H11" s="227">
        <v>327.39999999999998</v>
      </c>
      <c r="I11" s="227">
        <v>323.5</v>
      </c>
      <c r="J11" s="227">
        <f>'DePuy Model'!Y13</f>
        <v>346.8</v>
      </c>
      <c r="K11" s="227">
        <v>404.5</v>
      </c>
      <c r="L11" s="227">
        <v>412</v>
      </c>
      <c r="M11" s="227">
        <v>400.2</v>
      </c>
      <c r="N11" s="227">
        <v>426.9</v>
      </c>
      <c r="O11" s="227">
        <f>'DePuy Model'!AD13</f>
        <v>468</v>
      </c>
      <c r="P11" s="227">
        <v>468</v>
      </c>
      <c r="Q11" s="227">
        <v>461</v>
      </c>
      <c r="R11" s="227">
        <v>493.2</v>
      </c>
      <c r="S11" s="227">
        <v>510</v>
      </c>
      <c r="T11" s="227">
        <v>506</v>
      </c>
      <c r="U11" s="227">
        <v>490</v>
      </c>
      <c r="V11" s="227">
        <v>583</v>
      </c>
      <c r="W11" s="227">
        <v>606</v>
      </c>
      <c r="X11" s="227">
        <v>597</v>
      </c>
      <c r="Y11" s="227">
        <v>565</v>
      </c>
      <c r="Z11" s="224"/>
      <c r="AA11" s="227">
        <v>1123</v>
      </c>
      <c r="AB11" s="227">
        <f>G11+H11+I11+J11</f>
        <v>1317.7</v>
      </c>
      <c r="AC11" s="227">
        <f>'DePuy Model'!F13</f>
        <v>1642.5</v>
      </c>
      <c r="AD11" s="227">
        <f t="shared" ref="AD11:AD34" si="3">O11+P11+Q11+R11</f>
        <v>1890.2</v>
      </c>
      <c r="AE11" s="227">
        <f t="shared" ref="AE11:AE34" si="4">S11+T11+U11+V11</f>
        <v>2089</v>
      </c>
      <c r="AF11" s="224"/>
      <c r="AG11" s="224"/>
      <c r="AH11" s="224"/>
      <c r="AI11" s="224"/>
      <c r="AJ11" s="224"/>
      <c r="AK11" s="224"/>
    </row>
    <row r="12" spans="1:37" x14ac:dyDescent="0.2">
      <c r="B12" s="64" t="s">
        <v>581</v>
      </c>
      <c r="C12" s="227">
        <v>184</v>
      </c>
      <c r="D12" s="227">
        <v>177</v>
      </c>
      <c r="E12" s="227">
        <v>159</v>
      </c>
      <c r="F12" s="227">
        <v>172</v>
      </c>
      <c r="G12" s="227">
        <v>190</v>
      </c>
      <c r="H12" s="227">
        <v>180.8</v>
      </c>
      <c r="I12" s="227">
        <v>171.4</v>
      </c>
      <c r="J12" s="227">
        <f>'DePuy Model'!Y14</f>
        <v>-126.9</v>
      </c>
      <c r="K12" s="227">
        <v>212</v>
      </c>
      <c r="L12" s="227">
        <v>221</v>
      </c>
      <c r="M12" s="227">
        <v>214.5</v>
      </c>
      <c r="N12" s="227">
        <v>244.5</v>
      </c>
      <c r="O12" s="227">
        <f>'DePuy Model'!AD14</f>
        <v>-120.10000000000002</v>
      </c>
      <c r="P12" s="227">
        <v>280</v>
      </c>
      <c r="Q12" s="227">
        <v>257</v>
      </c>
      <c r="R12" s="227">
        <v>309.2</v>
      </c>
      <c r="S12" s="227">
        <v>328.9</v>
      </c>
      <c r="T12" s="227">
        <v>332.5</v>
      </c>
      <c r="U12" s="227">
        <v>299.89999999999998</v>
      </c>
      <c r="V12" s="227">
        <v>369</v>
      </c>
      <c r="W12" s="227">
        <v>387</v>
      </c>
      <c r="X12" s="227">
        <v>383</v>
      </c>
      <c r="Y12" s="227">
        <v>332</v>
      </c>
      <c r="Z12" s="224"/>
      <c r="AA12" s="227">
        <v>692</v>
      </c>
      <c r="AB12" s="227">
        <f>G12+H12+I12+J12</f>
        <v>415.30000000000007</v>
      </c>
      <c r="AC12" s="227">
        <f>'DePuy Model'!F14</f>
        <v>-490.69999999999982</v>
      </c>
      <c r="AD12" s="227">
        <f t="shared" si="3"/>
        <v>726.09999999999991</v>
      </c>
      <c r="AE12" s="227">
        <f t="shared" si="4"/>
        <v>1330.3</v>
      </c>
      <c r="AF12" s="224"/>
      <c r="AG12" s="224"/>
      <c r="AH12" s="224"/>
      <c r="AI12" s="224"/>
      <c r="AJ12" s="224"/>
      <c r="AK12" s="224"/>
    </row>
    <row r="13" spans="1:37" x14ac:dyDescent="0.2">
      <c r="B13" s="64" t="s">
        <v>582</v>
      </c>
      <c r="C13" s="227">
        <v>470</v>
      </c>
      <c r="D13" s="227">
        <v>456</v>
      </c>
      <c r="E13" s="227">
        <v>429</v>
      </c>
      <c r="F13" s="227">
        <v>460</v>
      </c>
      <c r="G13" s="227">
        <f t="shared" ref="G13:R13" si="5">SUM(G11:G12)</f>
        <v>510</v>
      </c>
      <c r="H13" s="227">
        <f t="shared" si="5"/>
        <v>508.2</v>
      </c>
      <c r="I13" s="227">
        <f t="shared" si="5"/>
        <v>494.9</v>
      </c>
      <c r="J13" s="227">
        <f t="shared" si="5"/>
        <v>219.9</v>
      </c>
      <c r="K13" s="227">
        <f t="shared" si="5"/>
        <v>616.5</v>
      </c>
      <c r="L13" s="227">
        <f t="shared" si="5"/>
        <v>633</v>
      </c>
      <c r="M13" s="227">
        <f t="shared" si="5"/>
        <v>614.70000000000005</v>
      </c>
      <c r="N13" s="227">
        <f t="shared" si="5"/>
        <v>671.4</v>
      </c>
      <c r="O13" s="227">
        <f t="shared" si="5"/>
        <v>347.9</v>
      </c>
      <c r="P13" s="227">
        <f t="shared" si="5"/>
        <v>748</v>
      </c>
      <c r="Q13" s="227">
        <f t="shared" si="5"/>
        <v>718</v>
      </c>
      <c r="R13" s="227">
        <f t="shared" si="5"/>
        <v>802.4</v>
      </c>
      <c r="S13" s="227">
        <f t="shared" ref="S13:Y13" si="6">SUM(S11:S12)</f>
        <v>838.9</v>
      </c>
      <c r="T13" s="227">
        <f t="shared" si="6"/>
        <v>838.5</v>
      </c>
      <c r="U13" s="227">
        <f t="shared" si="6"/>
        <v>789.9</v>
      </c>
      <c r="V13" s="227">
        <f t="shared" si="6"/>
        <v>952</v>
      </c>
      <c r="W13" s="227">
        <f t="shared" si="6"/>
        <v>993</v>
      </c>
      <c r="X13" s="227">
        <f t="shared" si="6"/>
        <v>980</v>
      </c>
      <c r="Y13" s="227">
        <f t="shared" si="6"/>
        <v>897</v>
      </c>
      <c r="Z13" s="224"/>
      <c r="AA13" s="227">
        <v>1815</v>
      </c>
      <c r="AB13" s="227">
        <f>AB11+AB12</f>
        <v>1733</v>
      </c>
      <c r="AC13" s="227">
        <f>'DePuy Model'!F12</f>
        <v>1151.8000000000002</v>
      </c>
      <c r="AD13" s="227">
        <f t="shared" si="3"/>
        <v>2616.3000000000002</v>
      </c>
      <c r="AE13" s="227">
        <f t="shared" si="4"/>
        <v>3419.3</v>
      </c>
      <c r="AF13" s="224"/>
      <c r="AG13" s="224"/>
      <c r="AH13" s="224"/>
      <c r="AI13" s="224"/>
      <c r="AJ13" s="224"/>
      <c r="AK13" s="224"/>
    </row>
    <row r="14" spans="1:37" x14ac:dyDescent="0.2">
      <c r="B14" s="58" t="s">
        <v>229</v>
      </c>
      <c r="C14" s="227">
        <v>193</v>
      </c>
      <c r="D14" s="227">
        <v>215</v>
      </c>
      <c r="E14" s="227">
        <v>206</v>
      </c>
      <c r="F14" s="227">
        <v>229</v>
      </c>
      <c r="G14" s="227">
        <v>253</v>
      </c>
      <c r="H14" s="227">
        <v>271</v>
      </c>
      <c r="I14" s="227">
        <v>285.5</v>
      </c>
      <c r="J14" s="227">
        <v>280.5</v>
      </c>
      <c r="K14" s="227">
        <v>248</v>
      </c>
      <c r="L14" s="227">
        <v>271.39999999999998</v>
      </c>
      <c r="M14" s="227">
        <v>270</v>
      </c>
      <c r="N14" s="227">
        <v>272.39999999999998</v>
      </c>
      <c r="O14" s="227">
        <v>253.3</v>
      </c>
      <c r="P14" s="227">
        <v>269.8</v>
      </c>
      <c r="Q14" s="227">
        <v>263.39999999999998</v>
      </c>
      <c r="R14" s="227">
        <v>266</v>
      </c>
      <c r="S14" s="227">
        <v>240.8</v>
      </c>
      <c r="T14" s="227">
        <v>261</v>
      </c>
      <c r="U14" s="227">
        <v>264.89999999999998</v>
      </c>
      <c r="V14" s="227">
        <v>266</v>
      </c>
      <c r="W14" s="228">
        <v>292</v>
      </c>
      <c r="X14" s="227">
        <v>296</v>
      </c>
      <c r="Y14" s="228">
        <v>296</v>
      </c>
      <c r="Z14" s="224"/>
      <c r="AA14" s="227">
        <v>843</v>
      </c>
      <c r="AB14" s="227">
        <f>G14+H14+I14+J14</f>
        <v>1090</v>
      </c>
      <c r="AC14" s="227">
        <f t="shared" ref="AC14:AC34" si="7">K14+L14+M14+N14</f>
        <v>1061.8</v>
      </c>
      <c r="AD14" s="227">
        <f t="shared" si="3"/>
        <v>1052.5</v>
      </c>
      <c r="AE14" s="227">
        <f t="shared" si="4"/>
        <v>1032.7</v>
      </c>
      <c r="AF14" s="224"/>
      <c r="AG14" s="224"/>
      <c r="AH14" s="224"/>
      <c r="AI14" s="224"/>
      <c r="AJ14" s="224"/>
      <c r="AK14" s="224"/>
    </row>
    <row r="15" spans="1:37" x14ac:dyDescent="0.2">
      <c r="B15" s="64" t="s">
        <v>581</v>
      </c>
      <c r="C15" s="227">
        <v>289</v>
      </c>
      <c r="D15" s="227">
        <v>294</v>
      </c>
      <c r="E15" s="227">
        <v>271</v>
      </c>
      <c r="F15" s="227">
        <v>274</v>
      </c>
      <c r="G15" s="227">
        <v>324</v>
      </c>
      <c r="H15" s="227">
        <v>323</v>
      </c>
      <c r="I15" s="227">
        <v>310.5</v>
      </c>
      <c r="J15" s="227">
        <v>326.5</v>
      </c>
      <c r="K15" s="227">
        <v>316</v>
      </c>
      <c r="L15" s="227">
        <v>335.4</v>
      </c>
      <c r="M15" s="227">
        <v>325.5</v>
      </c>
      <c r="N15" s="227">
        <v>348</v>
      </c>
      <c r="O15" s="227">
        <v>375.2</v>
      </c>
      <c r="P15" s="227">
        <v>403.6</v>
      </c>
      <c r="Q15" s="227">
        <v>376.5</v>
      </c>
      <c r="R15" s="227">
        <v>431</v>
      </c>
      <c r="S15" s="227">
        <v>440.5</v>
      </c>
      <c r="T15" s="227">
        <v>454.6</v>
      </c>
      <c r="U15" s="227">
        <v>422.5</v>
      </c>
      <c r="V15" s="227">
        <v>487</v>
      </c>
      <c r="W15" s="228">
        <v>497</v>
      </c>
      <c r="X15" s="227">
        <v>502.4</v>
      </c>
      <c r="Y15" s="228">
        <v>449</v>
      </c>
      <c r="Z15" s="224"/>
      <c r="AA15" s="227">
        <v>1128</v>
      </c>
      <c r="AB15" s="227">
        <f>G15+H15+I15+J15</f>
        <v>1284</v>
      </c>
      <c r="AC15" s="227">
        <f t="shared" si="7"/>
        <v>1324.9</v>
      </c>
      <c r="AD15" s="227">
        <f t="shared" si="3"/>
        <v>1586.3</v>
      </c>
      <c r="AE15" s="227">
        <f t="shared" si="4"/>
        <v>1804.6</v>
      </c>
      <c r="AF15" s="224"/>
      <c r="AG15" s="224"/>
      <c r="AH15" s="224"/>
      <c r="AI15" s="224"/>
      <c r="AJ15" s="224"/>
      <c r="AK15" s="224"/>
    </row>
    <row r="16" spans="1:37" x14ac:dyDescent="0.2">
      <c r="B16" s="64" t="s">
        <v>582</v>
      </c>
      <c r="C16" s="227">
        <v>482</v>
      </c>
      <c r="D16" s="227">
        <v>509</v>
      </c>
      <c r="E16" s="227">
        <v>477</v>
      </c>
      <c r="F16" s="227">
        <v>503</v>
      </c>
      <c r="G16" s="227">
        <f t="shared" ref="G16:R16" si="8">SUM(G14:G15)</f>
        <v>577</v>
      </c>
      <c r="H16" s="227">
        <f t="shared" si="8"/>
        <v>594</v>
      </c>
      <c r="I16" s="227">
        <f t="shared" si="8"/>
        <v>596</v>
      </c>
      <c r="J16" s="227">
        <f t="shared" si="8"/>
        <v>607</v>
      </c>
      <c r="K16" s="227">
        <f t="shared" si="8"/>
        <v>564</v>
      </c>
      <c r="L16" s="227">
        <f t="shared" si="8"/>
        <v>606.79999999999995</v>
      </c>
      <c r="M16" s="227">
        <f t="shared" si="8"/>
        <v>595.5</v>
      </c>
      <c r="N16" s="227">
        <f t="shared" si="8"/>
        <v>620.4</v>
      </c>
      <c r="O16" s="227">
        <f t="shared" si="8"/>
        <v>628.5</v>
      </c>
      <c r="P16" s="227">
        <f t="shared" si="8"/>
        <v>673.40000000000009</v>
      </c>
      <c r="Q16" s="227">
        <f t="shared" si="8"/>
        <v>639.9</v>
      </c>
      <c r="R16" s="227">
        <f t="shared" si="8"/>
        <v>697</v>
      </c>
      <c r="S16" s="227">
        <f t="shared" ref="S16:Y16" si="9">SUM(S14:S15)</f>
        <v>681.3</v>
      </c>
      <c r="T16" s="227">
        <f t="shared" si="9"/>
        <v>715.6</v>
      </c>
      <c r="U16" s="227">
        <f t="shared" si="9"/>
        <v>687.4</v>
      </c>
      <c r="V16" s="227">
        <f t="shared" si="9"/>
        <v>753</v>
      </c>
      <c r="W16" s="227">
        <f t="shared" si="9"/>
        <v>789</v>
      </c>
      <c r="X16" s="227">
        <f t="shared" si="9"/>
        <v>798.4</v>
      </c>
      <c r="Y16" s="227">
        <f t="shared" si="9"/>
        <v>745</v>
      </c>
      <c r="Z16" s="224"/>
      <c r="AA16" s="227">
        <v>1971</v>
      </c>
      <c r="AB16" s="227">
        <f>AB14+AB15</f>
        <v>2374</v>
      </c>
      <c r="AC16" s="227">
        <f t="shared" si="7"/>
        <v>2386.6999999999998</v>
      </c>
      <c r="AD16" s="227">
        <f t="shared" si="3"/>
        <v>2638.8</v>
      </c>
      <c r="AE16" s="227">
        <f t="shared" si="4"/>
        <v>2837.3</v>
      </c>
      <c r="AF16" s="224"/>
      <c r="AG16" s="224"/>
      <c r="AH16" s="224"/>
      <c r="AI16" s="224"/>
      <c r="AJ16" s="224"/>
      <c r="AK16" s="224"/>
    </row>
    <row r="17" spans="1:79" x14ac:dyDescent="0.2">
      <c r="B17" s="58" t="s">
        <v>333</v>
      </c>
      <c r="C17" s="227">
        <v>251</v>
      </c>
      <c r="D17" s="227">
        <v>266</v>
      </c>
      <c r="E17" s="227">
        <v>270</v>
      </c>
      <c r="F17" s="227">
        <v>286</v>
      </c>
      <c r="G17" s="227">
        <v>267</v>
      </c>
      <c r="H17" s="227">
        <v>290</v>
      </c>
      <c r="I17" s="227">
        <v>301.39999999999998</v>
      </c>
      <c r="J17" s="227">
        <v>301</v>
      </c>
      <c r="K17" s="227">
        <v>302</v>
      </c>
      <c r="L17" s="227">
        <v>335</v>
      </c>
      <c r="M17" s="227">
        <v>341.5</v>
      </c>
      <c r="N17" s="227">
        <v>358.5</v>
      </c>
      <c r="O17" s="227">
        <v>350</v>
      </c>
      <c r="P17" s="227">
        <v>353</v>
      </c>
      <c r="Q17" s="227">
        <v>343</v>
      </c>
      <c r="R17" s="227">
        <v>354</v>
      </c>
      <c r="S17" s="227">
        <v>333.9</v>
      </c>
      <c r="T17" s="227">
        <v>358.4</v>
      </c>
      <c r="U17" s="227">
        <v>350</v>
      </c>
      <c r="V17" s="227">
        <v>404</v>
      </c>
      <c r="W17" s="228">
        <v>371</v>
      </c>
      <c r="X17" s="227">
        <v>386</v>
      </c>
      <c r="Y17" s="228">
        <v>372</v>
      </c>
      <c r="Z17" s="224"/>
      <c r="AA17" s="227">
        <v>1073</v>
      </c>
      <c r="AB17" s="227">
        <f>G17+H17+I17+J17</f>
        <v>1159.4000000000001</v>
      </c>
      <c r="AC17" s="227">
        <f t="shared" si="7"/>
        <v>1337</v>
      </c>
      <c r="AD17" s="227">
        <f t="shared" si="3"/>
        <v>1400</v>
      </c>
      <c r="AE17" s="227">
        <f t="shared" si="4"/>
        <v>1446.3</v>
      </c>
      <c r="AF17" s="224"/>
      <c r="AG17" s="224"/>
      <c r="AH17" s="224"/>
      <c r="AI17" s="224"/>
      <c r="AJ17" s="224"/>
      <c r="AK17" s="224"/>
    </row>
    <row r="18" spans="1:79" x14ac:dyDescent="0.2">
      <c r="B18" s="64" t="s">
        <v>581</v>
      </c>
      <c r="C18" s="227">
        <v>197</v>
      </c>
      <c r="D18" s="227">
        <v>197</v>
      </c>
      <c r="E18" s="227">
        <v>183</v>
      </c>
      <c r="F18" s="227">
        <v>196</v>
      </c>
      <c r="G18" s="227">
        <v>208</v>
      </c>
      <c r="H18" s="227">
        <v>209</v>
      </c>
      <c r="I18" s="227">
        <v>201.5</v>
      </c>
      <c r="J18" s="227">
        <v>222</v>
      </c>
      <c r="K18" s="227">
        <v>219</v>
      </c>
      <c r="L18" s="227">
        <v>240.4</v>
      </c>
      <c r="M18" s="227">
        <v>229</v>
      </c>
      <c r="N18" s="227">
        <v>266.39999999999998</v>
      </c>
      <c r="O18" s="227">
        <v>273</v>
      </c>
      <c r="P18" s="227">
        <v>296</v>
      </c>
      <c r="Q18" s="227">
        <v>279</v>
      </c>
      <c r="R18" s="227">
        <v>339</v>
      </c>
      <c r="S18" s="227">
        <v>331.5</v>
      </c>
      <c r="T18" s="227">
        <v>352</v>
      </c>
      <c r="U18" s="227">
        <v>322</v>
      </c>
      <c r="V18" s="227">
        <v>398.4</v>
      </c>
      <c r="W18" s="228">
        <v>394</v>
      </c>
      <c r="X18" s="227">
        <v>399</v>
      </c>
      <c r="Y18" s="228">
        <v>351</v>
      </c>
      <c r="Z18" s="224"/>
      <c r="AA18" s="227">
        <v>773</v>
      </c>
      <c r="AB18" s="227">
        <f>G18+H18+I18+J18</f>
        <v>840.5</v>
      </c>
      <c r="AC18" s="227">
        <f t="shared" si="7"/>
        <v>954.8</v>
      </c>
      <c r="AD18" s="227">
        <f t="shared" si="3"/>
        <v>1187</v>
      </c>
      <c r="AE18" s="227">
        <f t="shared" si="4"/>
        <v>1403.9</v>
      </c>
      <c r="AF18" s="224"/>
      <c r="AG18" s="224"/>
      <c r="AH18" s="224"/>
      <c r="AI18" s="224"/>
      <c r="AJ18" s="224"/>
      <c r="AK18" s="224"/>
    </row>
    <row r="19" spans="1:79" ht="14.25" customHeight="1" x14ac:dyDescent="0.2">
      <c r="B19" s="64" t="s">
        <v>582</v>
      </c>
      <c r="C19" s="227">
        <v>448</v>
      </c>
      <c r="D19" s="227">
        <v>463</v>
      </c>
      <c r="E19" s="227">
        <v>453</v>
      </c>
      <c r="F19" s="227">
        <v>482</v>
      </c>
      <c r="G19" s="227">
        <f t="shared" ref="G19:R19" si="10">SUM(G17:G18)</f>
        <v>475</v>
      </c>
      <c r="H19" s="227">
        <f t="shared" si="10"/>
        <v>499</v>
      </c>
      <c r="I19" s="227">
        <f t="shared" si="10"/>
        <v>502.9</v>
      </c>
      <c r="J19" s="227">
        <f t="shared" si="10"/>
        <v>523</v>
      </c>
      <c r="K19" s="227">
        <f t="shared" si="10"/>
        <v>521</v>
      </c>
      <c r="L19" s="227">
        <f t="shared" si="10"/>
        <v>575.4</v>
      </c>
      <c r="M19" s="227">
        <f t="shared" si="10"/>
        <v>570.5</v>
      </c>
      <c r="N19" s="227">
        <f t="shared" si="10"/>
        <v>624.9</v>
      </c>
      <c r="O19" s="227">
        <f t="shared" si="10"/>
        <v>623</v>
      </c>
      <c r="P19" s="227">
        <f t="shared" si="10"/>
        <v>649</v>
      </c>
      <c r="Q19" s="227">
        <f t="shared" si="10"/>
        <v>622</v>
      </c>
      <c r="R19" s="227">
        <f t="shared" si="10"/>
        <v>693</v>
      </c>
      <c r="S19" s="227">
        <f t="shared" ref="S19:Y19" si="11">SUM(S17:S18)</f>
        <v>665.4</v>
      </c>
      <c r="T19" s="227">
        <f t="shared" si="11"/>
        <v>710.4</v>
      </c>
      <c r="U19" s="227">
        <f t="shared" si="11"/>
        <v>672</v>
      </c>
      <c r="V19" s="227">
        <f t="shared" si="11"/>
        <v>802.4</v>
      </c>
      <c r="W19" s="227">
        <f t="shared" si="11"/>
        <v>765</v>
      </c>
      <c r="X19" s="227">
        <f t="shared" si="11"/>
        <v>785</v>
      </c>
      <c r="Y19" s="227">
        <f t="shared" si="11"/>
        <v>723</v>
      </c>
      <c r="Z19" s="224"/>
      <c r="AA19" s="227">
        <v>1846</v>
      </c>
      <c r="AB19" s="227">
        <f>AB17+AB18</f>
        <v>1999.9</v>
      </c>
      <c r="AC19" s="227">
        <f t="shared" si="7"/>
        <v>2291.8000000000002</v>
      </c>
      <c r="AD19" s="227">
        <f t="shared" si="3"/>
        <v>2587</v>
      </c>
      <c r="AE19" s="227">
        <f t="shared" si="4"/>
        <v>2850.2</v>
      </c>
      <c r="AF19" s="224"/>
      <c r="AG19" s="224"/>
      <c r="AH19" s="224"/>
      <c r="AI19" s="224"/>
      <c r="AJ19" s="224"/>
      <c r="AK19" s="224"/>
    </row>
    <row r="20" spans="1:79" x14ac:dyDescent="0.2">
      <c r="B20" s="65" t="s">
        <v>1082</v>
      </c>
      <c r="C20" s="227">
        <v>155</v>
      </c>
      <c r="D20" s="227">
        <v>171</v>
      </c>
      <c r="E20" s="227">
        <v>172.2</v>
      </c>
      <c r="F20" s="227">
        <v>164</v>
      </c>
      <c r="G20" s="227">
        <v>171</v>
      </c>
      <c r="H20" s="227">
        <v>180</v>
      </c>
      <c r="I20" s="227">
        <v>199</v>
      </c>
      <c r="J20" s="227">
        <v>183.5</v>
      </c>
      <c r="K20" s="227">
        <v>215.2</v>
      </c>
      <c r="L20" s="227">
        <v>236</v>
      </c>
      <c r="M20" s="227">
        <v>213.2</v>
      </c>
      <c r="N20" s="227">
        <v>213</v>
      </c>
      <c r="O20" s="227">
        <v>213</v>
      </c>
      <c r="P20" s="227">
        <v>173</v>
      </c>
      <c r="Q20" s="227">
        <v>214</v>
      </c>
      <c r="R20" s="227">
        <v>215</v>
      </c>
      <c r="S20" s="227">
        <v>219</v>
      </c>
      <c r="T20" s="227">
        <v>236.4</v>
      </c>
      <c r="U20" s="227">
        <v>225</v>
      </c>
      <c r="V20" s="227">
        <v>240</v>
      </c>
      <c r="W20" s="228">
        <v>272</v>
      </c>
      <c r="X20" s="227">
        <v>255</v>
      </c>
      <c r="Y20" s="228">
        <v>255</v>
      </c>
      <c r="Z20" s="224"/>
      <c r="AA20" s="227">
        <v>662.2</v>
      </c>
      <c r="AB20" s="227">
        <f>G20+H20+I20+J20</f>
        <v>733.5</v>
      </c>
      <c r="AC20" s="227">
        <f t="shared" si="7"/>
        <v>877.4</v>
      </c>
      <c r="AD20" s="227">
        <f t="shared" si="3"/>
        <v>815</v>
      </c>
      <c r="AE20" s="227">
        <f t="shared" si="4"/>
        <v>920.4</v>
      </c>
      <c r="AF20" s="224"/>
      <c r="AG20" s="224"/>
      <c r="AH20" s="224"/>
      <c r="AI20" s="224"/>
      <c r="AJ20" s="224"/>
      <c r="AK20" s="224"/>
    </row>
    <row r="21" spans="1:79" x14ac:dyDescent="0.2">
      <c r="B21" s="64" t="s">
        <v>581</v>
      </c>
      <c r="C21" s="227">
        <v>78</v>
      </c>
      <c r="D21" s="227">
        <v>81</v>
      </c>
      <c r="E21" s="227">
        <v>82</v>
      </c>
      <c r="F21" s="227">
        <v>84</v>
      </c>
      <c r="G21" s="227">
        <v>87</v>
      </c>
      <c r="H21" s="227">
        <v>84</v>
      </c>
      <c r="I21" s="227">
        <v>89</v>
      </c>
      <c r="J21" s="227">
        <v>101.4</v>
      </c>
      <c r="K21" s="227">
        <v>103</v>
      </c>
      <c r="L21" s="227">
        <v>116.5</v>
      </c>
      <c r="M21" s="227">
        <v>111.4</v>
      </c>
      <c r="N21" s="227">
        <v>134.19999999999999</v>
      </c>
      <c r="O21" s="227">
        <v>135.4</v>
      </c>
      <c r="P21" s="227">
        <v>157</v>
      </c>
      <c r="Q21" s="227">
        <v>147.6</v>
      </c>
      <c r="R21" s="227">
        <v>172.2</v>
      </c>
      <c r="S21" s="227">
        <v>181</v>
      </c>
      <c r="T21" s="227">
        <v>183.2</v>
      </c>
      <c r="U21" s="227">
        <v>195</v>
      </c>
      <c r="V21" s="227">
        <v>221.4</v>
      </c>
      <c r="W21" s="228">
        <v>228.8</v>
      </c>
      <c r="X21" s="227">
        <v>218.8</v>
      </c>
      <c r="Y21" s="228">
        <v>207</v>
      </c>
      <c r="Z21" s="224"/>
      <c r="AA21" s="227">
        <v>325</v>
      </c>
      <c r="AB21" s="227">
        <f>G21+H21+I21+J21</f>
        <v>361.4</v>
      </c>
      <c r="AC21" s="227">
        <f t="shared" si="7"/>
        <v>465.09999999999997</v>
      </c>
      <c r="AD21" s="227">
        <f t="shared" si="3"/>
        <v>612.20000000000005</v>
      </c>
      <c r="AE21" s="227">
        <f t="shared" si="4"/>
        <v>780.6</v>
      </c>
      <c r="AF21" s="224"/>
      <c r="AG21" s="224"/>
      <c r="AH21" s="224"/>
      <c r="AI21" s="224"/>
      <c r="AJ21" s="224"/>
      <c r="AK21" s="224"/>
    </row>
    <row r="22" spans="1:79" x14ac:dyDescent="0.2">
      <c r="B22" s="64" t="s">
        <v>582</v>
      </c>
      <c r="C22" s="227">
        <v>233</v>
      </c>
      <c r="D22" s="227">
        <v>252</v>
      </c>
      <c r="E22" s="227">
        <v>254.2</v>
      </c>
      <c r="F22" s="227">
        <v>248</v>
      </c>
      <c r="G22" s="227">
        <f t="shared" ref="G22:R22" si="12">SUM(G20:G21)</f>
        <v>258</v>
      </c>
      <c r="H22" s="227">
        <f t="shared" si="12"/>
        <v>264</v>
      </c>
      <c r="I22" s="227">
        <f t="shared" si="12"/>
        <v>288</v>
      </c>
      <c r="J22" s="227">
        <f t="shared" si="12"/>
        <v>284.89999999999998</v>
      </c>
      <c r="K22" s="227">
        <f t="shared" si="12"/>
        <v>318.2</v>
      </c>
      <c r="L22" s="227">
        <f t="shared" si="12"/>
        <v>352.5</v>
      </c>
      <c r="M22" s="227">
        <f t="shared" si="12"/>
        <v>324.60000000000002</v>
      </c>
      <c r="N22" s="227">
        <f t="shared" si="12"/>
        <v>347.2</v>
      </c>
      <c r="O22" s="227">
        <f t="shared" si="12"/>
        <v>348.4</v>
      </c>
      <c r="P22" s="227">
        <f t="shared" si="12"/>
        <v>330</v>
      </c>
      <c r="Q22" s="227">
        <f t="shared" si="12"/>
        <v>361.6</v>
      </c>
      <c r="R22" s="227">
        <f t="shared" si="12"/>
        <v>387.2</v>
      </c>
      <c r="S22" s="227">
        <f t="shared" ref="S22:Y22" si="13">SUM(S20:S21)</f>
        <v>400</v>
      </c>
      <c r="T22" s="227">
        <f t="shared" si="13"/>
        <v>419.6</v>
      </c>
      <c r="U22" s="227">
        <f t="shared" si="13"/>
        <v>420</v>
      </c>
      <c r="V22" s="227">
        <f t="shared" si="13"/>
        <v>461.4</v>
      </c>
      <c r="W22" s="227">
        <f t="shared" si="13"/>
        <v>500.8</v>
      </c>
      <c r="X22" s="227">
        <f t="shared" si="13"/>
        <v>473.8</v>
      </c>
      <c r="Y22" s="227">
        <f t="shared" si="13"/>
        <v>462</v>
      </c>
      <c r="Z22" s="224"/>
      <c r="AA22" s="227">
        <v>987.2</v>
      </c>
      <c r="AB22" s="227">
        <f>AB20+AB21</f>
        <v>1094.9000000000001</v>
      </c>
      <c r="AC22" s="227">
        <f t="shared" si="7"/>
        <v>1342.5</v>
      </c>
      <c r="AD22" s="227">
        <f t="shared" si="3"/>
        <v>1427.2</v>
      </c>
      <c r="AE22" s="227">
        <f t="shared" si="4"/>
        <v>1701</v>
      </c>
      <c r="AF22" s="224"/>
      <c r="AG22" s="224"/>
      <c r="AH22" s="224"/>
      <c r="AI22" s="224"/>
      <c r="AJ22" s="224"/>
      <c r="AK22" s="224"/>
    </row>
    <row r="23" spans="1:79" x14ac:dyDescent="0.2">
      <c r="B23" s="58" t="s">
        <v>1080</v>
      </c>
      <c r="C23" s="227">
        <v>126</v>
      </c>
      <c r="D23" s="227">
        <v>125</v>
      </c>
      <c r="E23" s="227">
        <v>120</v>
      </c>
      <c r="F23" s="227">
        <v>126</v>
      </c>
      <c r="G23" s="227">
        <v>139.5</v>
      </c>
      <c r="H23" s="227">
        <v>131.5</v>
      </c>
      <c r="I23" s="227">
        <v>133.5</v>
      </c>
      <c r="J23" s="227">
        <v>136.5</v>
      </c>
      <c r="K23" s="227">
        <v>146</v>
      </c>
      <c r="L23" s="227">
        <v>137.5</v>
      </c>
      <c r="M23" s="227">
        <v>145</v>
      </c>
      <c r="N23" s="227">
        <v>143.5</v>
      </c>
      <c r="O23" s="227">
        <v>150</v>
      </c>
      <c r="P23" s="227">
        <v>145.5</v>
      </c>
      <c r="Q23" s="227">
        <v>145.5</v>
      </c>
      <c r="R23" s="227">
        <v>147</v>
      </c>
      <c r="S23" s="227">
        <v>147.19999999999999</v>
      </c>
      <c r="T23" s="227">
        <v>153.1</v>
      </c>
      <c r="U23" s="227">
        <v>156</v>
      </c>
      <c r="V23" s="227">
        <v>159</v>
      </c>
      <c r="W23" s="228">
        <v>178.8</v>
      </c>
      <c r="X23" s="227">
        <v>187</v>
      </c>
      <c r="Y23" s="228">
        <v>178</v>
      </c>
      <c r="Z23" s="224"/>
      <c r="AA23" s="227">
        <v>497</v>
      </c>
      <c r="AB23" s="227">
        <f>G23+H23+I23+J23</f>
        <v>541</v>
      </c>
      <c r="AC23" s="227">
        <f t="shared" si="7"/>
        <v>572</v>
      </c>
      <c r="AD23" s="227">
        <f t="shared" si="3"/>
        <v>588</v>
      </c>
      <c r="AE23" s="227">
        <f t="shared" si="4"/>
        <v>615.29999999999995</v>
      </c>
      <c r="AF23" s="224"/>
      <c r="AG23" s="224"/>
      <c r="AH23" s="224"/>
      <c r="AI23" s="224"/>
      <c r="AJ23" s="224"/>
      <c r="AK23" s="224"/>
    </row>
    <row r="24" spans="1:79" x14ac:dyDescent="0.2">
      <c r="B24" s="64" t="s">
        <v>581</v>
      </c>
      <c r="C24" s="227">
        <v>123</v>
      </c>
      <c r="D24" s="227">
        <v>126</v>
      </c>
      <c r="E24" s="227">
        <v>117</v>
      </c>
      <c r="F24" s="227">
        <v>115</v>
      </c>
      <c r="G24" s="227">
        <v>123.4</v>
      </c>
      <c r="H24" s="227">
        <v>122</v>
      </c>
      <c r="I24" s="227">
        <v>120</v>
      </c>
      <c r="J24" s="227">
        <v>115.4</v>
      </c>
      <c r="K24" s="227">
        <v>122.5</v>
      </c>
      <c r="L24" s="227">
        <v>131.4</v>
      </c>
      <c r="M24" s="227">
        <v>129.4</v>
      </c>
      <c r="N24" s="227">
        <v>137.80000000000001</v>
      </c>
      <c r="O24" s="227">
        <v>136.5</v>
      </c>
      <c r="P24" s="227">
        <v>148.9</v>
      </c>
      <c r="Q24" s="227">
        <v>141</v>
      </c>
      <c r="R24" s="227">
        <v>162</v>
      </c>
      <c r="S24" s="227">
        <v>155.4</v>
      </c>
      <c r="T24" s="227">
        <v>163.4</v>
      </c>
      <c r="U24" s="227">
        <v>153</v>
      </c>
      <c r="V24" s="227">
        <v>185</v>
      </c>
      <c r="W24" s="228">
        <v>176</v>
      </c>
      <c r="X24" s="227">
        <v>179</v>
      </c>
      <c r="Y24" s="228">
        <v>164</v>
      </c>
      <c r="Z24" s="224"/>
      <c r="AA24" s="227">
        <v>481</v>
      </c>
      <c r="AB24" s="227">
        <f>G24+H24+I24+J24</f>
        <v>480.79999999999995</v>
      </c>
      <c r="AC24" s="227">
        <f t="shared" si="7"/>
        <v>521.1</v>
      </c>
      <c r="AD24" s="227">
        <f t="shared" si="3"/>
        <v>588.4</v>
      </c>
      <c r="AE24" s="227">
        <f t="shared" si="4"/>
        <v>656.8</v>
      </c>
      <c r="AF24" s="224"/>
      <c r="AG24" s="224"/>
      <c r="AH24" s="224"/>
      <c r="AI24" s="224"/>
      <c r="AJ24" s="224"/>
      <c r="AK24" s="224"/>
    </row>
    <row r="25" spans="1:79" x14ac:dyDescent="0.2">
      <c r="B25" s="64" t="s">
        <v>582</v>
      </c>
      <c r="C25" s="227">
        <v>249</v>
      </c>
      <c r="D25" s="227">
        <v>251</v>
      </c>
      <c r="E25" s="227">
        <v>237</v>
      </c>
      <c r="F25" s="227">
        <v>241</v>
      </c>
      <c r="G25" s="227">
        <f>SUM(G23:G24)</f>
        <v>262.89999999999998</v>
      </c>
      <c r="H25" s="227">
        <f>SUM(H23:H24)-1</f>
        <v>252.5</v>
      </c>
      <c r="I25" s="227">
        <f t="shared" ref="I25:R25" si="14">SUM(I23:I24)</f>
        <v>253.5</v>
      </c>
      <c r="J25" s="227">
        <f t="shared" si="14"/>
        <v>251.9</v>
      </c>
      <c r="K25" s="227">
        <f t="shared" si="14"/>
        <v>268.5</v>
      </c>
      <c r="L25" s="227">
        <f t="shared" si="14"/>
        <v>268.89999999999998</v>
      </c>
      <c r="M25" s="227">
        <f t="shared" si="14"/>
        <v>274.39999999999998</v>
      </c>
      <c r="N25" s="227">
        <f t="shared" si="14"/>
        <v>281.3</v>
      </c>
      <c r="O25" s="227">
        <f t="shared" si="14"/>
        <v>286.5</v>
      </c>
      <c r="P25" s="227">
        <f t="shared" si="14"/>
        <v>294.39999999999998</v>
      </c>
      <c r="Q25" s="227">
        <f t="shared" si="14"/>
        <v>286.5</v>
      </c>
      <c r="R25" s="227">
        <f t="shared" si="14"/>
        <v>309</v>
      </c>
      <c r="S25" s="227">
        <f t="shared" ref="S25:Y25" si="15">SUM(S23:S24)</f>
        <v>302.60000000000002</v>
      </c>
      <c r="T25" s="227">
        <f t="shared" si="15"/>
        <v>316.5</v>
      </c>
      <c r="U25" s="227">
        <f t="shared" si="15"/>
        <v>309</v>
      </c>
      <c r="V25" s="227">
        <f t="shared" si="15"/>
        <v>344</v>
      </c>
      <c r="W25" s="227">
        <f t="shared" si="15"/>
        <v>354.8</v>
      </c>
      <c r="X25" s="227">
        <f t="shared" si="15"/>
        <v>366</v>
      </c>
      <c r="Y25" s="227">
        <f t="shared" si="15"/>
        <v>342</v>
      </c>
      <c r="Z25" s="224"/>
      <c r="AA25" s="227">
        <v>978</v>
      </c>
      <c r="AB25" s="227">
        <f>AB23+AB24</f>
        <v>1021.8</v>
      </c>
      <c r="AC25" s="227">
        <f t="shared" si="7"/>
        <v>1093.0999999999999</v>
      </c>
      <c r="AD25" s="227">
        <f t="shared" si="3"/>
        <v>1176.4000000000001</v>
      </c>
      <c r="AE25" s="227">
        <f t="shared" si="4"/>
        <v>1272.0999999999999</v>
      </c>
      <c r="AF25" s="224"/>
      <c r="AG25" s="224"/>
      <c r="AH25" s="224"/>
      <c r="AI25" s="224"/>
      <c r="AJ25" s="224"/>
      <c r="AK25" s="224"/>
    </row>
    <row r="26" spans="1:79" x14ac:dyDescent="0.2">
      <c r="B26" s="58" t="s">
        <v>1086</v>
      </c>
      <c r="C26" s="227">
        <v>103</v>
      </c>
      <c r="D26" s="227">
        <v>103</v>
      </c>
      <c r="E26" s="227">
        <v>111</v>
      </c>
      <c r="F26" s="227">
        <v>104</v>
      </c>
      <c r="G26" s="227">
        <v>102.5</v>
      </c>
      <c r="H26" s="227">
        <v>100</v>
      </c>
      <c r="I26" s="227">
        <v>109</v>
      </c>
      <c r="J26" s="227">
        <v>98</v>
      </c>
      <c r="K26" s="227">
        <v>116</v>
      </c>
      <c r="L26" s="227">
        <v>115</v>
      </c>
      <c r="M26" s="227">
        <v>122.4</v>
      </c>
      <c r="N26" s="227">
        <v>100.4</v>
      </c>
      <c r="O26" s="227">
        <v>118</v>
      </c>
      <c r="P26" s="227">
        <v>122</v>
      </c>
      <c r="Q26" s="227">
        <v>132.30000000000001</v>
      </c>
      <c r="R26" s="227">
        <v>112.5</v>
      </c>
      <c r="S26" s="227">
        <v>141</v>
      </c>
      <c r="T26" s="227">
        <v>145</v>
      </c>
      <c r="U26" s="227">
        <v>149</v>
      </c>
      <c r="V26" s="227">
        <v>138.80000000000001</v>
      </c>
      <c r="W26" s="228">
        <v>152.80000000000001</v>
      </c>
      <c r="X26" s="227">
        <v>162</v>
      </c>
      <c r="Y26" s="228">
        <v>169.4</v>
      </c>
      <c r="Z26" s="224"/>
      <c r="AA26" s="227">
        <v>421</v>
      </c>
      <c r="AB26" s="227">
        <f>G26+H26+I26+J26</f>
        <v>409.5</v>
      </c>
      <c r="AC26" s="227">
        <f t="shared" si="7"/>
        <v>453.79999999999995</v>
      </c>
      <c r="AD26" s="227">
        <f t="shared" si="3"/>
        <v>484.8</v>
      </c>
      <c r="AE26" s="227">
        <f t="shared" si="4"/>
        <v>573.79999999999995</v>
      </c>
      <c r="AF26" s="224"/>
      <c r="AG26" s="224"/>
      <c r="AH26" s="224"/>
      <c r="AI26" s="224"/>
      <c r="AJ26" s="224"/>
      <c r="AK26" s="224"/>
    </row>
    <row r="27" spans="1:79" x14ac:dyDescent="0.2">
      <c r="B27" s="64" t="s">
        <v>581</v>
      </c>
      <c r="C27" s="227">
        <v>139</v>
      </c>
      <c r="D27" s="227">
        <v>152</v>
      </c>
      <c r="E27" s="227">
        <v>163</v>
      </c>
      <c r="F27" s="227">
        <v>157</v>
      </c>
      <c r="G27" s="227">
        <v>156.4</v>
      </c>
      <c r="H27" s="227">
        <v>158</v>
      </c>
      <c r="I27" s="227">
        <v>166</v>
      </c>
      <c r="J27" s="227">
        <v>154</v>
      </c>
      <c r="K27" s="227">
        <v>154.4</v>
      </c>
      <c r="L27" s="227">
        <v>173</v>
      </c>
      <c r="M27" s="227">
        <v>190.4</v>
      </c>
      <c r="N27" s="227">
        <v>197.5</v>
      </c>
      <c r="O27" s="227">
        <v>182</v>
      </c>
      <c r="P27" s="227">
        <v>195</v>
      </c>
      <c r="Q27" s="227">
        <v>210.2</v>
      </c>
      <c r="R27" s="227">
        <v>225.5</v>
      </c>
      <c r="S27" s="227">
        <v>213</v>
      </c>
      <c r="T27" s="227">
        <v>232</v>
      </c>
      <c r="U27" s="227">
        <v>243.4</v>
      </c>
      <c r="V27" s="227">
        <v>268</v>
      </c>
      <c r="W27" s="228">
        <v>254</v>
      </c>
      <c r="X27" s="227">
        <v>264</v>
      </c>
      <c r="Y27" s="228">
        <v>273.8</v>
      </c>
      <c r="Z27" s="224"/>
      <c r="AA27" s="227">
        <v>611</v>
      </c>
      <c r="AB27" s="227">
        <f>G27+H27+I27+J27</f>
        <v>634.4</v>
      </c>
      <c r="AC27" s="227">
        <f t="shared" si="7"/>
        <v>715.3</v>
      </c>
      <c r="AD27" s="227">
        <f t="shared" si="3"/>
        <v>812.7</v>
      </c>
      <c r="AE27" s="227">
        <f t="shared" si="4"/>
        <v>956.4</v>
      </c>
      <c r="AF27" s="224"/>
      <c r="AG27" s="224"/>
      <c r="AH27" s="224"/>
      <c r="AI27" s="224"/>
      <c r="AJ27" s="224"/>
      <c r="AK27" s="224"/>
    </row>
    <row r="28" spans="1:79" x14ac:dyDescent="0.2">
      <c r="B28" s="64" t="s">
        <v>582</v>
      </c>
      <c r="C28" s="227">
        <v>242</v>
      </c>
      <c r="D28" s="227">
        <v>255</v>
      </c>
      <c r="E28" s="227">
        <v>274</v>
      </c>
      <c r="F28" s="227">
        <v>261</v>
      </c>
      <c r="G28" s="227">
        <f t="shared" ref="G28:R28" si="16">SUM(G26:G27)</f>
        <v>258.89999999999998</v>
      </c>
      <c r="H28" s="227">
        <f t="shared" si="16"/>
        <v>258</v>
      </c>
      <c r="I28" s="227">
        <f t="shared" si="16"/>
        <v>275</v>
      </c>
      <c r="J28" s="227">
        <f t="shared" si="16"/>
        <v>252</v>
      </c>
      <c r="K28" s="227">
        <f t="shared" si="16"/>
        <v>270.39999999999998</v>
      </c>
      <c r="L28" s="227">
        <f t="shared" si="16"/>
        <v>288</v>
      </c>
      <c r="M28" s="227">
        <f t="shared" si="16"/>
        <v>312.8</v>
      </c>
      <c r="N28" s="227">
        <f t="shared" si="16"/>
        <v>297.89999999999998</v>
      </c>
      <c r="O28" s="227">
        <f t="shared" si="16"/>
        <v>300</v>
      </c>
      <c r="P28" s="227">
        <f t="shared" si="16"/>
        <v>317</v>
      </c>
      <c r="Q28" s="227">
        <f t="shared" si="16"/>
        <v>342.5</v>
      </c>
      <c r="R28" s="227">
        <f t="shared" si="16"/>
        <v>338</v>
      </c>
      <c r="S28" s="227">
        <f t="shared" ref="S28:Y28" si="17">SUM(S26:S27)</f>
        <v>354</v>
      </c>
      <c r="T28" s="227">
        <f t="shared" si="17"/>
        <v>377</v>
      </c>
      <c r="U28" s="227">
        <f t="shared" si="17"/>
        <v>392.4</v>
      </c>
      <c r="V28" s="227">
        <f t="shared" si="17"/>
        <v>406.8</v>
      </c>
      <c r="W28" s="227">
        <f t="shared" si="17"/>
        <v>406.8</v>
      </c>
      <c r="X28" s="227">
        <f t="shared" si="17"/>
        <v>426</v>
      </c>
      <c r="Y28" s="227">
        <f t="shared" si="17"/>
        <v>443.20000000000005</v>
      </c>
      <c r="Z28" s="224"/>
      <c r="AA28" s="227">
        <v>1032</v>
      </c>
      <c r="AB28" s="227">
        <f>AB26+AB27</f>
        <v>1043.9000000000001</v>
      </c>
      <c r="AC28" s="227">
        <f t="shared" si="7"/>
        <v>1169.0999999999999</v>
      </c>
      <c r="AD28" s="227">
        <f t="shared" si="3"/>
        <v>1297.5</v>
      </c>
      <c r="AE28" s="227">
        <f t="shared" si="4"/>
        <v>1530.2</v>
      </c>
      <c r="AF28" s="224"/>
      <c r="AG28" s="224"/>
      <c r="AH28" s="224"/>
      <c r="AI28" s="224"/>
      <c r="AJ28" s="224"/>
      <c r="AK28" s="224"/>
    </row>
    <row r="29" spans="1:79" x14ac:dyDescent="0.2">
      <c r="B29" s="66" t="s">
        <v>1095</v>
      </c>
      <c r="C29" s="227">
        <v>86</v>
      </c>
      <c r="D29" s="227">
        <v>85</v>
      </c>
      <c r="E29" s="227">
        <v>92</v>
      </c>
      <c r="F29" s="227">
        <v>83</v>
      </c>
      <c r="G29" s="227">
        <v>42.4</v>
      </c>
      <c r="H29" s="227">
        <v>35.4</v>
      </c>
      <c r="I29" s="227">
        <v>22</v>
      </c>
      <c r="J29" s="227">
        <v>17</v>
      </c>
      <c r="K29" s="227">
        <v>17.399999999999999</v>
      </c>
      <c r="L29" s="227">
        <v>20.399999999999999</v>
      </c>
      <c r="M29" s="227">
        <v>21.4</v>
      </c>
      <c r="N29" s="227">
        <v>16.399999999999999</v>
      </c>
      <c r="O29" s="227">
        <v>11</v>
      </c>
      <c r="P29" s="227">
        <v>12</v>
      </c>
      <c r="Q29" s="227">
        <v>12</v>
      </c>
      <c r="R29" s="227">
        <v>10</v>
      </c>
      <c r="S29" s="227">
        <v>10.7</v>
      </c>
      <c r="T29" s="227">
        <v>10</v>
      </c>
      <c r="U29" s="227">
        <v>10.5</v>
      </c>
      <c r="V29" s="227">
        <v>9.5</v>
      </c>
      <c r="W29" s="228">
        <v>12</v>
      </c>
      <c r="X29" s="227">
        <v>10</v>
      </c>
      <c r="Y29" s="228">
        <v>10</v>
      </c>
      <c r="Z29" s="224"/>
      <c r="AA29" s="227">
        <v>346</v>
      </c>
      <c r="AB29" s="227">
        <f>G29+H29+I29+J29</f>
        <v>116.8</v>
      </c>
      <c r="AC29" s="227">
        <f t="shared" si="7"/>
        <v>75.599999999999994</v>
      </c>
      <c r="AD29" s="227">
        <f t="shared" si="3"/>
        <v>45</v>
      </c>
      <c r="AE29" s="227">
        <f t="shared" si="4"/>
        <v>40.700000000000003</v>
      </c>
      <c r="AF29" s="224"/>
      <c r="AG29" s="224"/>
      <c r="AH29" s="224"/>
      <c r="AI29" s="224"/>
      <c r="AJ29" s="224"/>
      <c r="AK29" s="224"/>
    </row>
    <row r="30" spans="1:79" x14ac:dyDescent="0.2">
      <c r="B30" s="64" t="s">
        <v>581</v>
      </c>
      <c r="C30" s="227">
        <v>66</v>
      </c>
      <c r="D30" s="227">
        <v>62</v>
      </c>
      <c r="E30" s="227">
        <v>62</v>
      </c>
      <c r="F30" s="227">
        <v>60</v>
      </c>
      <c r="G30" s="227">
        <v>40.4</v>
      </c>
      <c r="H30" s="227">
        <v>30.4</v>
      </c>
      <c r="I30" s="227">
        <v>14.4</v>
      </c>
      <c r="J30" s="227">
        <v>13</v>
      </c>
      <c r="K30" s="227">
        <v>13</v>
      </c>
      <c r="L30" s="227">
        <v>12</v>
      </c>
      <c r="M30" s="227">
        <v>12.4</v>
      </c>
      <c r="N30" s="227">
        <v>9.4</v>
      </c>
      <c r="O30" s="227">
        <v>6.4</v>
      </c>
      <c r="P30" s="227">
        <v>6</v>
      </c>
      <c r="Q30" s="227">
        <v>5.2</v>
      </c>
      <c r="R30" s="227">
        <v>8</v>
      </c>
      <c r="S30" s="227">
        <v>6.1</v>
      </c>
      <c r="T30" s="227">
        <v>4.9000000000000004</v>
      </c>
      <c r="U30" s="227">
        <v>7</v>
      </c>
      <c r="V30" s="227">
        <v>6</v>
      </c>
      <c r="W30" s="228">
        <v>6.4</v>
      </c>
      <c r="X30" s="227">
        <v>2.2999999999999998</v>
      </c>
      <c r="Y30" s="228">
        <v>6</v>
      </c>
      <c r="Z30" s="224"/>
      <c r="AA30" s="227">
        <v>250</v>
      </c>
      <c r="AB30" s="227">
        <f>G30+H30+I30+J30</f>
        <v>98.2</v>
      </c>
      <c r="AC30" s="227">
        <f t="shared" si="7"/>
        <v>46.8</v>
      </c>
      <c r="AD30" s="227">
        <f t="shared" si="3"/>
        <v>25.6</v>
      </c>
      <c r="AE30" s="227">
        <f t="shared" si="4"/>
        <v>24</v>
      </c>
      <c r="AF30" s="224"/>
      <c r="AG30" s="224"/>
      <c r="AH30" s="224"/>
      <c r="AI30" s="224"/>
      <c r="AJ30" s="224"/>
      <c r="AK30" s="224"/>
    </row>
    <row r="31" spans="1:79" x14ac:dyDescent="0.2">
      <c r="B31" s="64" t="s">
        <v>582</v>
      </c>
      <c r="C31" s="227">
        <v>152</v>
      </c>
      <c r="D31" s="227">
        <v>147</v>
      </c>
      <c r="E31" s="227">
        <v>154</v>
      </c>
      <c r="F31" s="227">
        <v>143</v>
      </c>
      <c r="G31" s="227">
        <f t="shared" ref="G31:R31" si="18">SUM(G29:G30)</f>
        <v>82.8</v>
      </c>
      <c r="H31" s="227">
        <f t="shared" si="18"/>
        <v>65.8</v>
      </c>
      <c r="I31" s="227">
        <f t="shared" si="18"/>
        <v>36.4</v>
      </c>
      <c r="J31" s="227">
        <f t="shared" si="18"/>
        <v>30</v>
      </c>
      <c r="K31" s="227">
        <f t="shared" si="18"/>
        <v>30.4</v>
      </c>
      <c r="L31" s="227">
        <f t="shared" si="18"/>
        <v>32.4</v>
      </c>
      <c r="M31" s="227">
        <f t="shared" si="18"/>
        <v>33.799999999999997</v>
      </c>
      <c r="N31" s="227">
        <f t="shared" si="18"/>
        <v>25.799999999999997</v>
      </c>
      <c r="O31" s="227">
        <f t="shared" si="18"/>
        <v>17.399999999999999</v>
      </c>
      <c r="P31" s="227">
        <f t="shared" si="18"/>
        <v>18</v>
      </c>
      <c r="Q31" s="227">
        <f t="shared" si="18"/>
        <v>17.2</v>
      </c>
      <c r="R31" s="227">
        <f t="shared" si="18"/>
        <v>18</v>
      </c>
      <c r="S31" s="227">
        <f t="shared" ref="S31:Y31" si="19">SUM(S29:S30)</f>
        <v>16.799999999999997</v>
      </c>
      <c r="T31" s="227">
        <f t="shared" si="19"/>
        <v>14.9</v>
      </c>
      <c r="U31" s="227">
        <f t="shared" si="19"/>
        <v>17.5</v>
      </c>
      <c r="V31" s="227">
        <f t="shared" si="19"/>
        <v>15.5</v>
      </c>
      <c r="W31" s="227">
        <f t="shared" si="19"/>
        <v>18.399999999999999</v>
      </c>
      <c r="X31" s="227">
        <f t="shared" si="19"/>
        <v>12.3</v>
      </c>
      <c r="Y31" s="227">
        <f t="shared" si="19"/>
        <v>16</v>
      </c>
      <c r="Z31" s="224"/>
      <c r="AA31" s="227">
        <v>596</v>
      </c>
      <c r="AB31" s="227">
        <f>AB29+AB30</f>
        <v>215</v>
      </c>
      <c r="AC31" s="227">
        <f t="shared" si="7"/>
        <v>122.39999999999999</v>
      </c>
      <c r="AD31" s="227">
        <f t="shared" si="3"/>
        <v>70.599999999999994</v>
      </c>
      <c r="AE31" s="227">
        <f t="shared" si="4"/>
        <v>64.699999999999989</v>
      </c>
      <c r="AF31" s="224"/>
      <c r="AG31" s="224"/>
      <c r="AH31" s="224"/>
      <c r="AI31" s="224"/>
      <c r="AJ31" s="224"/>
      <c r="AK31" s="224"/>
    </row>
    <row r="32" spans="1:79" x14ac:dyDescent="0.2">
      <c r="A32" s="68"/>
      <c r="B32" s="67" t="s">
        <v>1096</v>
      </c>
      <c r="C32" s="227">
        <v>1311</v>
      </c>
      <c r="D32" s="227">
        <v>1360</v>
      </c>
      <c r="E32" s="227">
        <v>1390.2</v>
      </c>
      <c r="F32" s="227">
        <v>1445</v>
      </c>
      <c r="G32" s="227">
        <f t="shared" ref="G32:N33" si="20">G8+G11+G14+G17+G20+G23+G26+G29</f>
        <v>1462.8000000000002</v>
      </c>
      <c r="H32" s="227">
        <f t="shared" si="20"/>
        <v>1529.5</v>
      </c>
      <c r="I32" s="227">
        <f t="shared" si="20"/>
        <v>1569.4</v>
      </c>
      <c r="J32" s="227">
        <f t="shared" si="20"/>
        <v>1573.8</v>
      </c>
      <c r="K32" s="227">
        <f t="shared" si="20"/>
        <v>1663.1000000000001</v>
      </c>
      <c r="L32" s="227">
        <f t="shared" si="20"/>
        <v>1527.3000000000002</v>
      </c>
      <c r="M32" s="227">
        <f t="shared" si="20"/>
        <v>1513.7000000000003</v>
      </c>
      <c r="N32" s="227">
        <f t="shared" si="20"/>
        <v>1531.1000000000001</v>
      </c>
      <c r="O32" s="227">
        <f>O8+O11+O14+O17+O20+O23+O26+O29+0.5</f>
        <v>1563.8</v>
      </c>
      <c r="P32" s="227">
        <f>P8+P11+P14+P17+P20+P23+P26+P29+0.5</f>
        <v>1543.8</v>
      </c>
      <c r="Q32" s="227">
        <f>Q8+Q11+Q14+Q17+Q20+Q23+Q26+Q29+0.5</f>
        <v>1571.7</v>
      </c>
      <c r="R32" s="227">
        <f>R8+R11+R14+R17+R20+R23+R26+R29+0.5</f>
        <v>1598.2</v>
      </c>
      <c r="S32" s="227">
        <f t="shared" ref="S32:Y33" si="21">S8+S11+S14+S17+S20+S23+S26+S29</f>
        <v>1602.6</v>
      </c>
      <c r="T32" s="227">
        <f t="shared" si="21"/>
        <v>1669.9</v>
      </c>
      <c r="U32" s="227">
        <f t="shared" si="21"/>
        <v>1645.4</v>
      </c>
      <c r="V32" s="227">
        <f t="shared" si="21"/>
        <v>1800.3</v>
      </c>
      <c r="W32" s="227">
        <f t="shared" si="21"/>
        <v>2361.0000000000005</v>
      </c>
      <c r="X32" s="227">
        <f t="shared" si="21"/>
        <v>2378</v>
      </c>
      <c r="Y32" s="227">
        <f t="shared" si="21"/>
        <v>2364.89</v>
      </c>
      <c r="Z32" s="229"/>
      <c r="AA32" s="227">
        <v>5506.2</v>
      </c>
      <c r="AB32" s="227">
        <f>G32+H32+I32+J32</f>
        <v>6135.5000000000009</v>
      </c>
      <c r="AC32" s="227">
        <f t="shared" si="7"/>
        <v>6235.2000000000007</v>
      </c>
      <c r="AD32" s="227">
        <f t="shared" si="3"/>
        <v>6277.5</v>
      </c>
      <c r="AE32" s="227">
        <f t="shared" si="4"/>
        <v>6718.2</v>
      </c>
      <c r="AF32" s="229"/>
      <c r="AG32" s="229"/>
      <c r="AH32" s="229"/>
      <c r="AI32" s="229"/>
      <c r="AJ32" s="229"/>
      <c r="AK32" s="229"/>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row>
    <row r="33" spans="1:79" x14ac:dyDescent="0.2">
      <c r="A33" s="55"/>
      <c r="B33" s="69" t="s">
        <v>581</v>
      </c>
      <c r="C33" s="227">
        <v>1214</v>
      </c>
      <c r="D33" s="227">
        <v>1220</v>
      </c>
      <c r="E33" s="227">
        <v>1158</v>
      </c>
      <c r="F33" s="227">
        <v>1183</v>
      </c>
      <c r="G33" s="227">
        <f t="shared" si="20"/>
        <v>1272.2000000000003</v>
      </c>
      <c r="H33" s="227">
        <f t="shared" si="20"/>
        <v>1254.5</v>
      </c>
      <c r="I33" s="227">
        <f t="shared" si="20"/>
        <v>1203</v>
      </c>
      <c r="J33" s="227">
        <f t="shared" si="20"/>
        <v>960.9</v>
      </c>
      <c r="K33" s="227">
        <f t="shared" si="20"/>
        <v>1294.9000000000001</v>
      </c>
      <c r="L33" s="227">
        <f t="shared" si="20"/>
        <v>1229.7</v>
      </c>
      <c r="M33" s="227">
        <f t="shared" si="20"/>
        <v>1212.6000000000001</v>
      </c>
      <c r="N33" s="227">
        <f t="shared" si="20"/>
        <v>1337.8</v>
      </c>
      <c r="O33" s="227">
        <f>O9+O12+O15+O18+O21+O24+O27+O30</f>
        <v>988.39999999999986</v>
      </c>
      <c r="P33" s="227">
        <f>P9+P12+P15+P18+P21+P24+P27+P30</f>
        <v>1486.5</v>
      </c>
      <c r="Q33" s="227">
        <f>Q9+Q12+Q15+Q18+Q21+Q24+Q27+Q30</f>
        <v>1416.5</v>
      </c>
      <c r="R33" s="227">
        <f>R9+R12+R15+R18+R21+R24+R27+R30</f>
        <v>1646.9</v>
      </c>
      <c r="S33" s="227">
        <f t="shared" si="21"/>
        <v>1656.4</v>
      </c>
      <c r="T33" s="227">
        <f t="shared" si="21"/>
        <v>1722.6000000000001</v>
      </c>
      <c r="U33" s="227">
        <f t="shared" si="21"/>
        <v>1642.8000000000002</v>
      </c>
      <c r="V33" s="227">
        <f t="shared" si="21"/>
        <v>1934.8000000000002</v>
      </c>
      <c r="W33" s="227">
        <f t="shared" si="21"/>
        <v>2435.7000000000003</v>
      </c>
      <c r="X33" s="227">
        <f t="shared" si="21"/>
        <v>2477.5</v>
      </c>
      <c r="Y33" s="227">
        <f t="shared" si="21"/>
        <v>2257.48</v>
      </c>
      <c r="Z33" s="229"/>
      <c r="AA33" s="227">
        <v>4775</v>
      </c>
      <c r="AB33" s="227">
        <f>G33+H33+I33+J33</f>
        <v>4690.6000000000004</v>
      </c>
      <c r="AC33" s="227">
        <f t="shared" si="7"/>
        <v>5075.0000000000009</v>
      </c>
      <c r="AD33" s="227">
        <f t="shared" si="3"/>
        <v>5538.2999999999993</v>
      </c>
      <c r="AE33" s="230">
        <f t="shared" si="4"/>
        <v>6956.6</v>
      </c>
      <c r="AF33" s="229"/>
      <c r="AG33" s="229"/>
      <c r="AH33" s="229"/>
      <c r="AI33" s="229"/>
      <c r="AJ33" s="229"/>
      <c r="AK33" s="229"/>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row>
    <row r="34" spans="1:79" s="72" customFormat="1" x14ac:dyDescent="0.2">
      <c r="A34" s="70"/>
      <c r="B34" s="71" t="s">
        <v>582</v>
      </c>
      <c r="C34" s="231">
        <v>2525</v>
      </c>
      <c r="D34" s="231">
        <v>2580</v>
      </c>
      <c r="E34" s="231">
        <v>2548.1999999999998</v>
      </c>
      <c r="F34" s="231">
        <v>2628</v>
      </c>
      <c r="G34" s="231">
        <f>SUM(G32:G33)</f>
        <v>2735.0000000000005</v>
      </c>
      <c r="H34" s="231">
        <f>SUM(H32:H33)</f>
        <v>2784</v>
      </c>
      <c r="I34" s="231">
        <f>SUM(I32:I33)</f>
        <v>2772.4</v>
      </c>
      <c r="J34" s="231">
        <f>SUM(J32:J33)</f>
        <v>2534.6999999999998</v>
      </c>
      <c r="K34" s="231">
        <f>SUM(K32:K33)</f>
        <v>2958</v>
      </c>
      <c r="L34" s="231">
        <f>SUM(L32:L33)-1</f>
        <v>2756</v>
      </c>
      <c r="M34" s="231">
        <f t="shared" ref="M34:R34" si="22">SUM(M32:M33)</f>
        <v>2726.3</v>
      </c>
      <c r="N34" s="231">
        <f t="shared" si="22"/>
        <v>2868.9</v>
      </c>
      <c r="O34" s="231">
        <f t="shared" si="22"/>
        <v>2552.1999999999998</v>
      </c>
      <c r="P34" s="231">
        <f t="shared" si="22"/>
        <v>3030.3</v>
      </c>
      <c r="Q34" s="231">
        <f t="shared" si="22"/>
        <v>2988.2</v>
      </c>
      <c r="R34" s="231">
        <f t="shared" si="22"/>
        <v>3245.1000000000004</v>
      </c>
      <c r="S34" s="231">
        <f t="shared" ref="S34:Y34" si="23">SUM(S32:S33)</f>
        <v>3259</v>
      </c>
      <c r="T34" s="231">
        <f t="shared" si="23"/>
        <v>3392.5</v>
      </c>
      <c r="U34" s="231">
        <f t="shared" si="23"/>
        <v>3288.2000000000003</v>
      </c>
      <c r="V34" s="231">
        <f t="shared" si="23"/>
        <v>3735.1000000000004</v>
      </c>
      <c r="W34" s="231">
        <f t="shared" si="23"/>
        <v>4796.7000000000007</v>
      </c>
      <c r="X34" s="231">
        <f t="shared" si="23"/>
        <v>4855.5</v>
      </c>
      <c r="Y34" s="231">
        <f t="shared" si="23"/>
        <v>4622.37</v>
      </c>
      <c r="Z34" s="232"/>
      <c r="AA34" s="231">
        <v>10281.200000000001</v>
      </c>
      <c r="AB34" s="231">
        <f>AB32+AB33</f>
        <v>10826.100000000002</v>
      </c>
      <c r="AC34" s="231">
        <f t="shared" si="7"/>
        <v>11309.199999999999</v>
      </c>
      <c r="AD34" s="231">
        <f t="shared" si="3"/>
        <v>11815.800000000001</v>
      </c>
      <c r="AE34" s="231">
        <f t="shared" si="4"/>
        <v>13674.800000000001</v>
      </c>
      <c r="AF34" s="232"/>
      <c r="AG34" s="232"/>
      <c r="AH34" s="232"/>
      <c r="AI34" s="232"/>
      <c r="AJ34" s="232"/>
      <c r="AK34" s="232"/>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row>
    <row r="35" spans="1:79" x14ac:dyDescent="0.2">
      <c r="A35" s="55"/>
      <c r="C35" s="73"/>
      <c r="G35" s="74"/>
      <c r="H35" s="74"/>
      <c r="I35" s="74"/>
      <c r="J35" s="74"/>
      <c r="K35" s="74"/>
      <c r="L35" s="74"/>
      <c r="M35" s="74"/>
      <c r="N35" s="74"/>
      <c r="O35" s="74"/>
      <c r="P35" s="74"/>
      <c r="Q35" s="74"/>
      <c r="R35" s="74"/>
      <c r="S35" s="55"/>
      <c r="T35" s="55"/>
      <c r="U35" s="55"/>
      <c r="V35" s="55"/>
      <c r="W35" s="55"/>
      <c r="X35" s="55"/>
      <c r="Y35" s="55"/>
      <c r="Z35" s="55"/>
      <c r="AB35" s="74"/>
      <c r="AC35" s="74"/>
      <c r="AD35" s="74"/>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55"/>
      <c r="BW35" s="55"/>
      <c r="BX35" s="55"/>
      <c r="BY35" s="55"/>
      <c r="BZ35" s="55"/>
      <c r="CA35" s="55"/>
    </row>
    <row r="36" spans="1:79" x14ac:dyDescent="0.2">
      <c r="G36" s="57"/>
      <c r="H36" s="57"/>
      <c r="I36" s="57"/>
      <c r="J36" s="57"/>
      <c r="K36" s="57"/>
      <c r="S36" s="56"/>
      <c r="T36" s="56"/>
      <c r="U36" s="56"/>
      <c r="V36" s="56"/>
      <c r="AE36" s="56"/>
    </row>
    <row r="37" spans="1:79" x14ac:dyDescent="0.2">
      <c r="H37" s="57"/>
      <c r="I37" s="57"/>
      <c r="J37" s="57"/>
      <c r="K37" s="57"/>
      <c r="T37" s="75"/>
      <c r="U37" s="75"/>
      <c r="V37" s="75"/>
      <c r="W37" s="75"/>
      <c r="AE37" s="75"/>
    </row>
    <row r="69" spans="2:17" x14ac:dyDescent="0.2">
      <c r="B69" s="56" t="s">
        <v>1185</v>
      </c>
      <c r="L69" s="56"/>
    </row>
    <row r="70" spans="2:17" x14ac:dyDescent="0.2">
      <c r="B70" s="77"/>
      <c r="C70">
        <v>1995</v>
      </c>
      <c r="D70">
        <f t="shared" ref="D70:G70" si="24">C70+1</f>
        <v>1996</v>
      </c>
      <c r="E70">
        <f t="shared" si="24"/>
        <v>1997</v>
      </c>
      <c r="F70">
        <f t="shared" si="24"/>
        <v>1998</v>
      </c>
      <c r="G70">
        <f t="shared" si="24"/>
        <v>1999</v>
      </c>
      <c r="H70" s="79">
        <f t="shared" ref="H70:Q70" si="25">G70+1</f>
        <v>2000</v>
      </c>
      <c r="I70">
        <f t="shared" si="25"/>
        <v>2001</v>
      </c>
      <c r="J70">
        <f t="shared" si="25"/>
        <v>2002</v>
      </c>
      <c r="K70">
        <f t="shared" si="25"/>
        <v>2003</v>
      </c>
      <c r="L70">
        <f t="shared" si="25"/>
        <v>2004</v>
      </c>
      <c r="M70">
        <f t="shared" si="25"/>
        <v>2005</v>
      </c>
      <c r="N70">
        <f t="shared" si="25"/>
        <v>2006</v>
      </c>
      <c r="O70">
        <f t="shared" si="25"/>
        <v>2007</v>
      </c>
      <c r="P70">
        <f t="shared" si="25"/>
        <v>2008</v>
      </c>
      <c r="Q70">
        <f t="shared" si="25"/>
        <v>2009</v>
      </c>
    </row>
    <row r="71" spans="2:17" x14ac:dyDescent="0.2">
      <c r="B71" s="80" t="s">
        <v>99</v>
      </c>
      <c r="C71" s="79">
        <f>+C72+C73</f>
        <v>950</v>
      </c>
      <c r="D71" s="79">
        <f>+D72+D73</f>
        <v>965</v>
      </c>
      <c r="E71" s="79"/>
      <c r="F71" s="79"/>
      <c r="G71" s="79"/>
      <c r="H71" s="79">
        <v>494</v>
      </c>
      <c r="I71" s="79"/>
      <c r="J71" s="79"/>
      <c r="K71" s="79"/>
      <c r="L71" s="79"/>
      <c r="M71" s="79"/>
      <c r="N71" s="79"/>
      <c r="O71" s="79"/>
      <c r="P71" s="79"/>
      <c r="Q71" s="79"/>
    </row>
    <row r="72" spans="2:17" x14ac:dyDescent="0.2">
      <c r="B72" s="77" t="s">
        <v>77</v>
      </c>
      <c r="C72" s="79">
        <v>550</v>
      </c>
      <c r="D72" s="79">
        <f>635-75</f>
        <v>560</v>
      </c>
      <c r="E72" s="92"/>
      <c r="F72" s="92"/>
      <c r="G72" s="92"/>
      <c r="H72" s="92">
        <v>261</v>
      </c>
      <c r="I72" s="92"/>
      <c r="J72" s="92"/>
      <c r="K72" s="92"/>
      <c r="L72" s="92"/>
      <c r="M72" s="92"/>
      <c r="N72" s="92"/>
      <c r="O72" s="92"/>
      <c r="P72" s="92"/>
      <c r="Q72" s="92"/>
    </row>
    <row r="73" spans="2:17" x14ac:dyDescent="0.2">
      <c r="B73" s="77" t="s">
        <v>78</v>
      </c>
      <c r="C73" s="79">
        <v>400</v>
      </c>
      <c r="D73" s="79">
        <v>405</v>
      </c>
      <c r="E73" s="92"/>
      <c r="F73" s="92"/>
      <c r="G73" s="92"/>
      <c r="H73" s="92">
        <v>234</v>
      </c>
      <c r="I73" s="92"/>
      <c r="J73" s="92"/>
      <c r="K73" s="92"/>
      <c r="L73" s="92"/>
      <c r="M73" s="92"/>
      <c r="N73" s="92"/>
      <c r="O73" s="92"/>
      <c r="P73" s="92"/>
      <c r="Q73" s="92"/>
    </row>
    <row r="74" spans="2:17" x14ac:dyDescent="0.2">
      <c r="B74" s="77"/>
      <c r="C74" s="79"/>
      <c r="D74" s="79"/>
      <c r="E74" s="92"/>
      <c r="F74" s="92"/>
      <c r="G74"/>
      <c r="H74" s="92"/>
      <c r="I74" s="92"/>
      <c r="J74" s="92"/>
      <c r="K74" s="92"/>
      <c r="L74" s="92"/>
      <c r="M74" s="92"/>
      <c r="N74" s="92"/>
      <c r="O74" s="92"/>
      <c r="P74" s="92"/>
      <c r="Q74" s="92"/>
    </row>
    <row r="75" spans="2:17" x14ac:dyDescent="0.2">
      <c r="B75" s="80" t="s">
        <v>100</v>
      </c>
      <c r="C75" s="79"/>
      <c r="D75" s="79"/>
      <c r="E75" s="92"/>
      <c r="F75" s="92"/>
      <c r="G75"/>
      <c r="H75" s="92"/>
      <c r="I75" s="92"/>
      <c r="J75" s="92"/>
      <c r="K75" s="92">
        <f t="shared" ref="K75:Q75" si="26">+K76+K77</f>
        <v>8</v>
      </c>
      <c r="L75" s="92">
        <f t="shared" si="26"/>
        <v>15</v>
      </c>
      <c r="M75" s="92">
        <f t="shared" si="26"/>
        <v>22</v>
      </c>
      <c r="N75" s="92">
        <f t="shared" si="26"/>
        <v>27</v>
      </c>
      <c r="O75" s="92">
        <f t="shared" si="26"/>
        <v>33</v>
      </c>
      <c r="P75" s="92">
        <f t="shared" si="26"/>
        <v>39</v>
      </c>
      <c r="Q75" s="92">
        <f t="shared" si="26"/>
        <v>45</v>
      </c>
    </row>
    <row r="76" spans="2:17" x14ac:dyDescent="0.2">
      <c r="B76" s="77" t="s">
        <v>77</v>
      </c>
      <c r="C76" s="79"/>
      <c r="D76" s="79"/>
      <c r="E76" s="92"/>
      <c r="F76" s="92"/>
      <c r="G76"/>
      <c r="H76" s="92"/>
      <c r="I76" s="92"/>
      <c r="J76" s="92"/>
      <c r="K76" s="92">
        <f>2+3</f>
        <v>5</v>
      </c>
      <c r="L76" s="92">
        <v>10</v>
      </c>
      <c r="M76" s="92">
        <v>16</v>
      </c>
      <c r="N76" s="92">
        <v>20</v>
      </c>
      <c r="O76" s="92">
        <v>25</v>
      </c>
      <c r="P76" s="92">
        <v>30</v>
      </c>
      <c r="Q76" s="92">
        <v>35</v>
      </c>
    </row>
    <row r="77" spans="2:17" x14ac:dyDescent="0.2">
      <c r="B77" s="77" t="s">
        <v>78</v>
      </c>
      <c r="C77" s="79"/>
      <c r="D77" s="79"/>
      <c r="E77" s="92"/>
      <c r="F77" s="92"/>
      <c r="G77"/>
      <c r="H77" s="92"/>
      <c r="I77" s="92"/>
      <c r="J77" s="92"/>
      <c r="K77" s="92">
        <v>3</v>
      </c>
      <c r="L77" s="92">
        <v>5</v>
      </c>
      <c r="M77" s="92">
        <v>6</v>
      </c>
      <c r="N77" s="92">
        <f>+M77+M77-L77</f>
        <v>7</v>
      </c>
      <c r="O77" s="92">
        <f>+N77+N77-M77</f>
        <v>8</v>
      </c>
      <c r="P77" s="92">
        <f>+O77+O77-N77</f>
        <v>9</v>
      </c>
      <c r="Q77" s="92">
        <f>+P77+1</f>
        <v>10</v>
      </c>
    </row>
    <row r="78" spans="2:17" x14ac:dyDescent="0.2">
      <c r="B78" s="77"/>
      <c r="C78" s="79"/>
      <c r="D78" s="79"/>
      <c r="E78" s="92"/>
      <c r="F78" s="92"/>
      <c r="G78"/>
      <c r="H78" s="92"/>
      <c r="I78" s="92"/>
      <c r="J78" s="92"/>
      <c r="K78" s="92"/>
      <c r="L78" s="92"/>
      <c r="M78" s="92"/>
      <c r="N78" s="92"/>
      <c r="O78" s="92"/>
      <c r="P78" s="92"/>
      <c r="Q78" s="92"/>
    </row>
    <row r="79" spans="2:17" x14ac:dyDescent="0.2">
      <c r="B79" s="77" t="s">
        <v>1098</v>
      </c>
      <c r="C79" s="79">
        <f t="shared" ref="C79:G79" si="27">C80+C81</f>
        <v>97</v>
      </c>
      <c r="D79" s="79">
        <f t="shared" si="27"/>
        <v>114</v>
      </c>
      <c r="E79" s="79">
        <f t="shared" si="27"/>
        <v>111</v>
      </c>
      <c r="F79" s="79">
        <f t="shared" si="27"/>
        <v>200</v>
      </c>
      <c r="G79" s="79">
        <f t="shared" si="27"/>
        <v>204</v>
      </c>
      <c r="H79" s="79"/>
      <c r="I79" s="79"/>
      <c r="J79" s="79"/>
      <c r="K79" s="79"/>
      <c r="L79" s="79">
        <f t="shared" ref="L79:Q79" si="28">L80+L81</f>
        <v>50</v>
      </c>
      <c r="M79" s="79">
        <f t="shared" si="28"/>
        <v>41</v>
      </c>
      <c r="N79" s="79">
        <f t="shared" si="28"/>
        <v>40.400000000000006</v>
      </c>
      <c r="O79" s="79">
        <f t="shared" si="28"/>
        <v>41.940000000000005</v>
      </c>
      <c r="P79" s="79">
        <f t="shared" si="28"/>
        <v>43.634000000000007</v>
      </c>
      <c r="Q79" s="79">
        <f t="shared" si="28"/>
        <v>45.497400000000013</v>
      </c>
    </row>
    <row r="80" spans="2:17" x14ac:dyDescent="0.2">
      <c r="B80" s="77" t="s">
        <v>77</v>
      </c>
      <c r="C80" s="79">
        <v>81</v>
      </c>
      <c r="D80" s="79">
        <v>21</v>
      </c>
      <c r="E80" s="79">
        <v>21</v>
      </c>
      <c r="F80" s="79">
        <v>53</v>
      </c>
      <c r="G80" s="79">
        <v>105</v>
      </c>
      <c r="H80" s="92"/>
      <c r="I80" s="92"/>
      <c r="J80" s="92"/>
      <c r="K80" s="92"/>
      <c r="L80" s="92">
        <v>32</v>
      </c>
      <c r="M80" s="92">
        <v>27</v>
      </c>
      <c r="N80" s="92">
        <v>25</v>
      </c>
      <c r="O80" s="92">
        <f>+N80</f>
        <v>25</v>
      </c>
      <c r="P80" s="92">
        <f>+O80</f>
        <v>25</v>
      </c>
      <c r="Q80" s="92">
        <f>+P80</f>
        <v>25</v>
      </c>
    </row>
    <row r="81" spans="2:17" x14ac:dyDescent="0.2">
      <c r="B81" s="77" t="s">
        <v>78</v>
      </c>
      <c r="C81" s="79">
        <v>16</v>
      </c>
      <c r="D81" s="79">
        <v>93</v>
      </c>
      <c r="E81" s="79">
        <v>90</v>
      </c>
      <c r="F81" s="79">
        <v>147</v>
      </c>
      <c r="G81" s="79">
        <v>99</v>
      </c>
      <c r="H81" s="92"/>
      <c r="I81" s="92"/>
      <c r="J81" s="92"/>
      <c r="K81" s="92"/>
      <c r="L81" s="92">
        <v>18</v>
      </c>
      <c r="M81" s="92">
        <v>14</v>
      </c>
      <c r="N81" s="92">
        <f>+M81*1.1</f>
        <v>15.400000000000002</v>
      </c>
      <c r="O81" s="92">
        <f>+N81*1.1</f>
        <v>16.940000000000005</v>
      </c>
      <c r="P81" s="92">
        <f>+O81*1.1</f>
        <v>18.634000000000007</v>
      </c>
      <c r="Q81" s="92">
        <f>+P81*1.1</f>
        <v>20.49740000000001</v>
      </c>
    </row>
    <row r="82" spans="2:17" x14ac:dyDescent="0.2">
      <c r="B82" s="77"/>
      <c r="C82" s="79"/>
      <c r="D82" s="79"/>
      <c r="E82" s="79"/>
      <c r="F82" s="79"/>
      <c r="G82" s="79"/>
      <c r="H82" s="79"/>
      <c r="I82" s="79"/>
      <c r="J82" s="79"/>
      <c r="K82" s="79"/>
      <c r="L82" s="79"/>
      <c r="M82" s="79"/>
      <c r="N82" s="79"/>
      <c r="O82" s="79"/>
      <c r="P82" s="79"/>
      <c r="Q82" s="79"/>
    </row>
    <row r="83" spans="2:17" x14ac:dyDescent="0.2">
      <c r="B83" s="87" t="s">
        <v>101</v>
      </c>
      <c r="C83" s="88">
        <f>C84+C85</f>
        <v>6737</v>
      </c>
      <c r="D83" s="88">
        <f>D84+D85</f>
        <v>8068.1908426317814</v>
      </c>
      <c r="E83" s="88">
        <f>E84+E85</f>
        <v>7359.4209999999994</v>
      </c>
      <c r="F83" s="88">
        <f>F84+F85</f>
        <v>7430.2550799999999</v>
      </c>
      <c r="G83" s="88"/>
      <c r="H83" s="88"/>
      <c r="I83" s="88"/>
      <c r="J83" s="88"/>
      <c r="K83" s="88"/>
      <c r="L83" s="88"/>
      <c r="M83" s="88"/>
      <c r="N83" s="88"/>
      <c r="O83" s="88"/>
      <c r="P83" s="88"/>
      <c r="Q83" s="88"/>
    </row>
    <row r="84" spans="2:17" x14ac:dyDescent="0.2">
      <c r="B84" s="87" t="s">
        <v>77</v>
      </c>
      <c r="C84" s="88">
        <f>Ethicon!C26+EndoSurgery!C29+LifeScan!B10+Vision!C10+Diagnostics!C9+DePuy!C16+Cardiovascular!B75+C72+C76+C80</f>
        <v>3635</v>
      </c>
      <c r="D84" s="88">
        <f>Ethicon!D26+EndoSurgery!D29+LifeScan!C10+Vision!D10+Diagnostics!D9+DePuy!D16+Cardiovascular!C75+D72+D76+D80</f>
        <v>4378.217391304348</v>
      </c>
      <c r="E84" s="88">
        <f>Ethicon!E26+EndoSurgery!E29+LifeScan!D10+Vision!E10+Diagnostics!E9+DePuy!E16+Cardiovascular!D75+E72+E76+E80</f>
        <v>4041.4009999999998</v>
      </c>
      <c r="F84" s="88">
        <f>Ethicon!F26+EndoSurgery!F29+LifeScan!E10+Vision!F10+Diagnostics!F9+DePuy!F16+Cardiovascular!E75+F72+F76+F80</f>
        <v>3933.4908300000002</v>
      </c>
      <c r="G84" s="88"/>
      <c r="H84" s="88"/>
      <c r="I84" s="88"/>
      <c r="J84" s="88"/>
      <c r="K84" s="88"/>
      <c r="L84" s="88"/>
      <c r="M84" s="88"/>
      <c r="N84" s="88"/>
      <c r="O84" s="88"/>
      <c r="P84" s="88"/>
      <c r="Q84" s="88"/>
    </row>
    <row r="85" spans="2:17" x14ac:dyDescent="0.2">
      <c r="B85" s="89" t="s">
        <v>78</v>
      </c>
      <c r="C85" s="90">
        <f>Ethicon!C27+EndoSurgery!C30+LifeScan!B11+Vision!C11+Diagnostics!C10+DePuy!C17+Cardiovascular!B76+C73+C77+C81</f>
        <v>3102</v>
      </c>
      <c r="D85" s="90">
        <f>Ethicon!D27+EndoSurgery!D30+LifeScan!C11+Vision!D11+Diagnostics!D10+DePuy!D17+Cardiovascular!C76+D73+D77+D81</f>
        <v>3689.9734513274334</v>
      </c>
      <c r="E85" s="90">
        <f>Ethicon!E27+EndoSurgery!E30+LifeScan!D11+Vision!E11+Diagnostics!E10+DePuy!E17+Cardiovascular!D76+E73+E77+E81</f>
        <v>3318.0199999999995</v>
      </c>
      <c r="F85" s="90">
        <f>Ethicon!F27+EndoSurgery!F30+LifeScan!E11+Vision!F11+Diagnostics!F10+DePuy!F17+Cardiovascular!E76+F73+F77+F81</f>
        <v>3496.7642499999997</v>
      </c>
      <c r="G85" s="90"/>
      <c r="H85" s="90"/>
      <c r="I85" s="90"/>
      <c r="J85" s="90"/>
      <c r="K85" s="90"/>
      <c r="L85" s="90"/>
      <c r="M85" s="90"/>
      <c r="N85" s="90"/>
      <c r="O85" s="90"/>
      <c r="P85" s="90"/>
      <c r="Q85" s="90"/>
    </row>
    <row r="86" spans="2:17" x14ac:dyDescent="0.2">
      <c r="L86" s="56"/>
      <c r="M86" s="56"/>
    </row>
    <row r="87" spans="2:17" x14ac:dyDescent="0.2">
      <c r="L87" s="56"/>
    </row>
    <row r="88" spans="2:17" x14ac:dyDescent="0.2">
      <c r="L88" s="56"/>
    </row>
  </sheetData>
  <phoneticPr fontId="11" type="noConversion"/>
  <hyperlinks>
    <hyperlink ref="A1" location="Main!A1" display="Main" xr:uid="{00000000-0004-0000-2500-000000000000}"/>
  </hyperlinks>
  <printOptions horizontalCentered="1"/>
  <pageMargins left="0.74791666666666667" right="0.74791666666666667" top="0.98402777777777783" bottom="0.98402777777777772" header="0.51180555555555562" footer="0.5"/>
  <pageSetup scale="45" firstPageNumber="0" orientation="landscape" horizontalDpi="300" verticalDpi="300" r:id="rId1"/>
  <headerFooter alignWithMargins="0">
    <oddFooter>&amp;RKatherine Martinelli
Merrill Lynch Med Tech
(617) 350-5864
Katherine_Martinelli@ml.com</oddFooter>
  </headerFooter>
  <legacy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F18"/>
  <sheetViews>
    <sheetView workbookViewId="0"/>
  </sheetViews>
  <sheetFormatPr defaultColWidth="9.140625" defaultRowHeight="12.75" customHeight="1" x14ac:dyDescent="0.2"/>
  <cols>
    <col min="1" max="1" width="5" style="110" bestFit="1" customWidth="1"/>
    <col min="2" max="2" width="16.7109375" style="110" customWidth="1"/>
    <col min="3" max="16384" width="9.140625" style="110"/>
  </cols>
  <sheetData>
    <row r="1" spans="1:32" ht="12.75" customHeight="1" x14ac:dyDescent="0.2">
      <c r="A1" s="116" t="s">
        <v>154</v>
      </c>
    </row>
    <row r="2" spans="1:32" ht="12.75" customHeight="1" x14ac:dyDescent="0.2">
      <c r="B2" s="110" t="s">
        <v>1004</v>
      </c>
    </row>
    <row r="3" spans="1:32" ht="12.75" customHeight="1" x14ac:dyDescent="0.2">
      <c r="B3" s="110" t="s">
        <v>1006</v>
      </c>
    </row>
    <row r="4" spans="1:32" ht="12.75" customHeight="1" x14ac:dyDescent="0.2">
      <c r="B4" s="110" t="s">
        <v>1007</v>
      </c>
    </row>
    <row r="6" spans="1:32" ht="12.75" customHeight="1" x14ac:dyDescent="0.2">
      <c r="B6" s="110" t="s">
        <v>1005</v>
      </c>
    </row>
    <row r="8" spans="1:32" ht="12.75" customHeight="1" x14ac:dyDescent="0.2">
      <c r="C8" s="110">
        <v>1995</v>
      </c>
      <c r="D8" s="110">
        <f t="shared" ref="D8:Q8" si="0">C8+1</f>
        <v>1996</v>
      </c>
      <c r="E8" s="110">
        <f t="shared" si="0"/>
        <v>1997</v>
      </c>
      <c r="F8" s="110">
        <f t="shared" si="0"/>
        <v>1998</v>
      </c>
      <c r="G8" s="110">
        <f t="shared" si="0"/>
        <v>1999</v>
      </c>
      <c r="H8" s="110">
        <f t="shared" si="0"/>
        <v>2000</v>
      </c>
      <c r="I8" s="110">
        <f t="shared" si="0"/>
        <v>2001</v>
      </c>
      <c r="J8" s="110">
        <f t="shared" si="0"/>
        <v>2002</v>
      </c>
      <c r="K8" s="110">
        <f t="shared" si="0"/>
        <v>2003</v>
      </c>
      <c r="L8" s="110">
        <f t="shared" si="0"/>
        <v>2004</v>
      </c>
      <c r="M8" s="110">
        <f t="shared" si="0"/>
        <v>2005</v>
      </c>
      <c r="N8" s="110">
        <f t="shared" si="0"/>
        <v>2006</v>
      </c>
      <c r="O8" s="110">
        <f t="shared" si="0"/>
        <v>2007</v>
      </c>
      <c r="P8" s="110">
        <f t="shared" si="0"/>
        <v>2008</v>
      </c>
      <c r="Q8" s="110">
        <f t="shared" si="0"/>
        <v>2009</v>
      </c>
    </row>
    <row r="9" spans="1:32" ht="12.75" customHeight="1" x14ac:dyDescent="0.2">
      <c r="B9" s="110" t="s">
        <v>91</v>
      </c>
      <c r="C9" s="199">
        <f t="shared" ref="C9:Q9" si="1">C10+C11</f>
        <v>25</v>
      </c>
      <c r="D9" s="199">
        <f t="shared" si="1"/>
        <v>40</v>
      </c>
      <c r="E9" s="199">
        <f t="shared" si="1"/>
        <v>62</v>
      </c>
      <c r="F9" s="199">
        <f t="shared" si="1"/>
        <v>95.100000000000009</v>
      </c>
      <c r="G9" s="199">
        <f t="shared" si="1"/>
        <v>117.12</v>
      </c>
      <c r="H9" s="199">
        <f t="shared" si="1"/>
        <v>138.98160000000001</v>
      </c>
      <c r="I9" s="199">
        <f t="shared" si="1"/>
        <v>162.16883999999999</v>
      </c>
      <c r="J9" s="199">
        <f t="shared" si="1"/>
        <v>177</v>
      </c>
      <c r="K9" s="199">
        <f t="shared" si="1"/>
        <v>223.33999999999997</v>
      </c>
      <c r="L9" s="199">
        <f t="shared" si="1"/>
        <v>269.91119999999995</v>
      </c>
      <c r="M9" s="199">
        <f t="shared" si="1"/>
        <v>314.48414399999996</v>
      </c>
      <c r="N9" s="199">
        <f t="shared" si="1"/>
        <v>361.14063647999996</v>
      </c>
      <c r="O9" s="199">
        <f t="shared" si="1"/>
        <v>407.88191071679995</v>
      </c>
      <c r="P9" s="199">
        <f t="shared" si="1"/>
        <v>460.81709575324794</v>
      </c>
      <c r="Q9" s="199">
        <f t="shared" si="1"/>
        <v>509.21840560013277</v>
      </c>
      <c r="S9" s="197">
        <f t="shared" ref="S9:AF9" si="2">(D9-C9)/C9</f>
        <v>0.6</v>
      </c>
      <c r="T9" s="197">
        <f t="shared" si="2"/>
        <v>0.55000000000000004</v>
      </c>
      <c r="U9" s="197">
        <f t="shared" si="2"/>
        <v>0.53387096774193565</v>
      </c>
      <c r="V9" s="197">
        <f t="shared" si="2"/>
        <v>0.23154574132492106</v>
      </c>
      <c r="W9" s="197">
        <f t="shared" si="2"/>
        <v>0.18665983606557385</v>
      </c>
      <c r="X9" s="197">
        <f t="shared" si="2"/>
        <v>0.16683676112521351</v>
      </c>
      <c r="Y9" s="197">
        <f t="shared" si="2"/>
        <v>9.1455053880881265E-2</v>
      </c>
      <c r="Z9" s="197">
        <f t="shared" si="2"/>
        <v>0.26180790960451961</v>
      </c>
      <c r="AA9" s="197">
        <f t="shared" si="2"/>
        <v>0.20852153667054707</v>
      </c>
      <c r="AB9" s="197">
        <f t="shared" si="2"/>
        <v>0.16513929025546184</v>
      </c>
      <c r="AC9" s="197">
        <f t="shared" si="2"/>
        <v>0.14835880717725472</v>
      </c>
      <c r="AD9" s="197">
        <f t="shared" si="2"/>
        <v>0.12942679254370903</v>
      </c>
      <c r="AE9" s="197">
        <f t="shared" si="2"/>
        <v>0.12978066358329354</v>
      </c>
      <c r="AF9" s="197">
        <f t="shared" si="2"/>
        <v>0.10503366800610649</v>
      </c>
    </row>
    <row r="10" spans="1:32" ht="12.75" customHeight="1" x14ac:dyDescent="0.2">
      <c r="B10" s="110" t="s">
        <v>77</v>
      </c>
      <c r="C10" s="199">
        <v>20</v>
      </c>
      <c r="D10" s="198">
        <v>30</v>
      </c>
      <c r="E10" s="198">
        <f>D10*(1+T10)</f>
        <v>42</v>
      </c>
      <c r="F10" s="198">
        <f>E10*(1+U10)</f>
        <v>65.100000000000009</v>
      </c>
      <c r="G10" s="198">
        <f>F10*(1+V10)</f>
        <v>78.12</v>
      </c>
      <c r="H10" s="198">
        <f>G10*(1+W10)</f>
        <v>92.181600000000003</v>
      </c>
      <c r="I10" s="198">
        <f>H10*(1+X10)</f>
        <v>106.00883999999999</v>
      </c>
      <c r="J10" s="198">
        <v>112</v>
      </c>
      <c r="K10" s="198">
        <f t="shared" ref="K10:Q11" si="3">J10*(1+Z10)</f>
        <v>131.04</v>
      </c>
      <c r="L10" s="198">
        <f t="shared" si="3"/>
        <v>148.07519999999997</v>
      </c>
      <c r="M10" s="198">
        <f t="shared" si="3"/>
        <v>165.84422399999997</v>
      </c>
      <c r="N10" s="198">
        <f t="shared" si="3"/>
        <v>185.74553087999999</v>
      </c>
      <c r="O10" s="198">
        <f t="shared" si="3"/>
        <v>206.17753927680002</v>
      </c>
      <c r="P10" s="198">
        <f t="shared" si="3"/>
        <v>228.85706859724803</v>
      </c>
      <c r="Q10" s="198">
        <f t="shared" si="3"/>
        <v>251.74277545697285</v>
      </c>
      <c r="S10" s="197">
        <f>(D10-C10)/C10</f>
        <v>0.5</v>
      </c>
      <c r="T10" s="197">
        <v>0.4</v>
      </c>
      <c r="U10" s="197">
        <v>0.55000000000000004</v>
      </c>
      <c r="V10" s="197">
        <v>0.2</v>
      </c>
      <c r="W10" s="197">
        <v>0.18</v>
      </c>
      <c r="X10" s="197">
        <v>0.15</v>
      </c>
      <c r="Y10" s="197">
        <v>0.22</v>
      </c>
      <c r="Z10" s="197">
        <v>0.17</v>
      </c>
      <c r="AA10" s="197">
        <v>0.13</v>
      </c>
      <c r="AB10" s="197">
        <v>0.12</v>
      </c>
      <c r="AC10" s="197">
        <v>0.12</v>
      </c>
      <c r="AD10" s="197">
        <v>0.11</v>
      </c>
      <c r="AE10" s="197">
        <v>0.11</v>
      </c>
      <c r="AF10" s="197">
        <v>0.1</v>
      </c>
    </row>
    <row r="11" spans="1:32" ht="12.75" customHeight="1" x14ac:dyDescent="0.2">
      <c r="B11" s="110" t="s">
        <v>78</v>
      </c>
      <c r="C11" s="199">
        <v>5</v>
      </c>
      <c r="D11" s="199">
        <v>10</v>
      </c>
      <c r="E11" s="198">
        <f>D11*(1+T11)</f>
        <v>20</v>
      </c>
      <c r="F11" s="198">
        <v>30</v>
      </c>
      <c r="G11" s="198">
        <f>F11*(1+V11)</f>
        <v>39</v>
      </c>
      <c r="H11" s="198">
        <f>G11*(1+W11)</f>
        <v>46.8</v>
      </c>
      <c r="I11" s="198">
        <f>H11*(1+X11)</f>
        <v>56.16</v>
      </c>
      <c r="J11" s="198">
        <v>65</v>
      </c>
      <c r="K11" s="198">
        <f t="shared" si="3"/>
        <v>92.3</v>
      </c>
      <c r="L11" s="198">
        <f t="shared" si="3"/>
        <v>121.836</v>
      </c>
      <c r="M11" s="198">
        <f t="shared" si="3"/>
        <v>148.63991999999999</v>
      </c>
      <c r="N11" s="198">
        <f t="shared" si="3"/>
        <v>175.39510559999997</v>
      </c>
      <c r="O11" s="198">
        <f t="shared" si="3"/>
        <v>201.70437143999993</v>
      </c>
      <c r="P11" s="198">
        <f t="shared" si="3"/>
        <v>231.96002715599991</v>
      </c>
      <c r="Q11" s="198">
        <f t="shared" si="3"/>
        <v>257.47563014315995</v>
      </c>
      <c r="S11" s="197">
        <f>(D11-C11)/C11</f>
        <v>1</v>
      </c>
      <c r="T11" s="197">
        <v>1</v>
      </c>
      <c r="U11" s="197">
        <v>0.4</v>
      </c>
      <c r="V11" s="197">
        <v>0.3</v>
      </c>
      <c r="W11" s="197">
        <v>0.2</v>
      </c>
      <c r="X11" s="197">
        <v>0.2</v>
      </c>
      <c r="Y11" s="197">
        <v>0.31</v>
      </c>
      <c r="Z11" s="197">
        <v>0.42</v>
      </c>
      <c r="AA11" s="197">
        <v>0.32</v>
      </c>
      <c r="AB11" s="197">
        <v>0.22</v>
      </c>
      <c r="AC11" s="197">
        <v>0.18</v>
      </c>
      <c r="AD11" s="197">
        <v>0.15</v>
      </c>
      <c r="AE11" s="197">
        <v>0.15</v>
      </c>
      <c r="AF11" s="197">
        <v>0.11</v>
      </c>
    </row>
    <row r="12" spans="1:32" ht="12.75" customHeight="1" x14ac:dyDescent="0.2">
      <c r="B12" s="110" t="s">
        <v>92</v>
      </c>
      <c r="C12" s="199">
        <f t="shared" ref="C12:L12" si="4">C13+C14</f>
        <v>494</v>
      </c>
      <c r="D12" s="199">
        <f t="shared" si="4"/>
        <v>532</v>
      </c>
      <c r="E12" s="199">
        <f t="shared" si="4"/>
        <v>579.31500000000005</v>
      </c>
      <c r="F12" s="199">
        <f t="shared" si="4"/>
        <v>700.18362500000001</v>
      </c>
      <c r="G12" s="199">
        <f t="shared" si="4"/>
        <v>1701.5683225</v>
      </c>
      <c r="H12" s="199">
        <f t="shared" si="4"/>
        <v>1816</v>
      </c>
      <c r="I12" s="199">
        <f t="shared" si="4"/>
        <v>2053</v>
      </c>
      <c r="J12" s="199">
        <f t="shared" si="4"/>
        <v>2360</v>
      </c>
      <c r="K12" s="199">
        <f t="shared" si="4"/>
        <v>2783.7359999999999</v>
      </c>
      <c r="L12" s="199">
        <f t="shared" si="4"/>
        <v>3150.0888</v>
      </c>
      <c r="M12" s="199"/>
      <c r="N12" s="199"/>
      <c r="O12" s="199"/>
      <c r="P12" s="199"/>
      <c r="Q12" s="199"/>
      <c r="S12" s="197"/>
      <c r="T12" s="197"/>
      <c r="U12" s="197">
        <f t="shared" ref="U12:AF12" si="5">(F12-E12)/E12</f>
        <v>0.20864059276904609</v>
      </c>
      <c r="V12" s="197">
        <f t="shared" si="5"/>
        <v>1.430174402464782</v>
      </c>
      <c r="W12" s="197">
        <f t="shared" si="5"/>
        <v>6.7250709822731777E-2</v>
      </c>
      <c r="X12" s="197">
        <f t="shared" si="5"/>
        <v>0.13050660792951541</v>
      </c>
      <c r="Y12" s="197">
        <f t="shared" si="5"/>
        <v>0.14953726254262056</v>
      </c>
      <c r="Z12" s="197">
        <f t="shared" si="5"/>
        <v>0.17954915254237283</v>
      </c>
      <c r="AA12" s="197">
        <f t="shared" si="5"/>
        <v>0.13160472113734928</v>
      </c>
      <c r="AB12" s="197">
        <f t="shared" si="5"/>
        <v>-1</v>
      </c>
      <c r="AC12" s="197" t="e">
        <f t="shared" si="5"/>
        <v>#DIV/0!</v>
      </c>
      <c r="AD12" s="197" t="e">
        <f t="shared" si="5"/>
        <v>#DIV/0!</v>
      </c>
      <c r="AE12" s="197" t="e">
        <f t="shared" si="5"/>
        <v>#DIV/0!</v>
      </c>
      <c r="AF12" s="197" t="e">
        <f t="shared" si="5"/>
        <v>#DIV/0!</v>
      </c>
    </row>
    <row r="13" spans="1:32" ht="12.75" customHeight="1" x14ac:dyDescent="0.2">
      <c r="B13" s="110" t="s">
        <v>77</v>
      </c>
      <c r="C13" s="198">
        <v>308</v>
      </c>
      <c r="D13" s="198">
        <v>333</v>
      </c>
      <c r="E13" s="198">
        <v>359.97</v>
      </c>
      <c r="F13" s="198">
        <v>394.31600000000003</v>
      </c>
      <c r="G13" s="198">
        <v>1033.6886400000001</v>
      </c>
      <c r="H13" s="198">
        <v>1123</v>
      </c>
      <c r="I13" s="198">
        <v>1318</v>
      </c>
      <c r="J13" s="198">
        <v>1532</v>
      </c>
      <c r="K13" s="198">
        <f>J13*(1+Z13)</f>
        <v>1758.7359999999999</v>
      </c>
      <c r="L13" s="198">
        <f>2089-L10</f>
        <v>1940.9248</v>
      </c>
      <c r="M13" s="198"/>
      <c r="N13" s="198"/>
      <c r="O13" s="198"/>
      <c r="P13" s="198"/>
      <c r="Q13" s="198"/>
      <c r="S13" s="197">
        <f t="shared" ref="S13:Y14" si="6">(D13-C13)/C13</f>
        <v>8.1168831168831168E-2</v>
      </c>
      <c r="T13" s="197">
        <f t="shared" si="6"/>
        <v>8.099099099099108E-2</v>
      </c>
      <c r="U13" s="197">
        <f t="shared" si="6"/>
        <v>9.5413506681112314E-2</v>
      </c>
      <c r="V13" s="197">
        <f t="shared" si="6"/>
        <v>1.6214727274571663</v>
      </c>
      <c r="W13" s="197">
        <f t="shared" si="6"/>
        <v>8.6400639945119179E-2</v>
      </c>
      <c r="X13" s="197">
        <f t="shared" si="6"/>
        <v>0.1736420302760463</v>
      </c>
      <c r="Y13" s="197">
        <f t="shared" si="6"/>
        <v>0.16236722306525037</v>
      </c>
      <c r="Z13" s="197">
        <v>0.14799999999999999</v>
      </c>
      <c r="AA13" s="197">
        <f t="shared" ref="AA13:AB17" si="7">(L13-K13)/K13</f>
        <v>0.10359076063718496</v>
      </c>
      <c r="AB13" s="197">
        <f t="shared" si="7"/>
        <v>-1</v>
      </c>
      <c r="AC13" s="197">
        <v>0.12</v>
      </c>
      <c r="AD13" s="197">
        <v>0.105</v>
      </c>
      <c r="AE13" s="197">
        <v>0.105</v>
      </c>
      <c r="AF13" s="197">
        <v>0.105</v>
      </c>
    </row>
    <row r="14" spans="1:32" ht="12.75" customHeight="1" x14ac:dyDescent="0.2">
      <c r="B14" s="110" t="s">
        <v>78</v>
      </c>
      <c r="C14" s="198">
        <v>186</v>
      </c>
      <c r="D14" s="198">
        <v>199</v>
      </c>
      <c r="E14" s="198">
        <v>219.345</v>
      </c>
      <c r="F14" s="198">
        <v>305.86762499999998</v>
      </c>
      <c r="G14" s="198">
        <v>667.87968249999994</v>
      </c>
      <c r="H14" s="198">
        <v>693</v>
      </c>
      <c r="I14" s="198">
        <v>735</v>
      </c>
      <c r="J14" s="198">
        <v>828</v>
      </c>
      <c r="K14" s="198">
        <v>1025</v>
      </c>
      <c r="L14" s="198">
        <f>1331-L11</f>
        <v>1209.164</v>
      </c>
      <c r="M14" s="198"/>
      <c r="N14" s="198"/>
      <c r="O14" s="198"/>
      <c r="P14" s="198"/>
      <c r="Q14" s="198"/>
      <c r="S14" s="197">
        <f t="shared" si="6"/>
        <v>6.9892473118279563E-2</v>
      </c>
      <c r="T14" s="197">
        <f t="shared" si="6"/>
        <v>0.10223618090452261</v>
      </c>
      <c r="U14" s="197">
        <f t="shared" si="6"/>
        <v>0.39445907132599317</v>
      </c>
      <c r="V14" s="197">
        <f t="shared" si="6"/>
        <v>1.1835579443885242</v>
      </c>
      <c r="W14" s="197">
        <f t="shared" si="6"/>
        <v>3.76120402494802E-2</v>
      </c>
      <c r="X14" s="197">
        <f t="shared" si="6"/>
        <v>6.0606060606060608E-2</v>
      </c>
      <c r="Y14" s="197">
        <f t="shared" si="6"/>
        <v>0.12653061224489795</v>
      </c>
      <c r="Z14" s="197">
        <f>(K14-J14)/J14</f>
        <v>0.23792270531400966</v>
      </c>
      <c r="AA14" s="197">
        <f t="shared" si="7"/>
        <v>0.17967219512195121</v>
      </c>
      <c r="AB14" s="197">
        <f t="shared" si="7"/>
        <v>-1</v>
      </c>
      <c r="AC14" s="197">
        <v>0.1</v>
      </c>
      <c r="AD14" s="197">
        <v>0.1</v>
      </c>
      <c r="AE14" s="197">
        <v>0.1</v>
      </c>
      <c r="AF14" s="197">
        <v>0.1</v>
      </c>
    </row>
    <row r="15" spans="1:32" s="1" customFormat="1" ht="12.75" customHeight="1" x14ac:dyDescent="0.2">
      <c r="B15" s="1" t="s">
        <v>93</v>
      </c>
      <c r="C15" s="222">
        <f t="shared" ref="C15:L15" si="8">C16+C17</f>
        <v>519</v>
      </c>
      <c r="D15" s="222">
        <f t="shared" si="8"/>
        <v>572</v>
      </c>
      <c r="E15" s="222">
        <f t="shared" si="8"/>
        <v>641.31500000000005</v>
      </c>
      <c r="F15" s="222">
        <f t="shared" si="8"/>
        <v>795.28362500000003</v>
      </c>
      <c r="G15" s="222">
        <f t="shared" si="8"/>
        <v>1818.6883225000001</v>
      </c>
      <c r="H15" s="222">
        <f t="shared" si="8"/>
        <v>1954.9815999999998</v>
      </c>
      <c r="I15" s="222">
        <f t="shared" si="8"/>
        <v>2215.1688399999998</v>
      </c>
      <c r="J15" s="222">
        <f t="shared" si="8"/>
        <v>2537</v>
      </c>
      <c r="K15" s="222">
        <f t="shared" si="8"/>
        <v>3007.076</v>
      </c>
      <c r="L15" s="222">
        <f t="shared" si="8"/>
        <v>3420</v>
      </c>
      <c r="M15" s="222"/>
      <c r="N15" s="222"/>
      <c r="O15" s="222"/>
      <c r="P15" s="222"/>
      <c r="Q15" s="222"/>
      <c r="S15" s="223"/>
      <c r="T15" s="223"/>
      <c r="U15" s="223">
        <f t="shared" ref="U15:Y17" si="9">(F15-E15)/E15</f>
        <v>0.24008268167749072</v>
      </c>
      <c r="V15" s="223">
        <f t="shared" si="9"/>
        <v>1.2868424110957899</v>
      </c>
      <c r="W15" s="223">
        <f t="shared" si="9"/>
        <v>7.4940425917866246E-2</v>
      </c>
      <c r="X15" s="223">
        <f t="shared" si="9"/>
        <v>0.13308935490748353</v>
      </c>
      <c r="Y15" s="223">
        <f t="shared" si="9"/>
        <v>0.14528516029505012</v>
      </c>
      <c r="Z15" s="223">
        <f>(K15-J15)/J15</f>
        <v>0.18528813559322035</v>
      </c>
      <c r="AA15" s="223">
        <f t="shared" si="7"/>
        <v>0.13731744724775827</v>
      </c>
      <c r="AB15" s="223">
        <f t="shared" si="7"/>
        <v>-1</v>
      </c>
      <c r="AC15" s="223" t="e">
        <f t="shared" ref="AC15:AF17" si="10">(N15-M15)/M15</f>
        <v>#DIV/0!</v>
      </c>
      <c r="AD15" s="223" t="e">
        <f t="shared" si="10"/>
        <v>#DIV/0!</v>
      </c>
      <c r="AE15" s="223" t="e">
        <f t="shared" si="10"/>
        <v>#DIV/0!</v>
      </c>
      <c r="AF15" s="223" t="e">
        <f t="shared" si="10"/>
        <v>#DIV/0!</v>
      </c>
    </row>
    <row r="16" spans="1:32" ht="12.75" customHeight="1" x14ac:dyDescent="0.2">
      <c r="B16" s="110" t="s">
        <v>94</v>
      </c>
      <c r="C16" s="198">
        <f t="shared" ref="C16:L16" si="11">C10+C13</f>
        <v>328</v>
      </c>
      <c r="D16" s="198">
        <f t="shared" si="11"/>
        <v>363</v>
      </c>
      <c r="E16" s="198">
        <f t="shared" si="11"/>
        <v>401.97</v>
      </c>
      <c r="F16" s="198">
        <f t="shared" si="11"/>
        <v>459.41600000000005</v>
      </c>
      <c r="G16" s="198">
        <f t="shared" si="11"/>
        <v>1111.8086400000002</v>
      </c>
      <c r="H16" s="198">
        <f t="shared" si="11"/>
        <v>1215.1815999999999</v>
      </c>
      <c r="I16" s="198">
        <f t="shared" si="11"/>
        <v>1424.00884</v>
      </c>
      <c r="J16" s="198">
        <f t="shared" si="11"/>
        <v>1644</v>
      </c>
      <c r="K16" s="198">
        <f t="shared" si="11"/>
        <v>1889.7759999999998</v>
      </c>
      <c r="L16" s="198">
        <f t="shared" si="11"/>
        <v>2089</v>
      </c>
      <c r="M16" s="198"/>
      <c r="N16" s="198"/>
      <c r="O16" s="198"/>
      <c r="P16" s="198"/>
      <c r="Q16" s="198"/>
      <c r="R16" s="198"/>
      <c r="S16" s="197"/>
      <c r="T16" s="197"/>
      <c r="U16" s="197">
        <f t="shared" si="9"/>
        <v>0.14291116252456657</v>
      </c>
      <c r="V16" s="197">
        <f t="shared" si="9"/>
        <v>1.4200477127483588</v>
      </c>
      <c r="W16" s="197">
        <f t="shared" si="9"/>
        <v>9.2977295085600056E-2</v>
      </c>
      <c r="X16" s="197">
        <f t="shared" si="9"/>
        <v>0.17184858625245814</v>
      </c>
      <c r="Y16" s="197">
        <f t="shared" si="9"/>
        <v>0.15448721512150165</v>
      </c>
      <c r="Z16" s="197">
        <f>(K16-J16)/J16</f>
        <v>0.14949878345498774</v>
      </c>
      <c r="AA16" s="197">
        <f t="shared" si="7"/>
        <v>0.1054220182709486</v>
      </c>
      <c r="AB16" s="197">
        <f t="shared" si="7"/>
        <v>-1</v>
      </c>
      <c r="AC16" s="197" t="e">
        <f t="shared" si="10"/>
        <v>#DIV/0!</v>
      </c>
      <c r="AD16" s="197" t="e">
        <f t="shared" si="10"/>
        <v>#DIV/0!</v>
      </c>
      <c r="AE16" s="197" t="e">
        <f t="shared" si="10"/>
        <v>#DIV/0!</v>
      </c>
      <c r="AF16" s="197" t="e">
        <f t="shared" si="10"/>
        <v>#DIV/0!</v>
      </c>
    </row>
    <row r="17" spans="2:32" ht="12.75" customHeight="1" x14ac:dyDescent="0.2">
      <c r="B17" s="110" t="s">
        <v>581</v>
      </c>
      <c r="C17" s="198">
        <f t="shared" ref="C17:Q17" si="12">C11+C14</f>
        <v>191</v>
      </c>
      <c r="D17" s="198">
        <f t="shared" si="12"/>
        <v>209</v>
      </c>
      <c r="E17" s="198">
        <f t="shared" si="12"/>
        <v>239.345</v>
      </c>
      <c r="F17" s="198">
        <f t="shared" si="12"/>
        <v>335.86762499999998</v>
      </c>
      <c r="G17" s="198">
        <f t="shared" si="12"/>
        <v>706.87968249999994</v>
      </c>
      <c r="H17" s="198">
        <f t="shared" si="12"/>
        <v>739.8</v>
      </c>
      <c r="I17" s="198">
        <f t="shared" si="12"/>
        <v>791.16</v>
      </c>
      <c r="J17" s="198">
        <f t="shared" si="12"/>
        <v>893</v>
      </c>
      <c r="K17" s="198">
        <f t="shared" si="12"/>
        <v>1117.3</v>
      </c>
      <c r="L17" s="198">
        <f t="shared" si="12"/>
        <v>1331</v>
      </c>
      <c r="M17" s="198">
        <f t="shared" si="12"/>
        <v>148.63991999999999</v>
      </c>
      <c r="N17" s="198">
        <f t="shared" si="12"/>
        <v>175.39510559999997</v>
      </c>
      <c r="O17" s="198">
        <f t="shared" si="12"/>
        <v>201.70437143999993</v>
      </c>
      <c r="P17" s="198">
        <f t="shared" si="12"/>
        <v>231.96002715599991</v>
      </c>
      <c r="Q17" s="198">
        <f t="shared" si="12"/>
        <v>257.47563014315995</v>
      </c>
      <c r="R17" s="198"/>
      <c r="S17" s="197"/>
      <c r="T17" s="197"/>
      <c r="U17" s="197">
        <f t="shared" si="9"/>
        <v>0.40327821763563049</v>
      </c>
      <c r="V17" s="197">
        <f t="shared" si="9"/>
        <v>1.1046377497682309</v>
      </c>
      <c r="W17" s="197">
        <f t="shared" si="9"/>
        <v>4.6571316611579101E-2</v>
      </c>
      <c r="X17" s="197">
        <f t="shared" si="9"/>
        <v>6.9424168694241714E-2</v>
      </c>
      <c r="Y17" s="197">
        <f t="shared" si="9"/>
        <v>0.12872238232468786</v>
      </c>
      <c r="Z17" s="197">
        <f>(K17-J17)/J17</f>
        <v>0.25117581187010074</v>
      </c>
      <c r="AA17" s="197">
        <f t="shared" si="7"/>
        <v>0.19126465586682184</v>
      </c>
      <c r="AB17" s="197">
        <f t="shared" si="7"/>
        <v>-0.88832462809917345</v>
      </c>
      <c r="AC17" s="197">
        <f t="shared" si="10"/>
        <v>0.17999999999999985</v>
      </c>
      <c r="AD17" s="197">
        <f t="shared" si="10"/>
        <v>0.14999999999999983</v>
      </c>
      <c r="AE17" s="197">
        <f t="shared" si="10"/>
        <v>0.14999999999999994</v>
      </c>
      <c r="AF17" s="197">
        <f t="shared" si="10"/>
        <v>0.11000000000000019</v>
      </c>
    </row>
    <row r="18" spans="2:32" ht="12.75" customHeight="1" x14ac:dyDescent="0.2">
      <c r="C18" s="198"/>
      <c r="D18" s="198"/>
      <c r="E18" s="198"/>
      <c r="F18" s="198"/>
      <c r="G18" s="198"/>
      <c r="H18" s="198"/>
      <c r="I18" s="198"/>
      <c r="J18" s="198"/>
      <c r="K18" s="221"/>
      <c r="L18" s="221"/>
      <c r="M18" s="221"/>
      <c r="N18" s="221"/>
      <c r="O18" s="221"/>
      <c r="P18" s="221"/>
      <c r="Q18" s="221"/>
      <c r="R18" s="198"/>
      <c r="S18" s="197"/>
      <c r="T18" s="197"/>
      <c r="U18" s="197"/>
      <c r="V18" s="197"/>
      <c r="W18" s="197"/>
      <c r="X18" s="197"/>
      <c r="Y18" s="197"/>
      <c r="Z18" s="197"/>
      <c r="AA18" s="197"/>
      <c r="AB18" s="197"/>
      <c r="AC18" s="197"/>
      <c r="AD18" s="197"/>
      <c r="AE18" s="197"/>
      <c r="AF18" s="197"/>
    </row>
  </sheetData>
  <phoneticPr fontId="11" type="noConversion"/>
  <hyperlinks>
    <hyperlink ref="A1" location="Main!A1" display="Main" xr:uid="{00000000-0004-0000-2700-000000000000}"/>
  </hyperlinks>
  <pageMargins left="0.75" right="0.75" top="1" bottom="1" header="0.5" footer="0.5"/>
  <headerFooter alignWithMargins="0"/>
  <legacy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AS23"/>
  <sheetViews>
    <sheetView workbookViewId="0"/>
  </sheetViews>
  <sheetFormatPr defaultColWidth="8" defaultRowHeight="13.5" customHeight="1" x14ac:dyDescent="0.2"/>
  <cols>
    <col min="1" max="1" width="5.7109375" style="82" customWidth="1"/>
    <col min="2" max="2" width="15.140625" style="82" customWidth="1"/>
    <col min="3" max="12" width="6.42578125" style="29" customWidth="1"/>
    <col min="13" max="13" width="1.42578125" style="29" customWidth="1"/>
    <col min="14" max="17" width="6" style="29" customWidth="1"/>
    <col min="18" max="18" width="6.28515625" style="29" customWidth="1"/>
    <col min="19" max="20" width="6.85546875" style="29" customWidth="1"/>
    <col min="21" max="21" width="7.85546875" style="29" customWidth="1"/>
    <col min="22" max="39" width="6" style="29" customWidth="1"/>
    <col min="40" max="45" width="7.28515625" style="29" customWidth="1"/>
    <col min="46" max="16384" width="8" style="82"/>
  </cols>
  <sheetData>
    <row r="1" spans="1:45" ht="13.5" customHeight="1" x14ac:dyDescent="0.2">
      <c r="A1" s="159" t="s">
        <v>154</v>
      </c>
    </row>
    <row r="2" spans="1:45" ht="13.5" customHeight="1" x14ac:dyDescent="0.2">
      <c r="C2" s="83">
        <v>1999</v>
      </c>
      <c r="D2" s="83">
        <v>2000</v>
      </c>
      <c r="E2" s="83">
        <v>2001</v>
      </c>
      <c r="F2" s="83">
        <v>2002</v>
      </c>
      <c r="G2" s="83">
        <v>2003</v>
      </c>
      <c r="H2" s="83">
        <v>2004</v>
      </c>
      <c r="I2" s="29" t="s">
        <v>764</v>
      </c>
      <c r="J2" s="29" t="s">
        <v>765</v>
      </c>
      <c r="K2" s="29" t="s">
        <v>766</v>
      </c>
      <c r="L2" s="29" t="s">
        <v>510</v>
      </c>
      <c r="N2" s="29" t="s">
        <v>970</v>
      </c>
      <c r="O2" s="29" t="s">
        <v>971</v>
      </c>
      <c r="P2" s="29" t="s">
        <v>972</v>
      </c>
      <c r="Q2" s="29" t="s">
        <v>973</v>
      </c>
      <c r="R2" s="29" t="s">
        <v>974</v>
      </c>
      <c r="S2" s="29" t="s">
        <v>975</v>
      </c>
      <c r="T2" s="29" t="s">
        <v>976</v>
      </c>
      <c r="U2" s="29" t="s">
        <v>977</v>
      </c>
      <c r="V2" s="29" t="s">
        <v>978</v>
      </c>
      <c r="W2" s="29" t="s">
        <v>979</v>
      </c>
      <c r="X2" s="29" t="s">
        <v>980</v>
      </c>
      <c r="Y2" s="29" t="s">
        <v>989</v>
      </c>
      <c r="Z2" s="29" t="s">
        <v>990</v>
      </c>
      <c r="AA2" s="29" t="s">
        <v>991</v>
      </c>
      <c r="AB2" s="29" t="s">
        <v>992</v>
      </c>
      <c r="AC2" s="29" t="s">
        <v>993</v>
      </c>
      <c r="AD2" s="29" t="s">
        <v>994</v>
      </c>
      <c r="AE2" s="29" t="s">
        <v>995</v>
      </c>
      <c r="AF2" s="29" t="s">
        <v>996</v>
      </c>
      <c r="AG2" s="29" t="s">
        <v>997</v>
      </c>
      <c r="AH2" s="29" t="s">
        <v>823</v>
      </c>
      <c r="AI2" s="29" t="s">
        <v>824</v>
      </c>
      <c r="AJ2" s="29" t="s">
        <v>825</v>
      </c>
      <c r="AK2" s="29" t="s">
        <v>826</v>
      </c>
      <c r="AL2" s="29" t="s">
        <v>827</v>
      </c>
      <c r="AM2" s="29" t="s">
        <v>828</v>
      </c>
      <c r="AN2" s="29" t="s">
        <v>40</v>
      </c>
      <c r="AO2" s="29" t="s">
        <v>829</v>
      </c>
      <c r="AP2" s="29" t="s">
        <v>876</v>
      </c>
      <c r="AQ2" s="29" t="s">
        <v>877</v>
      </c>
      <c r="AR2" s="29" t="s">
        <v>878</v>
      </c>
      <c r="AS2" s="29" t="s">
        <v>879</v>
      </c>
    </row>
    <row r="3" spans="1:45" ht="13.5" customHeight="1" x14ac:dyDescent="0.2">
      <c r="B3" s="38" t="s">
        <v>1241</v>
      </c>
      <c r="C3" s="29">
        <f>D3/1.057</f>
        <v>999.34432304941652</v>
      </c>
      <c r="D3" s="29">
        <v>1056.3069494632332</v>
      </c>
      <c r="R3" s="29">
        <v>264.49937629937631</v>
      </c>
      <c r="S3" s="29">
        <v>258.70371346956711</v>
      </c>
      <c r="T3" s="29">
        <v>259.68214285714288</v>
      </c>
      <c r="U3" s="29">
        <v>273.74224021592443</v>
      </c>
    </row>
    <row r="4" spans="1:45" ht="13.5" customHeight="1" x14ac:dyDescent="0.2">
      <c r="B4" s="82" t="s">
        <v>616</v>
      </c>
      <c r="C4" s="29">
        <f>D4/1.084</f>
        <v>573.80073800738001</v>
      </c>
      <c r="D4" s="29">
        <v>622</v>
      </c>
      <c r="E4" s="29">
        <f>V4+W4+X4+Y4</f>
        <v>743</v>
      </c>
      <c r="F4" s="29">
        <f>Z4+AA4+AB4+AC4</f>
        <v>865.5</v>
      </c>
      <c r="G4" s="29">
        <f>AD4+AE4+AF4+AG4</f>
        <v>973.9</v>
      </c>
      <c r="H4" s="29">
        <f>SUM(AH4:AK4)</f>
        <v>1134.4000000000001</v>
      </c>
      <c r="I4" s="29">
        <f>AL4+AM4+AN4+AO4</f>
        <v>1337.3</v>
      </c>
      <c r="J4" s="29">
        <f>AP4+AQ4+AR4+AS4</f>
        <v>1504</v>
      </c>
      <c r="K4" s="29">
        <v>1680</v>
      </c>
      <c r="L4" s="29">
        <v>1860</v>
      </c>
      <c r="N4" s="29">
        <f>R4/1.07</f>
        <v>142.99065420560746</v>
      </c>
      <c r="O4" s="29">
        <f>S4/1.071</f>
        <v>140.0560224089636</v>
      </c>
      <c r="P4" s="29">
        <f>T4/1.077</f>
        <v>142.98978644382544</v>
      </c>
      <c r="Q4" s="29">
        <f>U4/1.115</f>
        <v>147.98206278026905</v>
      </c>
      <c r="R4" s="29">
        <v>153</v>
      </c>
      <c r="S4" s="29">
        <v>150</v>
      </c>
      <c r="T4" s="29">
        <v>154</v>
      </c>
      <c r="U4" s="29">
        <v>165</v>
      </c>
      <c r="V4" s="29">
        <v>181.8</v>
      </c>
      <c r="W4" s="29">
        <v>178.6</v>
      </c>
      <c r="X4" s="29">
        <v>184.6</v>
      </c>
      <c r="Y4" s="29">
        <v>198</v>
      </c>
      <c r="Z4" s="29">
        <v>208</v>
      </c>
      <c r="AA4" s="29">
        <v>210</v>
      </c>
      <c r="AB4" s="29">
        <v>220</v>
      </c>
      <c r="AC4" s="29">
        <v>227.5</v>
      </c>
      <c r="AD4" s="29">
        <v>238.4</v>
      </c>
      <c r="AE4" s="29">
        <v>230</v>
      </c>
      <c r="AF4" s="29">
        <v>242.5</v>
      </c>
      <c r="AG4" s="29">
        <v>263</v>
      </c>
      <c r="AH4" s="29">
        <v>271</v>
      </c>
      <c r="AI4" s="29">
        <v>267</v>
      </c>
      <c r="AJ4" s="29">
        <v>281.39999999999998</v>
      </c>
      <c r="AK4" s="29">
        <v>315</v>
      </c>
      <c r="AL4" s="29">
        <v>329.5</v>
      </c>
      <c r="AM4" s="29">
        <v>317.8</v>
      </c>
      <c r="AN4" s="29">
        <v>330</v>
      </c>
      <c r="AO4" s="29">
        <v>360</v>
      </c>
      <c r="AP4" s="29">
        <v>368</v>
      </c>
      <c r="AQ4" s="29">
        <v>360</v>
      </c>
      <c r="AR4" s="29">
        <v>372</v>
      </c>
      <c r="AS4" s="29">
        <v>404</v>
      </c>
    </row>
    <row r="5" spans="1:45" ht="13.5" customHeight="1" x14ac:dyDescent="0.2">
      <c r="B5" s="82" t="s">
        <v>822</v>
      </c>
      <c r="C5" s="29">
        <f>D5/1.02</f>
        <v>425.79112692473842</v>
      </c>
      <c r="D5" s="29">
        <v>434.3069494632332</v>
      </c>
      <c r="E5" s="29">
        <f>E3-E4</f>
        <v>-743</v>
      </c>
      <c r="F5" s="29">
        <f>F3-F4</f>
        <v>-865.5</v>
      </c>
      <c r="G5" s="29">
        <f>G3-G4</f>
        <v>-973.9</v>
      </c>
      <c r="H5" s="29">
        <f>H3-H4</f>
        <v>-1134.4000000000001</v>
      </c>
      <c r="I5" s="29">
        <f>AL5+AM5+AN5+AO5</f>
        <v>0</v>
      </c>
      <c r="J5" s="29">
        <f>AP5+AQ5+AR5+AS5</f>
        <v>0</v>
      </c>
      <c r="K5" s="29">
        <f>K3-K4</f>
        <v>-1680</v>
      </c>
      <c r="L5" s="29">
        <f>L3-L4</f>
        <v>-1860</v>
      </c>
      <c r="N5" s="29">
        <f>R5/1.029</f>
        <v>108.35702264273695</v>
      </c>
      <c r="O5" s="29">
        <f>S5/1.037</f>
        <v>104.82518174500204</v>
      </c>
      <c r="P5" s="29">
        <f>T5/1.005</f>
        <v>105.15636105188347</v>
      </c>
      <c r="Q5" s="29">
        <f>U5/1.014</f>
        <v>107.24086806304184</v>
      </c>
      <c r="R5" s="29">
        <v>111.49937629937631</v>
      </c>
      <c r="S5" s="29">
        <v>108.70371346956711</v>
      </c>
      <c r="T5" s="29">
        <v>105.68214285714288</v>
      </c>
      <c r="U5" s="29">
        <v>108.74224021592443</v>
      </c>
      <c r="V5" s="29">
        <f t="shared" ref="V5:X5" si="0">V3-V4</f>
        <v>-181.8</v>
      </c>
      <c r="W5" s="29">
        <f t="shared" si="0"/>
        <v>-178.6</v>
      </c>
      <c r="X5" s="29">
        <f t="shared" si="0"/>
        <v>-184.6</v>
      </c>
    </row>
    <row r="7" spans="1:45" ht="13.5" customHeight="1" x14ac:dyDescent="0.2">
      <c r="B7" s="82" t="s">
        <v>965</v>
      </c>
      <c r="C7" s="29">
        <f>D7/1.458</f>
        <v>24.005486968449933</v>
      </c>
      <c r="D7" s="29">
        <v>35</v>
      </c>
      <c r="E7" s="29">
        <f>V7+W7+X7+Y7</f>
        <v>38.1</v>
      </c>
      <c r="F7" s="29">
        <f>Z7+AA7+AB7+AC7</f>
        <v>40</v>
      </c>
      <c r="G7" s="29">
        <f t="shared" ref="G7:G13" si="1">AD7+AE7+AF7+AG7</f>
        <v>43.9</v>
      </c>
      <c r="H7" s="29">
        <f>SUM(AH7:AK7)</f>
        <v>45.9</v>
      </c>
      <c r="I7" s="29">
        <f t="shared" ref="I7:I14" si="2">AL7+AM7+AN7+AO7</f>
        <v>47.399999999999991</v>
      </c>
      <c r="J7" s="29">
        <f t="shared" ref="J7:J14" si="3">AP7+AQ7+AR7+AS7</f>
        <v>48.4</v>
      </c>
      <c r="K7" s="29">
        <v>49</v>
      </c>
      <c r="L7" s="29">
        <v>50.4</v>
      </c>
      <c r="N7" s="29">
        <f>R7*1.1</f>
        <v>9.9</v>
      </c>
      <c r="O7" s="29">
        <f>S7/1.5</f>
        <v>6</v>
      </c>
      <c r="P7" s="29">
        <f>T7/1.6</f>
        <v>5</v>
      </c>
      <c r="Q7" s="29">
        <f>U7/2</f>
        <v>4.5</v>
      </c>
      <c r="R7" s="29">
        <v>9</v>
      </c>
      <c r="S7" s="29">
        <v>9</v>
      </c>
      <c r="T7" s="29">
        <v>8</v>
      </c>
      <c r="U7" s="29">
        <v>9</v>
      </c>
      <c r="V7" s="29">
        <v>9.4</v>
      </c>
      <c r="W7" s="29">
        <v>10.7</v>
      </c>
      <c r="X7" s="29">
        <v>8.5</v>
      </c>
      <c r="Y7" s="29">
        <v>9.5</v>
      </c>
      <c r="Z7" s="29">
        <v>9.8000000000000007</v>
      </c>
      <c r="AA7" s="29">
        <v>11.4</v>
      </c>
      <c r="AB7" s="29">
        <v>8.8000000000000007</v>
      </c>
      <c r="AC7" s="29">
        <v>10</v>
      </c>
      <c r="AD7" s="29">
        <v>12.4</v>
      </c>
      <c r="AE7" s="29">
        <v>12</v>
      </c>
      <c r="AF7" s="29">
        <v>9</v>
      </c>
      <c r="AG7" s="29">
        <v>10.5</v>
      </c>
      <c r="AH7" s="29">
        <v>12.8</v>
      </c>
      <c r="AI7" s="29">
        <v>12.6</v>
      </c>
      <c r="AJ7" s="29">
        <v>9.5</v>
      </c>
      <c r="AK7" s="29">
        <v>11</v>
      </c>
      <c r="AL7" s="29">
        <v>13.2</v>
      </c>
      <c r="AM7" s="29">
        <v>13.1</v>
      </c>
      <c r="AN7" s="29">
        <v>9.8000000000000007</v>
      </c>
      <c r="AO7" s="29">
        <v>11.3</v>
      </c>
      <c r="AP7" s="29">
        <v>13.4</v>
      </c>
      <c r="AQ7" s="29">
        <v>13.4</v>
      </c>
      <c r="AR7" s="29">
        <v>10</v>
      </c>
      <c r="AS7" s="29">
        <v>11.6</v>
      </c>
    </row>
    <row r="8" spans="1:45" ht="13.5" customHeight="1" x14ac:dyDescent="0.2">
      <c r="B8" s="82" t="s">
        <v>966</v>
      </c>
      <c r="C8" s="29">
        <f>D8/1.253</f>
        <v>252.51396648044692</v>
      </c>
      <c r="D8" s="29">
        <v>316.39999999999998</v>
      </c>
      <c r="E8" s="29">
        <f>V8+W8+X8+Y8</f>
        <v>396</v>
      </c>
      <c r="F8" s="29">
        <f>Z8+AA8+AB8+AC8</f>
        <v>489.1</v>
      </c>
      <c r="G8" s="29">
        <f t="shared" si="1"/>
        <v>603</v>
      </c>
      <c r="H8" s="29">
        <f>SUM(AH8:AK8)</f>
        <v>705</v>
      </c>
      <c r="I8" s="29">
        <f t="shared" si="2"/>
        <v>813.7</v>
      </c>
      <c r="J8" s="29">
        <f t="shared" si="3"/>
        <v>950</v>
      </c>
      <c r="K8" s="29">
        <v>1100</v>
      </c>
      <c r="L8" s="29">
        <v>1260</v>
      </c>
      <c r="N8" s="29">
        <f>R8/1.3714</f>
        <v>52.501093772786938</v>
      </c>
      <c r="O8" s="29">
        <f>S8/1.2916</f>
        <v>60.003096934035298</v>
      </c>
      <c r="P8" s="29">
        <f>T8/1.1723</f>
        <v>65.000426511984998</v>
      </c>
      <c r="Q8" s="29">
        <f>U8/1.209</f>
        <v>75.020678246484692</v>
      </c>
      <c r="R8" s="29">
        <v>72</v>
      </c>
      <c r="S8" s="29">
        <v>77.5</v>
      </c>
      <c r="T8" s="29">
        <v>76.2</v>
      </c>
      <c r="U8" s="29">
        <v>90.7</v>
      </c>
      <c r="V8" s="29">
        <v>92</v>
      </c>
      <c r="W8" s="29">
        <v>97</v>
      </c>
      <c r="X8" s="29">
        <v>96</v>
      </c>
      <c r="Y8" s="29">
        <v>111</v>
      </c>
      <c r="Z8" s="29">
        <v>114</v>
      </c>
      <c r="AA8" s="29">
        <v>123</v>
      </c>
      <c r="AB8" s="29">
        <v>116.6</v>
      </c>
      <c r="AC8" s="29">
        <v>135.5</v>
      </c>
      <c r="AD8" s="29">
        <v>140</v>
      </c>
      <c r="AE8" s="29">
        <v>150</v>
      </c>
      <c r="AF8" s="29">
        <v>144</v>
      </c>
      <c r="AG8" s="29">
        <v>169</v>
      </c>
      <c r="AH8" s="29">
        <v>162</v>
      </c>
      <c r="AI8" s="29">
        <v>180</v>
      </c>
      <c r="AJ8" s="29">
        <v>163.6</v>
      </c>
      <c r="AK8" s="29">
        <v>199.4</v>
      </c>
      <c r="AL8" s="29">
        <v>197.7</v>
      </c>
      <c r="AM8" s="29">
        <v>207.8</v>
      </c>
      <c r="AN8" s="29">
        <v>188.2</v>
      </c>
      <c r="AO8" s="29">
        <v>220</v>
      </c>
      <c r="AP8" s="29">
        <v>230</v>
      </c>
      <c r="AQ8" s="29">
        <v>240</v>
      </c>
      <c r="AR8" s="29">
        <v>220</v>
      </c>
      <c r="AS8" s="29">
        <v>260</v>
      </c>
    </row>
    <row r="9" spans="1:45" ht="13.5" customHeight="1" x14ac:dyDescent="0.2">
      <c r="B9" s="82" t="s">
        <v>967</v>
      </c>
      <c r="C9" s="29">
        <f>D9/1.125</f>
        <v>94.977777777777774</v>
      </c>
      <c r="D9" s="29">
        <v>106.85</v>
      </c>
      <c r="E9" s="29">
        <f>V9+W9+X9+Y9</f>
        <v>112.4</v>
      </c>
      <c r="F9" s="29">
        <f>Z9+AA9+AB9+AC9</f>
        <v>131.30000000000001</v>
      </c>
      <c r="G9" s="29">
        <f t="shared" si="1"/>
        <v>158.80000000000001</v>
      </c>
      <c r="H9" s="29">
        <f>SUM(AH9:AK9)</f>
        <v>152.10000000000002</v>
      </c>
      <c r="I9" s="29">
        <f t="shared" si="2"/>
        <v>176</v>
      </c>
      <c r="J9" s="29">
        <f t="shared" si="3"/>
        <v>202</v>
      </c>
      <c r="K9" s="29">
        <v>230</v>
      </c>
      <c r="L9" s="29">
        <v>258</v>
      </c>
      <c r="N9" s="29">
        <f>R9/1.216</f>
        <v>25</v>
      </c>
      <c r="O9" s="29">
        <f>S9/1.154</f>
        <v>25.996533795493935</v>
      </c>
      <c r="P9" s="29">
        <f>S9/1.011</f>
        <v>29.673590504451042</v>
      </c>
      <c r="Q9" s="29">
        <f>U9/1.1</f>
        <v>21.999999999999996</v>
      </c>
      <c r="R9" s="29">
        <v>30.4</v>
      </c>
      <c r="S9" s="29">
        <v>30</v>
      </c>
      <c r="T9" s="29">
        <v>22.25</v>
      </c>
      <c r="U9" s="29">
        <v>24.2</v>
      </c>
      <c r="V9" s="29">
        <v>25</v>
      </c>
      <c r="W9" s="29">
        <v>33.700000000000003</v>
      </c>
      <c r="X9" s="29">
        <v>25.7</v>
      </c>
      <c r="Y9" s="29">
        <v>28</v>
      </c>
      <c r="Z9" s="29">
        <v>31</v>
      </c>
      <c r="AA9" s="29">
        <v>38.4</v>
      </c>
      <c r="AB9" s="29">
        <v>29.4</v>
      </c>
      <c r="AC9" s="29">
        <v>32.5</v>
      </c>
      <c r="AD9" s="29">
        <v>38</v>
      </c>
      <c r="AE9" s="29">
        <v>47</v>
      </c>
      <c r="AF9" s="29">
        <v>37.799999999999997</v>
      </c>
      <c r="AG9" s="29">
        <v>36</v>
      </c>
      <c r="AH9" s="29">
        <v>35.200000000000003</v>
      </c>
      <c r="AI9" s="29">
        <v>36.5</v>
      </c>
      <c r="AJ9" s="29">
        <v>33.6</v>
      </c>
      <c r="AK9" s="29">
        <v>46.8</v>
      </c>
      <c r="AL9" s="29">
        <v>37</v>
      </c>
      <c r="AM9" s="29">
        <v>49.4</v>
      </c>
      <c r="AN9" s="29">
        <v>39.6</v>
      </c>
      <c r="AO9" s="29">
        <v>50</v>
      </c>
      <c r="AP9" s="29">
        <v>50</v>
      </c>
      <c r="AQ9" s="29">
        <v>54</v>
      </c>
      <c r="AR9" s="29">
        <v>44</v>
      </c>
      <c r="AS9" s="29">
        <v>54</v>
      </c>
    </row>
    <row r="10" spans="1:45" ht="13.5" customHeight="1" x14ac:dyDescent="0.2">
      <c r="B10" s="82" t="s">
        <v>41</v>
      </c>
      <c r="C10" s="29">
        <f>D10*1.474</f>
        <v>60.433999999999997</v>
      </c>
      <c r="D10" s="29">
        <v>41</v>
      </c>
      <c r="E10" s="29">
        <f>V10+W10+X10+Y10</f>
        <v>39</v>
      </c>
      <c r="F10" s="29">
        <f>Z10+AA10+AB10+AC10</f>
        <v>215</v>
      </c>
      <c r="G10" s="29">
        <f t="shared" si="1"/>
        <v>258</v>
      </c>
      <c r="H10" s="29">
        <f>AH10+AI10+AJ10+AK10</f>
        <v>279.84000000000003</v>
      </c>
      <c r="I10" s="29">
        <f t="shared" si="2"/>
        <v>317.60000000000002</v>
      </c>
      <c r="J10" s="29">
        <f t="shared" si="3"/>
        <v>358</v>
      </c>
      <c r="K10" s="29">
        <v>400</v>
      </c>
      <c r="L10" s="29">
        <v>440</v>
      </c>
      <c r="N10" s="29">
        <f>R10*1.0714</f>
        <v>20.892299999999999</v>
      </c>
      <c r="O10" s="29">
        <f>S10*1.1389</f>
        <v>17.652950000000001</v>
      </c>
      <c r="P10" s="29">
        <f>T10*1.7</f>
        <v>10.199999999999999</v>
      </c>
      <c r="Q10" s="29">
        <v>0</v>
      </c>
      <c r="R10" s="29">
        <v>19.5</v>
      </c>
      <c r="S10" s="29">
        <v>15.5</v>
      </c>
      <c r="T10" s="29">
        <v>6</v>
      </c>
      <c r="U10" s="29">
        <v>0</v>
      </c>
      <c r="V10" s="29">
        <v>10.5</v>
      </c>
      <c r="W10" s="29">
        <v>9.5</v>
      </c>
      <c r="X10" s="29">
        <v>9</v>
      </c>
      <c r="Y10" s="29">
        <v>10</v>
      </c>
      <c r="Z10" s="29">
        <v>54</v>
      </c>
      <c r="AA10" s="29">
        <v>52</v>
      </c>
      <c r="AB10" s="29">
        <v>51</v>
      </c>
      <c r="AC10" s="29">
        <v>58</v>
      </c>
      <c r="AD10" s="29">
        <v>65</v>
      </c>
      <c r="AE10" s="29">
        <v>62</v>
      </c>
      <c r="AF10" s="29">
        <v>62</v>
      </c>
      <c r="AG10" s="29">
        <v>69</v>
      </c>
      <c r="AH10" s="29">
        <v>75</v>
      </c>
      <c r="AI10" s="29">
        <v>61</v>
      </c>
      <c r="AJ10" s="29">
        <v>59</v>
      </c>
      <c r="AK10" s="29">
        <v>84.84</v>
      </c>
      <c r="AL10" s="29">
        <v>87.8</v>
      </c>
      <c r="AM10" s="29">
        <v>71</v>
      </c>
      <c r="AN10" s="29">
        <v>66.8</v>
      </c>
      <c r="AO10" s="29">
        <v>92</v>
      </c>
      <c r="AP10" s="29">
        <v>96</v>
      </c>
      <c r="AQ10" s="29">
        <v>82</v>
      </c>
      <c r="AR10" s="29">
        <v>78</v>
      </c>
      <c r="AS10" s="29">
        <v>102</v>
      </c>
    </row>
    <row r="11" spans="1:45" ht="13.5" customHeight="1" x14ac:dyDescent="0.2">
      <c r="B11" s="82" t="s">
        <v>42</v>
      </c>
      <c r="C11" s="29">
        <f>D11/1.032</f>
        <v>252.90697674418604</v>
      </c>
      <c r="D11" s="29">
        <v>261</v>
      </c>
      <c r="E11" s="29">
        <f>V11+W11+X11+Y11</f>
        <v>263.39999999999998</v>
      </c>
      <c r="F11" s="29">
        <f>Z11+AA11+AB11+AC11</f>
        <v>276.39999999999998</v>
      </c>
      <c r="G11" s="29">
        <f t="shared" si="1"/>
        <v>326.89999999999998</v>
      </c>
      <c r="H11" s="29">
        <f>SUM(AH11:AK11)</f>
        <v>864.96</v>
      </c>
      <c r="I11" s="29">
        <f t="shared" si="2"/>
        <v>355.59999999999997</v>
      </c>
      <c r="J11" s="29">
        <f t="shared" si="3"/>
        <v>372</v>
      </c>
      <c r="K11" s="29">
        <v>400</v>
      </c>
      <c r="L11" s="29">
        <v>430</v>
      </c>
      <c r="N11" s="29">
        <f>R11/1.1176</f>
        <v>68.00286327845383</v>
      </c>
      <c r="O11" s="29">
        <f>S11</f>
        <v>65</v>
      </c>
      <c r="P11" s="29">
        <f>T11*1.033</f>
        <v>59.913999999999994</v>
      </c>
      <c r="Q11" s="29">
        <f>U11/1.033</f>
        <v>60.019361084220719</v>
      </c>
      <c r="R11" s="29">
        <v>76</v>
      </c>
      <c r="S11" s="29">
        <v>65</v>
      </c>
      <c r="T11" s="29">
        <v>58</v>
      </c>
      <c r="U11" s="29">
        <v>62</v>
      </c>
      <c r="V11" s="29">
        <v>78</v>
      </c>
      <c r="W11" s="29">
        <v>66</v>
      </c>
      <c r="X11" s="29">
        <v>58</v>
      </c>
      <c r="Y11" s="29">
        <v>61.4</v>
      </c>
      <c r="Z11" s="29">
        <v>80</v>
      </c>
      <c r="AA11" s="29">
        <v>71</v>
      </c>
      <c r="AB11" s="29">
        <v>60</v>
      </c>
      <c r="AC11" s="29">
        <v>65.400000000000006</v>
      </c>
      <c r="AD11" s="29">
        <v>92.5</v>
      </c>
      <c r="AE11" s="29">
        <v>87</v>
      </c>
      <c r="AF11" s="29">
        <v>69</v>
      </c>
      <c r="AG11" s="29">
        <v>78.400000000000006</v>
      </c>
      <c r="AH11" s="29">
        <v>100</v>
      </c>
      <c r="AI11" s="29">
        <v>95</v>
      </c>
      <c r="AJ11" s="29">
        <v>60</v>
      </c>
      <c r="AK11" s="29">
        <f>AK12-(AK10+AK9+AK8+AK7+AK3)</f>
        <v>609.96</v>
      </c>
      <c r="AL11" s="29">
        <v>107.1</v>
      </c>
      <c r="AM11" s="29">
        <v>105.6</v>
      </c>
      <c r="AN11" s="29">
        <v>60.9</v>
      </c>
      <c r="AO11" s="29">
        <v>82</v>
      </c>
      <c r="AP11" s="29">
        <v>110</v>
      </c>
      <c r="AQ11" s="29">
        <v>108</v>
      </c>
      <c r="AR11" s="29">
        <v>66</v>
      </c>
      <c r="AS11" s="29">
        <v>88</v>
      </c>
    </row>
    <row r="12" spans="1:45" ht="13.5" customHeight="1" x14ac:dyDescent="0.2">
      <c r="B12" s="82" t="s">
        <v>43</v>
      </c>
      <c r="C12" s="29">
        <f>D12/1.067</f>
        <v>1702.4901119617932</v>
      </c>
      <c r="D12" s="29">
        <v>1816.5569494632332</v>
      </c>
      <c r="E12" s="29">
        <f>E3+E7+E8+E9+E10+E11</f>
        <v>848.9</v>
      </c>
      <c r="F12" s="29">
        <f>F3+F7+F8+F9+F10+F11</f>
        <v>1151.8000000000002</v>
      </c>
      <c r="G12" s="29">
        <f t="shared" si="1"/>
        <v>1390.6</v>
      </c>
      <c r="H12" s="29">
        <f>H3+H7+H8+H9+H10+H11</f>
        <v>2047.8000000000002</v>
      </c>
      <c r="I12" s="29">
        <f t="shared" si="2"/>
        <v>1710.3</v>
      </c>
      <c r="J12" s="29">
        <f t="shared" si="3"/>
        <v>1930.4</v>
      </c>
      <c r="K12" s="29">
        <f>K3+K7+K8+K9+K10+K11</f>
        <v>2179</v>
      </c>
      <c r="L12" s="29">
        <f>L3+L7+L8+L9+L10+L11</f>
        <v>2438.4</v>
      </c>
      <c r="N12" s="29">
        <f>N3+N7+N8+N9+N10+N11</f>
        <v>176.29625705124079</v>
      </c>
      <c r="O12" s="29">
        <f>O3+O7+O8+O9+O10+O11</f>
        <v>174.65258072952923</v>
      </c>
      <c r="P12" s="29">
        <f>P3+P7+P8+P9+P10+P11</f>
        <v>169.78801701643604</v>
      </c>
      <c r="Q12" s="29">
        <f>Q3+Q7+Q8+Q9+Q10+Q11</f>
        <v>161.54003933070541</v>
      </c>
      <c r="R12" s="29">
        <v>471.39937629937629</v>
      </c>
      <c r="S12" s="29">
        <v>455.70371346956711</v>
      </c>
      <c r="T12" s="29">
        <v>430.13214285714287</v>
      </c>
      <c r="U12" s="29">
        <v>459.6422402159244</v>
      </c>
      <c r="V12" s="29">
        <f t="shared" ref="V12:AJ12" si="4">V3+V7+V8+V9+V10+V11</f>
        <v>214.9</v>
      </c>
      <c r="W12" s="29">
        <f t="shared" si="4"/>
        <v>216.9</v>
      </c>
      <c r="X12" s="29">
        <f t="shared" si="4"/>
        <v>197.2</v>
      </c>
      <c r="Y12" s="29">
        <f t="shared" si="4"/>
        <v>219.9</v>
      </c>
      <c r="Z12" s="29">
        <f t="shared" si="4"/>
        <v>288.8</v>
      </c>
      <c r="AA12" s="29">
        <f t="shared" si="4"/>
        <v>295.8</v>
      </c>
      <c r="AB12" s="29">
        <f t="shared" si="4"/>
        <v>265.79999999999995</v>
      </c>
      <c r="AC12" s="29">
        <f t="shared" si="4"/>
        <v>301.39999999999998</v>
      </c>
      <c r="AD12" s="29">
        <f t="shared" si="4"/>
        <v>347.9</v>
      </c>
      <c r="AE12" s="29">
        <f t="shared" si="4"/>
        <v>358</v>
      </c>
      <c r="AF12" s="29">
        <f t="shared" si="4"/>
        <v>321.8</v>
      </c>
      <c r="AG12" s="29">
        <f t="shared" si="4"/>
        <v>362.9</v>
      </c>
      <c r="AH12" s="29">
        <f t="shared" si="4"/>
        <v>385</v>
      </c>
      <c r="AI12" s="29">
        <f t="shared" si="4"/>
        <v>385.1</v>
      </c>
      <c r="AJ12" s="29">
        <f t="shared" si="4"/>
        <v>325.7</v>
      </c>
      <c r="AK12" s="29">
        <v>952</v>
      </c>
      <c r="AL12" s="29">
        <f t="shared" ref="AL12:AS12" si="5">AL3+AL7+AL8+AL9+AL10+AL11</f>
        <v>442.79999999999995</v>
      </c>
      <c r="AM12" s="29">
        <f t="shared" si="5"/>
        <v>446.9</v>
      </c>
      <c r="AN12" s="29">
        <f t="shared" si="5"/>
        <v>365.29999999999995</v>
      </c>
      <c r="AO12" s="29">
        <f t="shared" si="5"/>
        <v>455.3</v>
      </c>
      <c r="AP12" s="29">
        <f t="shared" si="5"/>
        <v>499.4</v>
      </c>
      <c r="AQ12" s="29">
        <f t="shared" si="5"/>
        <v>497.4</v>
      </c>
      <c r="AR12" s="29">
        <f t="shared" si="5"/>
        <v>418</v>
      </c>
      <c r="AS12" s="29">
        <f t="shared" si="5"/>
        <v>515.6</v>
      </c>
    </row>
    <row r="13" spans="1:45" ht="13.5" customHeight="1" x14ac:dyDescent="0.2">
      <c r="B13" s="82" t="s">
        <v>616</v>
      </c>
      <c r="C13" s="29">
        <f>D13/1.086</f>
        <v>1034.438305709024</v>
      </c>
      <c r="D13" s="29">
        <v>1123.4000000000001</v>
      </c>
      <c r="E13" s="29">
        <f>V13+W13+X13+Y13</f>
        <v>1317.8</v>
      </c>
      <c r="F13" s="29">
        <f>Z13+AA13+AB13+AC13</f>
        <v>1642.5</v>
      </c>
      <c r="G13" s="29">
        <f t="shared" si="1"/>
        <v>1889.5</v>
      </c>
      <c r="H13" s="29">
        <f>SUM(AH13:AK13)</f>
        <v>2089</v>
      </c>
      <c r="I13" s="29">
        <f t="shared" si="2"/>
        <v>2422</v>
      </c>
      <c r="J13" s="29">
        <f t="shared" si="3"/>
        <v>2737</v>
      </c>
      <c r="K13" s="29">
        <v>3080</v>
      </c>
      <c r="L13" s="29">
        <v>3440</v>
      </c>
      <c r="N13" s="29">
        <f>R13/1.13</f>
        <v>253.45132743362834</v>
      </c>
      <c r="O13" s="29">
        <f>S13/1.09</f>
        <v>255.96330275229357</v>
      </c>
      <c r="P13" s="29">
        <f>T13/1.03</f>
        <v>262.13592233009706</v>
      </c>
      <c r="Q13" s="29">
        <f>U13/1.1</f>
        <v>261.81818181818181</v>
      </c>
      <c r="R13" s="29">
        <v>286.39999999999998</v>
      </c>
      <c r="S13" s="29">
        <v>279</v>
      </c>
      <c r="T13" s="29">
        <v>270</v>
      </c>
      <c r="U13" s="29">
        <v>288</v>
      </c>
      <c r="V13" s="29">
        <v>320</v>
      </c>
      <c r="W13" s="29">
        <v>327</v>
      </c>
      <c r="X13" s="29">
        <v>324</v>
      </c>
      <c r="Y13" s="29">
        <v>346.8</v>
      </c>
      <c r="Z13" s="29">
        <v>405</v>
      </c>
      <c r="AA13" s="29">
        <v>412</v>
      </c>
      <c r="AB13" s="29">
        <v>399</v>
      </c>
      <c r="AC13" s="29">
        <v>426.5</v>
      </c>
      <c r="AD13" s="29">
        <v>468</v>
      </c>
      <c r="AE13" s="29">
        <v>468</v>
      </c>
      <c r="AF13" s="29">
        <v>460.5</v>
      </c>
      <c r="AG13" s="29">
        <v>493</v>
      </c>
      <c r="AH13" s="29">
        <v>510</v>
      </c>
      <c r="AI13" s="29">
        <v>506</v>
      </c>
      <c r="AJ13" s="29">
        <v>490</v>
      </c>
      <c r="AK13" s="29">
        <v>583</v>
      </c>
      <c r="AL13" s="29">
        <v>606</v>
      </c>
      <c r="AM13" s="29">
        <v>597</v>
      </c>
      <c r="AN13" s="29">
        <v>565</v>
      </c>
      <c r="AO13" s="29">
        <v>654</v>
      </c>
      <c r="AP13" s="29">
        <v>685</v>
      </c>
      <c r="AQ13" s="29">
        <v>672</v>
      </c>
      <c r="AR13" s="29">
        <v>640</v>
      </c>
      <c r="AS13" s="29">
        <v>740</v>
      </c>
    </row>
    <row r="14" spans="1:45" ht="13.5" customHeight="1" x14ac:dyDescent="0.2">
      <c r="B14" s="82" t="s">
        <v>822</v>
      </c>
      <c r="C14" s="29">
        <f>D14/1.037</f>
        <v>668.42521645441968</v>
      </c>
      <c r="D14" s="29">
        <v>693.1569494632331</v>
      </c>
      <c r="E14" s="29">
        <f>E12-E13</f>
        <v>-468.9</v>
      </c>
      <c r="F14" s="29">
        <f>F12-F13</f>
        <v>-490.69999999999982</v>
      </c>
      <c r="G14" s="29">
        <f>G12-G13</f>
        <v>-498.90000000000009</v>
      </c>
      <c r="H14" s="29">
        <f>H12-H13</f>
        <v>-41.199999999999818</v>
      </c>
      <c r="I14" s="29">
        <f t="shared" si="2"/>
        <v>-711.7</v>
      </c>
      <c r="J14" s="29">
        <f t="shared" si="3"/>
        <v>-806.6</v>
      </c>
      <c r="K14" s="29">
        <f>K12-K13</f>
        <v>-901</v>
      </c>
      <c r="L14" s="29">
        <f>L12-L13</f>
        <v>-1001.5999999999999</v>
      </c>
      <c r="N14" s="29">
        <f>R14/1.06</f>
        <v>174.52771348997763</v>
      </c>
      <c r="O14" s="29">
        <f>S14/1.07</f>
        <v>165.14365744819355</v>
      </c>
      <c r="P14" s="29">
        <f>T14/1.02</f>
        <v>156.99229691876752</v>
      </c>
      <c r="Q14" s="29">
        <f>U14</f>
        <v>171.6422402159244</v>
      </c>
      <c r="R14" s="29">
        <v>184.99937629937631</v>
      </c>
      <c r="S14" s="29">
        <v>176.70371346956711</v>
      </c>
      <c r="T14" s="29">
        <v>160.13214285714287</v>
      </c>
      <c r="U14" s="29">
        <v>171.6422402159244</v>
      </c>
      <c r="V14" s="29">
        <f t="shared" ref="V14:AS14" si="6">V12-V13</f>
        <v>-105.1</v>
      </c>
      <c r="W14" s="29">
        <f t="shared" si="6"/>
        <v>-110.1</v>
      </c>
      <c r="X14" s="29">
        <f t="shared" si="6"/>
        <v>-126.80000000000001</v>
      </c>
      <c r="Y14" s="29">
        <f t="shared" si="6"/>
        <v>-126.9</v>
      </c>
      <c r="Z14" s="29">
        <f t="shared" si="6"/>
        <v>-116.19999999999999</v>
      </c>
      <c r="AA14" s="29">
        <f t="shared" si="6"/>
        <v>-116.19999999999999</v>
      </c>
      <c r="AB14" s="29">
        <f t="shared" si="6"/>
        <v>-133.20000000000005</v>
      </c>
      <c r="AC14" s="29">
        <f t="shared" si="6"/>
        <v>-125.10000000000002</v>
      </c>
      <c r="AD14" s="29">
        <f t="shared" si="6"/>
        <v>-120.10000000000002</v>
      </c>
      <c r="AE14" s="29">
        <f t="shared" si="6"/>
        <v>-110</v>
      </c>
      <c r="AF14" s="29">
        <f t="shared" si="6"/>
        <v>-138.69999999999999</v>
      </c>
      <c r="AG14" s="29">
        <f t="shared" si="6"/>
        <v>-130.10000000000002</v>
      </c>
      <c r="AH14" s="29">
        <f t="shared" si="6"/>
        <v>-125</v>
      </c>
      <c r="AI14" s="29">
        <f t="shared" si="6"/>
        <v>-120.89999999999998</v>
      </c>
      <c r="AJ14" s="29">
        <f t="shared" si="6"/>
        <v>-164.3</v>
      </c>
      <c r="AK14" s="29">
        <f t="shared" si="6"/>
        <v>369</v>
      </c>
      <c r="AL14" s="29">
        <f t="shared" si="6"/>
        <v>-163.20000000000005</v>
      </c>
      <c r="AM14" s="29">
        <f t="shared" si="6"/>
        <v>-150.10000000000002</v>
      </c>
      <c r="AN14" s="29">
        <f t="shared" si="6"/>
        <v>-199.70000000000005</v>
      </c>
      <c r="AO14" s="29">
        <f t="shared" si="6"/>
        <v>-198.7</v>
      </c>
      <c r="AP14" s="29">
        <f t="shared" si="6"/>
        <v>-185.60000000000002</v>
      </c>
      <c r="AQ14" s="29">
        <f t="shared" si="6"/>
        <v>-174.60000000000002</v>
      </c>
      <c r="AR14" s="29">
        <f t="shared" si="6"/>
        <v>-222</v>
      </c>
      <c r="AS14" s="29">
        <f t="shared" si="6"/>
        <v>-224.39999999999998</v>
      </c>
    </row>
    <row r="15" spans="1:45" ht="13.5" customHeight="1" x14ac:dyDescent="0.2">
      <c r="B15" s="84" t="s">
        <v>968</v>
      </c>
      <c r="C15" s="85">
        <f t="shared" ref="C15:L15" si="7">C13/C12</f>
        <v>0.60760312112299575</v>
      </c>
      <c r="D15" s="85">
        <f t="shared" si="7"/>
        <v>0.61842267060878486</v>
      </c>
      <c r="E15" s="85">
        <f t="shared" si="7"/>
        <v>1.5523618800801036</v>
      </c>
      <c r="F15" s="85">
        <f t="shared" si="7"/>
        <v>1.4260288244486887</v>
      </c>
      <c r="G15" s="85">
        <f t="shared" si="7"/>
        <v>1.3587660002876456</v>
      </c>
      <c r="H15" s="85">
        <f t="shared" si="7"/>
        <v>1.0201191522609629</v>
      </c>
      <c r="I15" s="85">
        <f t="shared" si="7"/>
        <v>1.4161258258785008</v>
      </c>
      <c r="J15" s="85">
        <f t="shared" si="7"/>
        <v>1.4178408619975134</v>
      </c>
      <c r="K15" s="85">
        <f t="shared" si="7"/>
        <v>1.4134924277191372</v>
      </c>
      <c r="L15" s="85">
        <f t="shared" si="7"/>
        <v>1.4107611548556429</v>
      </c>
      <c r="M15" s="85"/>
      <c r="N15" s="85"/>
      <c r="O15" s="85"/>
      <c r="P15" s="85"/>
      <c r="Q15" s="85"/>
      <c r="R15" s="85">
        <v>0.60755277668868424</v>
      </c>
      <c r="S15" s="85">
        <v>0.61223990885611301</v>
      </c>
      <c r="T15" s="85">
        <v>0.62771407457841033</v>
      </c>
      <c r="U15" s="85">
        <v>0.62657426755362455</v>
      </c>
      <c r="V15" s="85">
        <f t="shared" ref="V15:AS15" si="8">V13/V12</f>
        <v>1.4890646812470916</v>
      </c>
      <c r="W15" s="85">
        <f t="shared" si="8"/>
        <v>1.5076071922544951</v>
      </c>
      <c r="X15" s="85">
        <f t="shared" si="8"/>
        <v>1.6430020283975659</v>
      </c>
      <c r="Y15" s="85">
        <f t="shared" si="8"/>
        <v>1.5770804911323328</v>
      </c>
      <c r="Z15" s="85">
        <f t="shared" si="8"/>
        <v>1.402354570637119</v>
      </c>
      <c r="AA15" s="85">
        <f t="shared" si="8"/>
        <v>1.3928329952670724</v>
      </c>
      <c r="AB15" s="85">
        <f t="shared" si="8"/>
        <v>1.5011286681715579</v>
      </c>
      <c r="AC15" s="85">
        <f t="shared" si="8"/>
        <v>1.4150630391506305</v>
      </c>
      <c r="AD15" s="85">
        <f t="shared" si="8"/>
        <v>1.3452141419948263</v>
      </c>
      <c r="AE15" s="85">
        <f t="shared" si="8"/>
        <v>1.3072625698324023</v>
      </c>
      <c r="AF15" s="85">
        <f t="shared" si="8"/>
        <v>1.4310130515848352</v>
      </c>
      <c r="AG15" s="85">
        <f t="shared" si="8"/>
        <v>1.3585009644530175</v>
      </c>
      <c r="AH15" s="85">
        <f t="shared" si="8"/>
        <v>1.3246753246753247</v>
      </c>
      <c r="AI15" s="85">
        <f t="shared" si="8"/>
        <v>1.3139444300181771</v>
      </c>
      <c r="AJ15" s="85">
        <f t="shared" si="8"/>
        <v>1.5044519496469144</v>
      </c>
      <c r="AK15" s="85">
        <f t="shared" si="8"/>
        <v>0.61239495798319332</v>
      </c>
      <c r="AL15" s="85">
        <f t="shared" si="8"/>
        <v>1.3685636856368566</v>
      </c>
      <c r="AM15" s="85">
        <f t="shared" si="8"/>
        <v>1.3358693219959723</v>
      </c>
      <c r="AN15" s="85">
        <f t="shared" si="8"/>
        <v>1.5466739666027924</v>
      </c>
      <c r="AO15" s="85">
        <f t="shared" si="8"/>
        <v>1.43641555018669</v>
      </c>
      <c r="AP15" s="85">
        <f t="shared" si="8"/>
        <v>1.3716459751702044</v>
      </c>
      <c r="AQ15" s="85">
        <f t="shared" si="8"/>
        <v>1.3510253317249699</v>
      </c>
      <c r="AR15" s="85">
        <f t="shared" si="8"/>
        <v>1.5311004784688995</v>
      </c>
      <c r="AS15" s="85">
        <f t="shared" si="8"/>
        <v>1.4352211016291698</v>
      </c>
    </row>
    <row r="16" spans="1:45" ht="13.5" customHeight="1" x14ac:dyDescent="0.2">
      <c r="B16" s="84" t="s">
        <v>969</v>
      </c>
      <c r="C16" s="85">
        <f t="shared" ref="C16:L16" si="9">1-C15</f>
        <v>0.39239687887700425</v>
      </c>
      <c r="D16" s="85">
        <f t="shared" si="9"/>
        <v>0.38157732939121514</v>
      </c>
      <c r="E16" s="85">
        <f t="shared" si="9"/>
        <v>-0.55236188008010356</v>
      </c>
      <c r="F16" s="85">
        <f t="shared" si="9"/>
        <v>-0.42602882444868873</v>
      </c>
      <c r="G16" s="85">
        <f t="shared" si="9"/>
        <v>-0.3587660002876456</v>
      </c>
      <c r="H16" s="85">
        <f t="shared" si="9"/>
        <v>-2.0119152260962947E-2</v>
      </c>
      <c r="I16" s="85">
        <f t="shared" si="9"/>
        <v>-0.41612582587850078</v>
      </c>
      <c r="J16" s="85">
        <f t="shared" si="9"/>
        <v>-0.41784086199751336</v>
      </c>
      <c r="K16" s="85">
        <f t="shared" si="9"/>
        <v>-0.41349242771913719</v>
      </c>
      <c r="L16" s="85">
        <f t="shared" si="9"/>
        <v>-0.41076115485564291</v>
      </c>
      <c r="M16" s="85"/>
      <c r="N16" s="85"/>
      <c r="O16" s="85"/>
      <c r="P16" s="85"/>
      <c r="Q16" s="85"/>
      <c r="R16" s="85">
        <v>0.39244722331131576</v>
      </c>
      <c r="S16" s="85">
        <v>0.38776009114388699</v>
      </c>
      <c r="T16" s="85">
        <v>0.37228592542158967</v>
      </c>
      <c r="U16" s="85">
        <v>0.37342573244637545</v>
      </c>
      <c r="V16" s="85">
        <f t="shared" ref="V16:AS16" si="10">1-V15</f>
        <v>-0.48906468124709157</v>
      </c>
      <c r="W16" s="85">
        <f t="shared" si="10"/>
        <v>-0.50760719225449513</v>
      </c>
      <c r="X16" s="85">
        <f t="shared" si="10"/>
        <v>-0.64300202839756593</v>
      </c>
      <c r="Y16" s="85">
        <f t="shared" si="10"/>
        <v>-0.57708049113233284</v>
      </c>
      <c r="Z16" s="85">
        <f t="shared" si="10"/>
        <v>-0.40235457063711899</v>
      </c>
      <c r="AA16" s="85">
        <f t="shared" si="10"/>
        <v>-0.39283299526707238</v>
      </c>
      <c r="AB16" s="85">
        <f t="shared" si="10"/>
        <v>-0.50112866817155788</v>
      </c>
      <c r="AC16" s="85">
        <f t="shared" si="10"/>
        <v>-0.41506303915063048</v>
      </c>
      <c r="AD16" s="85">
        <f t="shared" si="10"/>
        <v>-0.34521414199482625</v>
      </c>
      <c r="AE16" s="85">
        <f t="shared" si="10"/>
        <v>-0.3072625698324023</v>
      </c>
      <c r="AF16" s="85">
        <f t="shared" si="10"/>
        <v>-0.43101305158483516</v>
      </c>
      <c r="AG16" s="85">
        <f t="shared" si="10"/>
        <v>-0.35850096445301749</v>
      </c>
      <c r="AH16" s="85">
        <f t="shared" si="10"/>
        <v>-0.32467532467532467</v>
      </c>
      <c r="AI16" s="85">
        <f t="shared" si="10"/>
        <v>-0.31394443001817707</v>
      </c>
      <c r="AJ16" s="85">
        <f t="shared" si="10"/>
        <v>-0.50445194964691442</v>
      </c>
      <c r="AK16" s="85">
        <f t="shared" si="10"/>
        <v>0.38760504201680668</v>
      </c>
      <c r="AL16" s="85">
        <f t="shared" si="10"/>
        <v>-0.3685636856368566</v>
      </c>
      <c r="AM16" s="85">
        <f t="shared" si="10"/>
        <v>-0.3358693219959723</v>
      </c>
      <c r="AN16" s="85">
        <f t="shared" si="10"/>
        <v>-0.54667396660279244</v>
      </c>
      <c r="AO16" s="85">
        <f t="shared" si="10"/>
        <v>-0.43641555018668998</v>
      </c>
      <c r="AP16" s="85">
        <f t="shared" si="10"/>
        <v>-0.37164597517020437</v>
      </c>
      <c r="AQ16" s="85">
        <f t="shared" si="10"/>
        <v>-0.35102533172496986</v>
      </c>
      <c r="AR16" s="85">
        <f t="shared" si="10"/>
        <v>-0.53110047846889952</v>
      </c>
      <c r="AS16" s="85">
        <f t="shared" si="10"/>
        <v>-0.43522110162916983</v>
      </c>
    </row>
    <row r="17" spans="2:45" ht="13.5" customHeight="1" x14ac:dyDescent="0.2">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row>
    <row r="18" spans="2:45" ht="13.5" customHeight="1" x14ac:dyDescent="0.2">
      <c r="B18" s="82" t="s">
        <v>44</v>
      </c>
    </row>
    <row r="19" spans="2:45" ht="13.5" customHeight="1" x14ac:dyDescent="0.2">
      <c r="B19" s="82" t="s">
        <v>45</v>
      </c>
    </row>
    <row r="20" spans="2:45" ht="13.5" customHeight="1" x14ac:dyDescent="0.2">
      <c r="B20" s="82" t="s">
        <v>46</v>
      </c>
    </row>
    <row r="22" spans="2:45" ht="13.5" customHeight="1" x14ac:dyDescent="0.2">
      <c r="B22" s="82" t="s">
        <v>47</v>
      </c>
    </row>
    <row r="23" spans="2:45" ht="13.5" customHeight="1" x14ac:dyDescent="0.2">
      <c r="B23" s="82" t="s">
        <v>1242</v>
      </c>
    </row>
  </sheetData>
  <phoneticPr fontId="11" type="noConversion"/>
  <hyperlinks>
    <hyperlink ref="A1" location="Main!A1" display="Main" xr:uid="{00000000-0004-0000-2800-000000000000}"/>
  </hyperlinks>
  <printOptions horizontalCentered="1"/>
  <pageMargins left="0.74791666666666667" right="0.74791666666666667" top="0.98402777777777783" bottom="0.98402777777777772" header="0.51180555555555562" footer="0.5"/>
  <pageSetup scale="43" firstPageNumber="0" orientation="landscape" horizontalDpi="300" verticalDpi="300" r:id="rId1"/>
  <headerFooter alignWithMargins="0">
    <oddFooter>&amp;RKatherine Martinelli
Merrill Lynch Med Tech
(617) 350-5864
Katherine_Martinelli@ml.com</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2:AE12"/>
  <sheetViews>
    <sheetView zoomScale="130" zoomScaleNormal="130" workbookViewId="0"/>
  </sheetViews>
  <sheetFormatPr defaultColWidth="8.85546875" defaultRowHeight="12.75" x14ac:dyDescent="0.2"/>
  <sheetData>
    <row r="2" spans="1:31" x14ac:dyDescent="0.2">
      <c r="A2" s="45"/>
      <c r="B2" s="45">
        <v>2002</v>
      </c>
      <c r="C2" s="45">
        <v>2003</v>
      </c>
      <c r="D2" s="45">
        <v>2004</v>
      </c>
      <c r="E2" s="46" t="s">
        <v>764</v>
      </c>
      <c r="F2" s="46" t="s">
        <v>765</v>
      </c>
      <c r="G2" s="46" t="s">
        <v>766</v>
      </c>
      <c r="H2" s="47" t="s">
        <v>510</v>
      </c>
    </row>
    <row r="3" spans="1:31" x14ac:dyDescent="0.2">
      <c r="A3" t="s">
        <v>1083</v>
      </c>
      <c r="B3">
        <v>23.6</v>
      </c>
      <c r="C3">
        <v>34.119999999999997</v>
      </c>
      <c r="D3">
        <v>67.930000000000007</v>
      </c>
      <c r="E3" t="s">
        <v>1084</v>
      </c>
    </row>
    <row r="5" spans="1:31" x14ac:dyDescent="0.2">
      <c r="B5" t="s">
        <v>1085</v>
      </c>
    </row>
    <row r="8" spans="1:31" ht="10.35" customHeight="1" x14ac:dyDescent="0.2">
      <c r="A8" s="77"/>
      <c r="B8" s="78">
        <v>1995</v>
      </c>
      <c r="C8" s="78">
        <f t="shared" ref="C8:P8" si="0">B8+1</f>
        <v>1996</v>
      </c>
      <c r="D8" s="78">
        <f t="shared" si="0"/>
        <v>1997</v>
      </c>
      <c r="E8" s="78">
        <f t="shared" si="0"/>
        <v>1998</v>
      </c>
      <c r="F8" s="78">
        <f t="shared" si="0"/>
        <v>1999</v>
      </c>
      <c r="G8" s="78">
        <f t="shared" si="0"/>
        <v>2000</v>
      </c>
      <c r="H8" s="78">
        <f t="shared" si="0"/>
        <v>2001</v>
      </c>
      <c r="I8" s="78">
        <f t="shared" si="0"/>
        <v>2002</v>
      </c>
      <c r="J8" s="78">
        <f t="shared" si="0"/>
        <v>2003</v>
      </c>
      <c r="K8" s="78">
        <f t="shared" si="0"/>
        <v>2004</v>
      </c>
      <c r="L8" s="78">
        <f t="shared" si="0"/>
        <v>2005</v>
      </c>
      <c r="M8" s="78">
        <f t="shared" si="0"/>
        <v>2006</v>
      </c>
      <c r="N8" s="78">
        <f t="shared" si="0"/>
        <v>2007</v>
      </c>
      <c r="O8" s="78">
        <f t="shared" si="0"/>
        <v>2008</v>
      </c>
      <c r="P8" s="78">
        <f t="shared" si="0"/>
        <v>2009</v>
      </c>
    </row>
    <row r="9" spans="1:31" ht="10.35" customHeight="1" x14ac:dyDescent="0.2">
      <c r="A9" s="80" t="s">
        <v>1082</v>
      </c>
      <c r="B9" s="79">
        <f>B10+B11</f>
        <v>690</v>
      </c>
      <c r="C9" s="79">
        <f>C10+C11</f>
        <v>816.19084263178149</v>
      </c>
      <c r="D9" s="92">
        <f>D10+D11</f>
        <v>934</v>
      </c>
      <c r="E9" s="92">
        <f>E10+E11</f>
        <v>1000</v>
      </c>
      <c r="F9" s="92"/>
      <c r="G9" s="92"/>
      <c r="H9" s="92"/>
      <c r="I9" s="92"/>
      <c r="J9" s="92"/>
      <c r="K9" s="92"/>
      <c r="L9" s="92"/>
      <c r="M9" s="92"/>
      <c r="N9" s="92"/>
      <c r="O9" s="92"/>
      <c r="P9" s="92"/>
      <c r="Q9" s="79"/>
      <c r="R9" s="81">
        <f t="shared" ref="R9:X11" si="1">(C9-B9)/B9</f>
        <v>0.18288527917649491</v>
      </c>
      <c r="S9" s="81">
        <f t="shared" si="1"/>
        <v>0.14434020968471861</v>
      </c>
      <c r="T9" s="81">
        <f t="shared" si="1"/>
        <v>7.0663811563169171E-2</v>
      </c>
      <c r="U9" s="81">
        <f t="shared" si="1"/>
        <v>-1</v>
      </c>
      <c r="V9" s="81" t="e">
        <f t="shared" si="1"/>
        <v>#DIV/0!</v>
      </c>
      <c r="W9" s="81" t="e">
        <f t="shared" si="1"/>
        <v>#DIV/0!</v>
      </c>
      <c r="X9" s="81" t="e">
        <f t="shared" si="1"/>
        <v>#DIV/0!</v>
      </c>
      <c r="Y9" s="81"/>
      <c r="Z9" s="81"/>
      <c r="AA9" s="81"/>
      <c r="AB9" s="81"/>
      <c r="AC9" s="81" t="e">
        <f>(N9-M9)/M9</f>
        <v>#DIV/0!</v>
      </c>
      <c r="AD9" s="81" t="e">
        <f>(O9-N9)/N9</f>
        <v>#DIV/0!</v>
      </c>
      <c r="AE9" s="81" t="e">
        <f>(P9-O9)/O9</f>
        <v>#DIV/0!</v>
      </c>
    </row>
    <row r="10" spans="1:31" ht="10.35" customHeight="1" x14ac:dyDescent="0.2">
      <c r="A10" s="77" t="s">
        <v>77</v>
      </c>
      <c r="B10" s="79">
        <v>485</v>
      </c>
      <c r="C10" s="79">
        <f>D10/(1+0.15)</f>
        <v>585.21739130434787</v>
      </c>
      <c r="D10" s="92">
        <v>673</v>
      </c>
      <c r="E10" s="92">
        <v>707</v>
      </c>
      <c r="F10" s="92" t="e">
        <f>#REF!</f>
        <v>#REF!</v>
      </c>
      <c r="G10" s="92" t="e">
        <f>#REF!</f>
        <v>#REF!</v>
      </c>
      <c r="H10" s="92" t="e">
        <f>#REF!</f>
        <v>#REF!</v>
      </c>
      <c r="I10" s="92" t="e">
        <f>#REF!</f>
        <v>#REF!</v>
      </c>
      <c r="J10" s="92" t="e">
        <f>#REF!</f>
        <v>#REF!</v>
      </c>
      <c r="K10" s="92" t="e">
        <f>+#REF!</f>
        <v>#REF!</v>
      </c>
      <c r="L10" s="92" t="e">
        <f>+#REF!</f>
        <v>#REF!</v>
      </c>
      <c r="M10" s="92"/>
      <c r="N10" s="92"/>
      <c r="O10" s="92"/>
      <c r="P10" s="92"/>
      <c r="Q10" s="78"/>
      <c r="R10" s="81">
        <f t="shared" si="1"/>
        <v>0.20663379650381003</v>
      </c>
      <c r="S10" s="81">
        <f t="shared" si="1"/>
        <v>0.14999999999999991</v>
      </c>
      <c r="T10" s="81">
        <f t="shared" si="1"/>
        <v>5.0520059435364043E-2</v>
      </c>
      <c r="U10" s="81" t="e">
        <f t="shared" si="1"/>
        <v>#REF!</v>
      </c>
      <c r="V10" s="81" t="e">
        <f t="shared" si="1"/>
        <v>#REF!</v>
      </c>
      <c r="W10" s="81" t="e">
        <f t="shared" si="1"/>
        <v>#REF!</v>
      </c>
      <c r="X10" s="81" t="e">
        <f t="shared" si="1"/>
        <v>#REF!</v>
      </c>
      <c r="Y10" s="81"/>
      <c r="Z10" s="81"/>
      <c r="AA10" s="81"/>
      <c r="AB10" s="81">
        <v>0.11</v>
      </c>
      <c r="AC10" s="81">
        <v>0.1</v>
      </c>
      <c r="AD10" s="81">
        <v>0.1</v>
      </c>
      <c r="AE10" s="81">
        <v>7.0000000000000007E-2</v>
      </c>
    </row>
    <row r="11" spans="1:31" ht="10.35" customHeight="1" x14ac:dyDescent="0.2">
      <c r="A11" s="77" t="s">
        <v>78</v>
      </c>
      <c r="B11" s="79">
        <v>205</v>
      </c>
      <c r="C11" s="79">
        <f>D11/(1+0.13)</f>
        <v>230.97345132743365</v>
      </c>
      <c r="D11" s="92">
        <v>261</v>
      </c>
      <c r="E11" s="92">
        <v>293</v>
      </c>
      <c r="F11" s="92" t="e">
        <f>#REF!</f>
        <v>#REF!</v>
      </c>
      <c r="G11" s="92" t="e">
        <f>#REF!</f>
        <v>#REF!</v>
      </c>
      <c r="H11" s="92" t="e">
        <f>#REF!</f>
        <v>#REF!</v>
      </c>
      <c r="I11" s="92" t="e">
        <f>#REF!</f>
        <v>#REF!</v>
      </c>
      <c r="J11" s="92" t="e">
        <f>#REF!</f>
        <v>#REF!</v>
      </c>
      <c r="K11" s="92" t="e">
        <f>+#REF!</f>
        <v>#REF!</v>
      </c>
      <c r="L11" s="92" t="e">
        <f>+#REF!</f>
        <v>#REF!</v>
      </c>
      <c r="M11" s="92"/>
      <c r="N11" s="92"/>
      <c r="O11" s="92"/>
      <c r="P11" s="92"/>
      <c r="Q11" s="78"/>
      <c r="R11" s="81">
        <f t="shared" si="1"/>
        <v>0.12669976257284707</v>
      </c>
      <c r="S11" s="81">
        <f t="shared" si="1"/>
        <v>0.12999999999999989</v>
      </c>
      <c r="T11" s="81">
        <f t="shared" si="1"/>
        <v>0.12260536398467432</v>
      </c>
      <c r="U11" s="81" t="e">
        <f t="shared" si="1"/>
        <v>#REF!</v>
      </c>
      <c r="V11" s="81" t="e">
        <f t="shared" si="1"/>
        <v>#REF!</v>
      </c>
      <c r="W11" s="81" t="e">
        <f t="shared" si="1"/>
        <v>#REF!</v>
      </c>
      <c r="X11" s="81" t="e">
        <f t="shared" si="1"/>
        <v>#REF!</v>
      </c>
      <c r="Y11" s="81"/>
      <c r="Z11" s="81"/>
      <c r="AA11" s="81"/>
      <c r="AB11" s="81">
        <v>0.12</v>
      </c>
      <c r="AC11" s="81">
        <v>0.12</v>
      </c>
      <c r="AD11" s="81">
        <v>0.12</v>
      </c>
      <c r="AE11" s="81">
        <v>0.06</v>
      </c>
    </row>
    <row r="12" spans="1:31" ht="10.35" customHeight="1" x14ac:dyDescent="0.2">
      <c r="A12" s="77"/>
      <c r="B12" s="79"/>
      <c r="C12" s="79"/>
      <c r="D12" s="92"/>
      <c r="E12" s="92"/>
      <c r="F12" s="92"/>
      <c r="G12" s="92"/>
      <c r="H12" s="92"/>
      <c r="I12" s="92"/>
      <c r="J12" s="92"/>
      <c r="K12" s="92"/>
      <c r="L12" s="92"/>
      <c r="M12" s="92"/>
      <c r="N12" s="92"/>
      <c r="O12" s="92"/>
      <c r="P12" s="92"/>
      <c r="R12" s="81"/>
      <c r="S12" s="81"/>
      <c r="T12" s="81"/>
      <c r="U12" s="81"/>
      <c r="V12" s="81"/>
      <c r="W12" s="81"/>
      <c r="X12" s="81"/>
      <c r="Y12" s="81"/>
      <c r="Z12" s="81"/>
      <c r="AA12" s="81"/>
      <c r="AB12" s="81"/>
      <c r="AC12" s="81"/>
      <c r="AD12" s="81"/>
      <c r="AE12" s="81"/>
    </row>
  </sheetData>
  <phoneticPr fontId="11" type="noConversion"/>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F17"/>
  <sheetViews>
    <sheetView zoomScale="130" zoomScaleNormal="130" workbookViewId="0"/>
  </sheetViews>
  <sheetFormatPr defaultColWidth="9.140625" defaultRowHeight="12.75" customHeight="1" x14ac:dyDescent="0.2"/>
  <cols>
    <col min="1" max="1" width="5.140625" customWidth="1"/>
    <col min="2" max="2" width="16.28515625" customWidth="1"/>
    <col min="3" max="9" width="9.140625" style="254"/>
  </cols>
  <sheetData>
    <row r="1" spans="1:32" ht="12.75" customHeight="1" x14ac:dyDescent="0.2">
      <c r="A1" s="2" t="s">
        <v>154</v>
      </c>
    </row>
    <row r="2" spans="1:32" ht="12.75" customHeight="1" x14ac:dyDescent="0.2">
      <c r="B2" s="70"/>
      <c r="C2" s="158"/>
      <c r="D2" s="158"/>
      <c r="E2" s="158"/>
      <c r="F2" s="158"/>
      <c r="G2" s="158"/>
      <c r="H2" s="158"/>
      <c r="I2" s="158"/>
    </row>
    <row r="3" spans="1:32" ht="12.75" customHeight="1" x14ac:dyDescent="0.2">
      <c r="B3" t="s">
        <v>1399</v>
      </c>
    </row>
    <row r="4" spans="1:32" ht="12.75" customHeight="1" x14ac:dyDescent="0.2">
      <c r="B4" t="s">
        <v>1087</v>
      </c>
    </row>
    <row r="6" spans="1:32" ht="12.75" customHeight="1" x14ac:dyDescent="0.2">
      <c r="C6"/>
      <c r="J6" s="254"/>
    </row>
    <row r="7" spans="1:32" ht="12.75" customHeight="1" x14ac:dyDescent="0.2">
      <c r="C7"/>
      <c r="J7" s="254"/>
    </row>
    <row r="8" spans="1:32" ht="12.75" customHeight="1" x14ac:dyDescent="0.2">
      <c r="C8">
        <v>1995</v>
      </c>
      <c r="D8">
        <f t="shared" ref="D8:Q8" si="0">C8+1</f>
        <v>1996</v>
      </c>
      <c r="E8">
        <f t="shared" si="0"/>
        <v>1997</v>
      </c>
      <c r="F8">
        <f t="shared" si="0"/>
        <v>1998</v>
      </c>
      <c r="G8">
        <f t="shared" si="0"/>
        <v>1999</v>
      </c>
      <c r="H8">
        <f t="shared" si="0"/>
        <v>2000</v>
      </c>
      <c r="I8">
        <f t="shared" si="0"/>
        <v>2001</v>
      </c>
      <c r="J8">
        <f t="shared" si="0"/>
        <v>2002</v>
      </c>
      <c r="K8">
        <f t="shared" si="0"/>
        <v>2003</v>
      </c>
      <c r="L8">
        <f t="shared" si="0"/>
        <v>2004</v>
      </c>
      <c r="M8">
        <f t="shared" si="0"/>
        <v>2005</v>
      </c>
      <c r="N8">
        <f t="shared" si="0"/>
        <v>2006</v>
      </c>
      <c r="O8">
        <f t="shared" si="0"/>
        <v>2007</v>
      </c>
      <c r="P8">
        <f t="shared" si="0"/>
        <v>2008</v>
      </c>
      <c r="Q8">
        <f t="shared" si="0"/>
        <v>2009</v>
      </c>
    </row>
    <row r="9" spans="1:32" ht="12.75" customHeight="1" x14ac:dyDescent="0.2">
      <c r="B9" s="80" t="s">
        <v>1097</v>
      </c>
      <c r="C9" s="79">
        <f>C11+C10</f>
        <v>618</v>
      </c>
      <c r="D9" s="79">
        <f>D11+D10</f>
        <v>723</v>
      </c>
      <c r="E9" s="79">
        <f>E11+E10</f>
        <v>723</v>
      </c>
      <c r="F9" s="79">
        <f>F11+F10</f>
        <v>723</v>
      </c>
      <c r="G9" s="79"/>
      <c r="H9" s="79"/>
      <c r="I9" s="79"/>
      <c r="J9" s="79"/>
      <c r="K9" s="79"/>
      <c r="L9" s="79"/>
      <c r="M9" s="79"/>
      <c r="N9" s="79"/>
      <c r="O9" s="79"/>
      <c r="P9" s="79"/>
      <c r="Q9" s="79"/>
      <c r="S9" s="81"/>
      <c r="T9" s="81"/>
      <c r="U9" s="81"/>
      <c r="V9" s="81"/>
      <c r="W9" s="81"/>
      <c r="X9" s="81"/>
      <c r="Y9" s="81"/>
      <c r="Z9" s="81"/>
      <c r="AA9" s="81"/>
      <c r="AB9" s="81"/>
      <c r="AC9" s="81"/>
      <c r="AD9" s="81"/>
      <c r="AE9" s="81"/>
      <c r="AF9" s="81"/>
    </row>
    <row r="10" spans="1:32" ht="12.75" customHeight="1" x14ac:dyDescent="0.2">
      <c r="B10" s="77" t="s">
        <v>77</v>
      </c>
      <c r="C10" s="79">
        <v>346</v>
      </c>
      <c r="D10" s="79">
        <v>388</v>
      </c>
      <c r="E10" s="92">
        <f>D10*(1+T10)</f>
        <v>388</v>
      </c>
      <c r="F10" s="92">
        <f>E10*(1+U10)</f>
        <v>388</v>
      </c>
      <c r="G10" s="92"/>
      <c r="H10" s="92"/>
      <c r="I10" s="92"/>
      <c r="J10" s="92"/>
      <c r="K10" s="92"/>
      <c r="L10" s="92"/>
      <c r="M10" s="92"/>
      <c r="N10" s="92"/>
      <c r="O10" s="92"/>
      <c r="P10" s="92"/>
      <c r="Q10" s="92"/>
      <c r="S10" s="81"/>
      <c r="T10" s="81"/>
      <c r="U10" s="81"/>
      <c r="V10" s="81"/>
      <c r="W10" s="81"/>
      <c r="X10" s="81"/>
      <c r="Y10" s="81"/>
      <c r="Z10" s="81"/>
      <c r="AA10" s="81"/>
      <c r="AB10" s="81"/>
      <c r="AC10" s="81"/>
      <c r="AD10" s="81"/>
      <c r="AE10" s="81"/>
      <c r="AF10" s="81"/>
    </row>
    <row r="11" spans="1:32" ht="12.75" customHeight="1" x14ac:dyDescent="0.2">
      <c r="B11" s="77" t="s">
        <v>78</v>
      </c>
      <c r="C11" s="79">
        <v>272</v>
      </c>
      <c r="D11" s="79">
        <v>335</v>
      </c>
      <c r="E11" s="92">
        <f>D11*(1+T11)</f>
        <v>335</v>
      </c>
      <c r="F11" s="92">
        <f>E11*(1+U11)</f>
        <v>335</v>
      </c>
      <c r="G11" s="92"/>
      <c r="H11" s="92"/>
      <c r="I11" s="92"/>
      <c r="J11" s="92"/>
      <c r="K11" s="92"/>
      <c r="L11" s="92"/>
      <c r="M11" s="92"/>
      <c r="N11" s="92"/>
      <c r="O11" s="92"/>
      <c r="P11" s="92"/>
      <c r="Q11" s="92"/>
      <c r="S11" s="81"/>
      <c r="T11" s="81"/>
      <c r="U11" s="81"/>
      <c r="V11" s="81"/>
      <c r="W11" s="81"/>
      <c r="X11" s="81"/>
      <c r="Y11" s="81"/>
      <c r="Z11" s="81"/>
      <c r="AA11" s="81"/>
      <c r="AB11" s="81"/>
      <c r="AC11" s="81"/>
      <c r="AD11" s="81"/>
      <c r="AE11" s="81"/>
      <c r="AF11" s="81"/>
    </row>
    <row r="12" spans="1:32" ht="12.75" customHeight="1" x14ac:dyDescent="0.2">
      <c r="C12"/>
      <c r="J12" s="254"/>
    </row>
    <row r="13" spans="1:32" ht="12.75" customHeight="1" x14ac:dyDescent="0.2">
      <c r="C13"/>
      <c r="J13" s="254"/>
    </row>
    <row r="14" spans="1:32" ht="12.75" customHeight="1" x14ac:dyDescent="0.2">
      <c r="C14"/>
      <c r="J14" s="254"/>
    </row>
    <row r="15" spans="1:32" ht="12.75" customHeight="1" x14ac:dyDescent="0.2">
      <c r="C15"/>
      <c r="J15" s="254"/>
    </row>
    <row r="16" spans="1:32" ht="12.75" customHeight="1" x14ac:dyDescent="0.2">
      <c r="C16"/>
      <c r="J16" s="254"/>
    </row>
    <row r="17" spans="3:10" ht="12.75" customHeight="1" x14ac:dyDescent="0.2">
      <c r="C17"/>
      <c r="J17" s="254"/>
    </row>
  </sheetData>
  <phoneticPr fontId="11" type="noConversion"/>
  <hyperlinks>
    <hyperlink ref="A1" location="Main!A1" display="Main" xr:uid="{00000000-0004-0000-2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E76"/>
  <sheetViews>
    <sheetView zoomScale="190" zoomScaleNormal="190" workbookViewId="0"/>
  </sheetViews>
  <sheetFormatPr defaultColWidth="9.140625" defaultRowHeight="12.75" x14ac:dyDescent="0.2"/>
  <cols>
    <col min="1" max="1" width="5" style="93" customWidth="1"/>
    <col min="2" max="2" width="27.28515625" style="93" customWidth="1"/>
    <col min="3" max="16384" width="9.140625" style="93"/>
  </cols>
  <sheetData>
    <row r="1" spans="1:3" x14ac:dyDescent="0.2">
      <c r="A1" s="5" t="s">
        <v>154</v>
      </c>
    </row>
    <row r="2" spans="1:3" x14ac:dyDescent="0.2">
      <c r="A2" s="5"/>
      <c r="B2" s="30" t="s">
        <v>2018</v>
      </c>
    </row>
    <row r="3" spans="1:3" x14ac:dyDescent="0.2">
      <c r="A3" s="5"/>
      <c r="B3" s="93" t="s">
        <v>2019</v>
      </c>
    </row>
    <row r="4" spans="1:3" x14ac:dyDescent="0.2">
      <c r="A4" s="5"/>
      <c r="B4" s="93" t="s">
        <v>2020</v>
      </c>
    </row>
    <row r="5" spans="1:3" x14ac:dyDescent="0.2">
      <c r="A5" s="5"/>
    </row>
    <row r="6" spans="1:3" x14ac:dyDescent="0.2">
      <c r="A6" s="5"/>
      <c r="B6" s="30" t="s">
        <v>1314</v>
      </c>
    </row>
    <row r="7" spans="1:3" x14ac:dyDescent="0.2">
      <c r="A7" s="5"/>
      <c r="B7" s="93" t="s">
        <v>1315</v>
      </c>
    </row>
    <row r="8" spans="1:3" x14ac:dyDescent="0.2">
      <c r="A8" s="5"/>
      <c r="C8" s="93" t="s">
        <v>1991</v>
      </c>
    </row>
    <row r="9" spans="1:3" x14ac:dyDescent="0.2">
      <c r="A9" s="5"/>
      <c r="B9" s="93" t="s">
        <v>1867</v>
      </c>
    </row>
    <row r="10" spans="1:3" x14ac:dyDescent="0.2">
      <c r="A10" s="5"/>
      <c r="B10" s="93" t="s">
        <v>1992</v>
      </c>
    </row>
    <row r="11" spans="1:3" x14ac:dyDescent="0.2">
      <c r="A11" s="5"/>
    </row>
    <row r="12" spans="1:3" x14ac:dyDescent="0.2">
      <c r="A12" s="5"/>
      <c r="B12" s="93" t="s">
        <v>1316</v>
      </c>
    </row>
    <row r="13" spans="1:3" x14ac:dyDescent="0.2">
      <c r="A13" s="5"/>
      <c r="B13" s="93" t="s">
        <v>1311</v>
      </c>
    </row>
    <row r="14" spans="1:3" x14ac:dyDescent="0.2">
      <c r="A14" s="5"/>
      <c r="B14" s="93" t="s">
        <v>1312</v>
      </c>
    </row>
    <row r="15" spans="1:3" x14ac:dyDescent="0.2">
      <c r="A15" s="5"/>
      <c r="B15" s="93" t="s">
        <v>1313</v>
      </c>
    </row>
    <row r="16" spans="1:3" x14ac:dyDescent="0.2">
      <c r="A16" s="5"/>
      <c r="B16" s="93" t="s">
        <v>1392</v>
      </c>
    </row>
    <row r="17" spans="1:12" x14ac:dyDescent="0.2">
      <c r="A17" s="5"/>
    </row>
    <row r="18" spans="1:12" s="39" customFormat="1" x14ac:dyDescent="0.2">
      <c r="C18" s="249">
        <v>2002</v>
      </c>
      <c r="D18" s="249">
        <v>2003</v>
      </c>
      <c r="E18" s="249">
        <v>2004</v>
      </c>
      <c r="F18" s="249">
        <v>2005</v>
      </c>
      <c r="G18" s="249">
        <v>2006</v>
      </c>
      <c r="H18" s="249">
        <v>2007</v>
      </c>
      <c r="I18" s="249">
        <v>2008</v>
      </c>
      <c r="J18" s="249">
        <v>2009</v>
      </c>
      <c r="K18" s="249">
        <v>2010</v>
      </c>
      <c r="L18" s="249"/>
    </row>
    <row r="19" spans="1:12" s="96" customFormat="1" x14ac:dyDescent="0.2">
      <c r="B19" s="96" t="s">
        <v>1099</v>
      </c>
      <c r="C19" s="250"/>
      <c r="D19" s="250"/>
      <c r="E19" s="250"/>
      <c r="F19" s="250"/>
      <c r="G19" s="250"/>
      <c r="H19" s="250"/>
      <c r="I19" s="250"/>
      <c r="J19" s="177"/>
      <c r="K19" s="177"/>
      <c r="L19" s="177"/>
    </row>
    <row r="20" spans="1:12" s="96" customFormat="1" x14ac:dyDescent="0.2">
      <c r="B20" s="96" t="s">
        <v>1100</v>
      </c>
      <c r="C20" s="250">
        <f>'MD&amp;D'!AC6</f>
        <v>344.5</v>
      </c>
      <c r="D20" s="250">
        <f>'MD&amp;D'!AD6</f>
        <v>524</v>
      </c>
      <c r="E20" s="250">
        <f>'MD&amp;D'!AE6</f>
        <v>654.20000000000005</v>
      </c>
      <c r="F20" s="250"/>
      <c r="G20" s="250"/>
      <c r="H20" s="250"/>
      <c r="I20" s="250"/>
      <c r="J20" s="177"/>
      <c r="K20" s="177"/>
      <c r="L20" s="177"/>
    </row>
    <row r="21" spans="1:12" s="96" customFormat="1" x14ac:dyDescent="0.2">
      <c r="B21" s="96" t="s">
        <v>1101</v>
      </c>
      <c r="C21" s="250">
        <f>'MD&amp;D'!AC9</f>
        <v>155</v>
      </c>
      <c r="D21" s="250">
        <f>'MD&amp;D'!AD9</f>
        <v>0</v>
      </c>
      <c r="E21" s="250">
        <f>'MD&amp;D'!AE9</f>
        <v>0</v>
      </c>
      <c r="F21" s="250"/>
      <c r="G21" s="250"/>
      <c r="H21" s="250"/>
      <c r="I21" s="250"/>
      <c r="J21" s="177"/>
      <c r="K21" s="177"/>
      <c r="L21" s="177"/>
    </row>
    <row r="22" spans="1:12" s="96" customFormat="1" x14ac:dyDescent="0.2">
      <c r="B22" s="96" t="s">
        <v>1102</v>
      </c>
      <c r="C22" s="250"/>
      <c r="D22" s="250"/>
      <c r="E22" s="250"/>
      <c r="F22" s="250">
        <v>2602</v>
      </c>
      <c r="G22" s="250">
        <v>2905</v>
      </c>
      <c r="H22" s="250">
        <v>2599</v>
      </c>
      <c r="I22" s="250">
        <v>1864</v>
      </c>
      <c r="J22" s="250">
        <v>1420</v>
      </c>
      <c r="K22" s="250">
        <v>1283</v>
      </c>
      <c r="L22" s="177"/>
    </row>
    <row r="23" spans="1:12" s="96" customFormat="1" x14ac:dyDescent="0.2">
      <c r="B23" s="96" t="s">
        <v>1103</v>
      </c>
      <c r="C23" s="250">
        <f>'MD&amp;D'!AC7</f>
        <v>738.8</v>
      </c>
      <c r="D23" s="250">
        <f>'MD&amp;D'!AD7</f>
        <v>1120</v>
      </c>
      <c r="E23" s="250">
        <f>'MD&amp;D'!AE7</f>
        <v>1301.3000000000002</v>
      </c>
      <c r="F23" s="250"/>
      <c r="G23" s="250"/>
      <c r="H23" s="250"/>
      <c r="I23" s="250"/>
      <c r="J23" s="177"/>
      <c r="K23" s="177"/>
      <c r="L23" s="177"/>
    </row>
    <row r="24" spans="1:12" s="96" customFormat="1" x14ac:dyDescent="0.2">
      <c r="B24" s="96" t="s">
        <v>1104</v>
      </c>
      <c r="C24" s="250"/>
      <c r="D24" s="250"/>
      <c r="E24" s="250"/>
      <c r="F24" s="250"/>
      <c r="G24" s="250"/>
      <c r="H24" s="250"/>
      <c r="I24" s="250"/>
      <c r="J24" s="250">
        <v>2700</v>
      </c>
      <c r="K24" s="250"/>
      <c r="L24" s="177"/>
    </row>
    <row r="25" spans="1:12" s="96" customFormat="1" x14ac:dyDescent="0.2">
      <c r="C25" s="250"/>
      <c r="D25" s="250"/>
      <c r="E25" s="250"/>
      <c r="F25" s="250"/>
      <c r="G25" s="250"/>
      <c r="H25" s="250"/>
      <c r="I25" s="250"/>
      <c r="J25" s="177"/>
      <c r="K25" s="177"/>
      <c r="L25" s="177"/>
    </row>
    <row r="26" spans="1:12" s="96" customFormat="1" x14ac:dyDescent="0.2">
      <c r="B26" s="96" t="s">
        <v>1105</v>
      </c>
      <c r="C26" s="250"/>
      <c r="D26" s="250"/>
      <c r="E26" s="250"/>
      <c r="F26" s="250"/>
      <c r="G26" s="250" t="s">
        <v>1106</v>
      </c>
      <c r="H26" s="250"/>
      <c r="I26" s="250"/>
      <c r="J26" s="177"/>
      <c r="K26" s="177"/>
      <c r="L26" s="177"/>
    </row>
    <row r="27" spans="1:12" s="96" customFormat="1" x14ac:dyDescent="0.2">
      <c r="B27" s="96" t="s">
        <v>1107</v>
      </c>
      <c r="C27" s="250"/>
      <c r="D27" s="250"/>
      <c r="E27" s="250"/>
      <c r="F27" s="250"/>
      <c r="G27" s="251" t="s">
        <v>1108</v>
      </c>
      <c r="H27" s="251"/>
      <c r="I27" s="251"/>
      <c r="J27" s="177"/>
      <c r="K27" s="177"/>
      <c r="L27" s="177"/>
    </row>
    <row r="28" spans="1:12" s="96" customFormat="1" x14ac:dyDescent="0.2">
      <c r="B28" s="96" t="s">
        <v>1109</v>
      </c>
      <c r="C28" s="250"/>
      <c r="D28" s="250"/>
      <c r="E28" s="250"/>
      <c r="F28" s="250">
        <v>2351</v>
      </c>
      <c r="G28" s="250">
        <v>2245</v>
      </c>
      <c r="H28" s="250">
        <v>2151</v>
      </c>
      <c r="I28" s="250">
        <v>1875</v>
      </c>
      <c r="J28" s="250">
        <v>1719</v>
      </c>
      <c r="K28" s="250">
        <v>1619</v>
      </c>
      <c r="L28" s="177"/>
    </row>
    <row r="29" spans="1:12" x14ac:dyDescent="0.2">
      <c r="C29" s="252"/>
      <c r="D29" s="252"/>
      <c r="E29" s="252"/>
      <c r="F29" s="252"/>
      <c r="G29" s="252"/>
      <c r="H29" s="252"/>
      <c r="I29" s="252"/>
      <c r="J29" s="252"/>
      <c r="K29" s="252"/>
      <c r="L29" s="252"/>
    </row>
    <row r="30" spans="1:12" x14ac:dyDescent="0.2">
      <c r="B30" s="93" t="s">
        <v>1110</v>
      </c>
    </row>
    <row r="31" spans="1:12" x14ac:dyDescent="0.2">
      <c r="B31" s="93" t="s">
        <v>0</v>
      </c>
    </row>
    <row r="32" spans="1:12" x14ac:dyDescent="0.2">
      <c r="B32" s="93" t="s">
        <v>1</v>
      </c>
    </row>
    <row r="33" spans="2:3" x14ac:dyDescent="0.2">
      <c r="B33" s="93" t="s">
        <v>2</v>
      </c>
    </row>
    <row r="35" spans="2:3" x14ac:dyDescent="0.2">
      <c r="B35" s="93" t="s">
        <v>3</v>
      </c>
    </row>
    <row r="36" spans="2:3" x14ac:dyDescent="0.2">
      <c r="B36" s="93" t="s">
        <v>4</v>
      </c>
    </row>
    <row r="38" spans="2:3" x14ac:dyDescent="0.2">
      <c r="B38" s="93" t="s">
        <v>5</v>
      </c>
    </row>
    <row r="39" spans="2:3" x14ac:dyDescent="0.2">
      <c r="C39" s="93" t="s">
        <v>6</v>
      </c>
    </row>
    <row r="40" spans="2:3" x14ac:dyDescent="0.2">
      <c r="C40" s="93" t="s">
        <v>7</v>
      </c>
    </row>
    <row r="41" spans="2:3" x14ac:dyDescent="0.2">
      <c r="C41" s="93" t="s">
        <v>8</v>
      </c>
    </row>
    <row r="43" spans="2:3" x14ac:dyDescent="0.2">
      <c r="B43" s="93" t="s">
        <v>9</v>
      </c>
    </row>
    <row r="44" spans="2:3" x14ac:dyDescent="0.2">
      <c r="B44" s="93" t="s">
        <v>32</v>
      </c>
    </row>
    <row r="46" spans="2:3" x14ac:dyDescent="0.2">
      <c r="B46" s="93" t="s">
        <v>33</v>
      </c>
    </row>
    <row r="47" spans="2:3" x14ac:dyDescent="0.2">
      <c r="B47" s="93" t="s">
        <v>34</v>
      </c>
    </row>
    <row r="48" spans="2:3" x14ac:dyDescent="0.2">
      <c r="B48" s="93" t="s">
        <v>35</v>
      </c>
    </row>
    <row r="50" spans="1:31" x14ac:dyDescent="0.2">
      <c r="B50" s="9" t="s">
        <v>36</v>
      </c>
    </row>
    <row r="51" spans="1:31" x14ac:dyDescent="0.2">
      <c r="B51" s="93" t="s">
        <v>37</v>
      </c>
    </row>
    <row r="52" spans="1:31" x14ac:dyDescent="0.2">
      <c r="B52" s="93" t="s">
        <v>38</v>
      </c>
    </row>
    <row r="53" spans="1:31" x14ac:dyDescent="0.2">
      <c r="B53" s="93" t="s">
        <v>39</v>
      </c>
    </row>
    <row r="54" spans="1:31" x14ac:dyDescent="0.2">
      <c r="B54" s="13" t="s">
        <v>883</v>
      </c>
    </row>
    <row r="56" spans="1:31" x14ac:dyDescent="0.2">
      <c r="B56" s="30" t="s">
        <v>884</v>
      </c>
    </row>
    <row r="60" spans="1:31" s="110" customFormat="1" x14ac:dyDescent="0.2">
      <c r="B60" s="110">
        <v>1995</v>
      </c>
      <c r="C60" s="110">
        <f t="shared" ref="C60:P60" si="0">B60+1</f>
        <v>1996</v>
      </c>
      <c r="D60" s="110">
        <f t="shared" si="0"/>
        <v>1997</v>
      </c>
      <c r="E60" s="110">
        <f t="shared" si="0"/>
        <v>1998</v>
      </c>
      <c r="F60" s="110">
        <f t="shared" si="0"/>
        <v>1999</v>
      </c>
      <c r="G60" s="110">
        <f t="shared" si="0"/>
        <v>2000</v>
      </c>
      <c r="H60" s="110">
        <f t="shared" si="0"/>
        <v>2001</v>
      </c>
      <c r="I60" s="110">
        <f t="shared" si="0"/>
        <v>2002</v>
      </c>
      <c r="J60" s="110">
        <f t="shared" si="0"/>
        <v>2003</v>
      </c>
      <c r="K60" s="110">
        <f t="shared" si="0"/>
        <v>2004</v>
      </c>
      <c r="L60" s="110">
        <f t="shared" si="0"/>
        <v>2005</v>
      </c>
      <c r="M60" s="110">
        <f t="shared" si="0"/>
        <v>2006</v>
      </c>
      <c r="N60" s="110">
        <f t="shared" si="0"/>
        <v>2007</v>
      </c>
      <c r="O60" s="110">
        <f t="shared" si="0"/>
        <v>2008</v>
      </c>
      <c r="P60" s="110">
        <f t="shared" si="0"/>
        <v>2009</v>
      </c>
    </row>
    <row r="61" spans="1:31" s="110" customFormat="1" x14ac:dyDescent="0.2">
      <c r="A61" s="1" t="s">
        <v>227</v>
      </c>
      <c r="B61" s="198"/>
      <c r="C61" s="198"/>
      <c r="D61" s="334"/>
      <c r="E61" s="198"/>
      <c r="F61" s="198"/>
      <c r="G61" s="198"/>
      <c r="H61" s="198"/>
      <c r="I61" s="198"/>
      <c r="J61" s="221"/>
      <c r="K61" s="221"/>
      <c r="L61" s="221"/>
      <c r="M61" s="221"/>
      <c r="N61" s="221"/>
      <c r="O61" s="221"/>
      <c r="P61" s="221"/>
      <c r="Q61" s="198"/>
      <c r="R61" s="197"/>
      <c r="S61" s="197"/>
      <c r="T61" s="197"/>
      <c r="U61" s="197"/>
      <c r="V61" s="197"/>
      <c r="W61" s="197"/>
      <c r="X61" s="197"/>
      <c r="Y61" s="197"/>
      <c r="Z61" s="197"/>
      <c r="AA61" s="197"/>
      <c r="AB61" s="197"/>
      <c r="AC61" s="197"/>
      <c r="AD61" s="197"/>
      <c r="AE61" s="197"/>
    </row>
    <row r="62" spans="1:31" s="110" customFormat="1" x14ac:dyDescent="0.2">
      <c r="A62" s="110" t="s">
        <v>95</v>
      </c>
      <c r="B62" s="198">
        <f t="shared" ref="B62:P62" si="1">B63+B64</f>
        <v>450</v>
      </c>
      <c r="C62" s="198">
        <f t="shared" si="1"/>
        <v>700</v>
      </c>
      <c r="D62" s="198">
        <f t="shared" si="1"/>
        <v>600</v>
      </c>
      <c r="E62" s="198">
        <f t="shared" si="1"/>
        <v>207</v>
      </c>
      <c r="F62" s="198">
        <f t="shared" si="1"/>
        <v>201</v>
      </c>
      <c r="G62" s="198">
        <f t="shared" si="1"/>
        <v>240</v>
      </c>
      <c r="H62" s="198">
        <f t="shared" si="1"/>
        <v>444</v>
      </c>
      <c r="I62" s="198">
        <f t="shared" si="1"/>
        <v>610</v>
      </c>
      <c r="J62" s="198" t="e">
        <f t="shared" si="1"/>
        <v>#REF!</v>
      </c>
      <c r="K62" s="198" t="e">
        <f t="shared" si="1"/>
        <v>#REF!</v>
      </c>
      <c r="L62" s="198" t="e">
        <f t="shared" si="1"/>
        <v>#REF!</v>
      </c>
      <c r="M62" s="198" t="e">
        <f t="shared" si="1"/>
        <v>#REF!</v>
      </c>
      <c r="N62" s="198">
        <f t="shared" si="1"/>
        <v>2680.8536864943462</v>
      </c>
      <c r="O62" s="198">
        <f t="shared" si="1"/>
        <v>1750.9916706694423</v>
      </c>
      <c r="P62" s="198">
        <f t="shared" si="1"/>
        <v>1618</v>
      </c>
      <c r="R62" s="197">
        <f t="shared" ref="R62:AE67" si="2">(C62-B62)/B62</f>
        <v>0.55555555555555558</v>
      </c>
      <c r="S62" s="197">
        <f t="shared" si="2"/>
        <v>-0.14285714285714285</v>
      </c>
      <c r="T62" s="197">
        <f t="shared" si="2"/>
        <v>-0.65500000000000003</v>
      </c>
      <c r="U62" s="197">
        <f t="shared" si="2"/>
        <v>-2.8985507246376812E-2</v>
      </c>
      <c r="V62" s="197">
        <f t="shared" si="2"/>
        <v>0.19402985074626866</v>
      </c>
      <c r="W62" s="197">
        <f t="shared" si="2"/>
        <v>0.85</v>
      </c>
      <c r="X62" s="197">
        <f t="shared" si="2"/>
        <v>0.37387387387387389</v>
      </c>
      <c r="Y62" s="197" t="e">
        <f t="shared" si="2"/>
        <v>#REF!</v>
      </c>
      <c r="Z62" s="197" t="e">
        <f t="shared" si="2"/>
        <v>#REF!</v>
      </c>
      <c r="AA62" s="197" t="e">
        <f t="shared" si="2"/>
        <v>#REF!</v>
      </c>
      <c r="AB62" s="197" t="e">
        <f t="shared" si="2"/>
        <v>#REF!</v>
      </c>
      <c r="AC62" s="197" t="e">
        <f t="shared" si="2"/>
        <v>#REF!</v>
      </c>
      <c r="AD62" s="197">
        <f t="shared" si="2"/>
        <v>-0.34685295229254015</v>
      </c>
      <c r="AE62" s="197">
        <f t="shared" si="2"/>
        <v>-7.5952200628456853E-2</v>
      </c>
    </row>
    <row r="63" spans="1:31" s="110" customFormat="1" x14ac:dyDescent="0.2">
      <c r="A63" s="110" t="s">
        <v>77</v>
      </c>
      <c r="B63" s="198">
        <v>255</v>
      </c>
      <c r="C63" s="198">
        <v>510</v>
      </c>
      <c r="D63" s="198">
        <v>460</v>
      </c>
      <c r="E63" s="198">
        <v>102</v>
      </c>
      <c r="F63" s="198">
        <v>79</v>
      </c>
      <c r="G63" s="198">
        <v>140</v>
      </c>
      <c r="H63" s="198">
        <v>314</v>
      </c>
      <c r="I63" s="198">
        <v>370</v>
      </c>
      <c r="J63" s="198" t="e">
        <f>#REF!</f>
        <v>#REF!</v>
      </c>
      <c r="K63" s="198" t="e">
        <f>+#REF!</f>
        <v>#REF!</v>
      </c>
      <c r="L63" s="198" t="e">
        <f>+#REF!</f>
        <v>#REF!</v>
      </c>
      <c r="M63" s="198">
        <v>1494.3634471151063</v>
      </c>
      <c r="N63" s="198">
        <v>1705.8536864943464</v>
      </c>
      <c r="O63" s="198">
        <v>930.99167066944233</v>
      </c>
      <c r="P63" s="198">
        <v>818</v>
      </c>
      <c r="R63" s="197">
        <f t="shared" si="2"/>
        <v>1</v>
      </c>
      <c r="S63" s="197">
        <f t="shared" si="2"/>
        <v>-9.8039215686274508E-2</v>
      </c>
      <c r="T63" s="197">
        <f t="shared" si="2"/>
        <v>-0.77826086956521734</v>
      </c>
      <c r="U63" s="197">
        <f t="shared" si="2"/>
        <v>-0.22549019607843138</v>
      </c>
      <c r="V63" s="197">
        <f t="shared" si="2"/>
        <v>0.77215189873417722</v>
      </c>
      <c r="W63" s="197">
        <f t="shared" si="2"/>
        <v>1.2428571428571429</v>
      </c>
      <c r="X63" s="197">
        <f t="shared" si="2"/>
        <v>0.17834394904458598</v>
      </c>
      <c r="Y63" s="197" t="e">
        <f t="shared" si="2"/>
        <v>#REF!</v>
      </c>
      <c r="Z63" s="197" t="e">
        <f t="shared" si="2"/>
        <v>#REF!</v>
      </c>
      <c r="AA63" s="197" t="e">
        <f t="shared" si="2"/>
        <v>#REF!</v>
      </c>
      <c r="AB63" s="197" t="e">
        <f t="shared" si="2"/>
        <v>#REF!</v>
      </c>
      <c r="AC63" s="197">
        <f t="shared" si="2"/>
        <v>0.14152530282209835</v>
      </c>
      <c r="AD63" s="197">
        <f t="shared" si="2"/>
        <v>-0.45423709076556384</v>
      </c>
      <c r="AE63" s="197">
        <f t="shared" si="2"/>
        <v>-0.12136700491444152</v>
      </c>
    </row>
    <row r="64" spans="1:31" s="110" customFormat="1" x14ac:dyDescent="0.2">
      <c r="A64" s="110" t="s">
        <v>78</v>
      </c>
      <c r="B64" s="198">
        <v>195</v>
      </c>
      <c r="C64" s="198">
        <v>190</v>
      </c>
      <c r="D64" s="198">
        <v>140</v>
      </c>
      <c r="E64" s="198">
        <v>105</v>
      </c>
      <c r="F64" s="198">
        <f>201-F63</f>
        <v>122</v>
      </c>
      <c r="G64" s="198">
        <v>100</v>
      </c>
      <c r="H64" s="198">
        <v>130</v>
      </c>
      <c r="I64" s="198">
        <v>240</v>
      </c>
      <c r="J64" s="198">
        <v>370</v>
      </c>
      <c r="K64" s="198">
        <v>694</v>
      </c>
      <c r="L64" s="198" t="e">
        <f>+#REF!</f>
        <v>#REF!</v>
      </c>
      <c r="M64" s="198" t="e">
        <f>+L64+95-75</f>
        <v>#REF!</v>
      </c>
      <c r="N64" s="198">
        <v>975</v>
      </c>
      <c r="O64" s="198">
        <v>820</v>
      </c>
      <c r="P64" s="198">
        <v>800</v>
      </c>
      <c r="R64" s="197">
        <f t="shared" si="2"/>
        <v>-2.564102564102564E-2</v>
      </c>
      <c r="S64" s="197">
        <f t="shared" si="2"/>
        <v>-0.26315789473684209</v>
      </c>
      <c r="T64" s="197">
        <f t="shared" si="2"/>
        <v>-0.25</v>
      </c>
      <c r="U64" s="197">
        <f t="shared" si="2"/>
        <v>0.16190476190476191</v>
      </c>
      <c r="V64" s="197">
        <f t="shared" si="2"/>
        <v>-0.18032786885245902</v>
      </c>
      <c r="W64" s="197">
        <f t="shared" si="2"/>
        <v>0.3</v>
      </c>
      <c r="X64" s="197">
        <f t="shared" si="2"/>
        <v>0.84615384615384615</v>
      </c>
      <c r="Y64" s="197">
        <f t="shared" si="2"/>
        <v>0.54166666666666663</v>
      </c>
      <c r="Z64" s="197">
        <f t="shared" si="2"/>
        <v>0.87567567567567572</v>
      </c>
      <c r="AA64" s="197" t="e">
        <f t="shared" si="2"/>
        <v>#REF!</v>
      </c>
      <c r="AB64" s="197" t="e">
        <f t="shared" si="2"/>
        <v>#REF!</v>
      </c>
      <c r="AC64" s="197" t="e">
        <f t="shared" si="2"/>
        <v>#REF!</v>
      </c>
      <c r="AD64" s="197">
        <f t="shared" si="2"/>
        <v>-0.15897435897435896</v>
      </c>
      <c r="AE64" s="197">
        <f t="shared" si="2"/>
        <v>-2.4390243902439025E-2</v>
      </c>
    </row>
    <row r="65" spans="1:31" s="110" customFormat="1" x14ac:dyDescent="0.2">
      <c r="A65" s="110" t="s">
        <v>96</v>
      </c>
      <c r="B65" s="198">
        <f t="shared" ref="B65:P65" si="3">B66+B67</f>
        <v>85</v>
      </c>
      <c r="C65" s="198">
        <f t="shared" si="3"/>
        <v>110</v>
      </c>
      <c r="D65" s="198">
        <f t="shared" si="3"/>
        <v>131</v>
      </c>
      <c r="E65" s="198">
        <f t="shared" si="3"/>
        <v>139</v>
      </c>
      <c r="F65" s="198">
        <f t="shared" si="3"/>
        <v>180</v>
      </c>
      <c r="G65" s="198">
        <f t="shared" si="3"/>
        <v>232</v>
      </c>
      <c r="H65" s="198">
        <f t="shared" si="3"/>
        <v>300</v>
      </c>
      <c r="I65" s="198">
        <f t="shared" si="3"/>
        <v>383</v>
      </c>
      <c r="J65" s="198">
        <f t="shared" si="3"/>
        <v>465</v>
      </c>
      <c r="K65" s="198">
        <f t="shared" si="3"/>
        <v>548</v>
      </c>
      <c r="L65" s="198">
        <f t="shared" si="3"/>
        <v>632</v>
      </c>
      <c r="M65" s="198">
        <f t="shared" si="3"/>
        <v>790</v>
      </c>
      <c r="N65" s="198">
        <f t="shared" si="3"/>
        <v>915</v>
      </c>
      <c r="O65" s="198">
        <f t="shared" si="3"/>
        <v>1055</v>
      </c>
      <c r="P65" s="198">
        <f t="shared" si="3"/>
        <v>1175</v>
      </c>
      <c r="R65" s="197">
        <f t="shared" si="2"/>
        <v>0.29411764705882354</v>
      </c>
      <c r="S65" s="197">
        <f t="shared" si="2"/>
        <v>0.19090909090909092</v>
      </c>
      <c r="T65" s="197">
        <f t="shared" si="2"/>
        <v>6.1068702290076333E-2</v>
      </c>
      <c r="U65" s="197">
        <f t="shared" si="2"/>
        <v>0.29496402877697842</v>
      </c>
      <c r="V65" s="197">
        <f t="shared" si="2"/>
        <v>0.28888888888888886</v>
      </c>
      <c r="W65" s="197">
        <f t="shared" si="2"/>
        <v>0.29310344827586204</v>
      </c>
      <c r="X65" s="197">
        <f t="shared" si="2"/>
        <v>0.27666666666666667</v>
      </c>
      <c r="Y65" s="197">
        <f t="shared" si="2"/>
        <v>0.21409921671018275</v>
      </c>
      <c r="Z65" s="197">
        <f t="shared" si="2"/>
        <v>0.17849462365591398</v>
      </c>
      <c r="AA65" s="197">
        <f t="shared" si="2"/>
        <v>0.15328467153284672</v>
      </c>
      <c r="AB65" s="197">
        <f t="shared" si="2"/>
        <v>0.25</v>
      </c>
      <c r="AC65" s="197">
        <f t="shared" si="2"/>
        <v>0.15822784810126583</v>
      </c>
      <c r="AD65" s="197">
        <f t="shared" si="2"/>
        <v>0.15300546448087432</v>
      </c>
      <c r="AE65" s="197">
        <f t="shared" si="2"/>
        <v>0.11374407582938388</v>
      </c>
    </row>
    <row r="66" spans="1:31" s="110" customFormat="1" x14ac:dyDescent="0.2">
      <c r="A66" s="110" t="s">
        <v>77</v>
      </c>
      <c r="B66" s="198">
        <v>50</v>
      </c>
      <c r="C66" s="198">
        <v>70</v>
      </c>
      <c r="D66" s="198">
        <v>86</v>
      </c>
      <c r="E66" s="198">
        <v>89</v>
      </c>
      <c r="F66" s="198">
        <v>100</v>
      </c>
      <c r="G66" s="198">
        <v>132</v>
      </c>
      <c r="H66" s="198">
        <v>175</v>
      </c>
      <c r="I66" s="198">
        <v>223</v>
      </c>
      <c r="J66" s="198">
        <v>265</v>
      </c>
      <c r="K66" s="198">
        <v>310</v>
      </c>
      <c r="L66" s="198">
        <v>357</v>
      </c>
      <c r="M66" s="198">
        <v>470</v>
      </c>
      <c r="N66" s="198">
        <v>545</v>
      </c>
      <c r="O66" s="198">
        <v>625</v>
      </c>
      <c r="P66" s="198">
        <v>675</v>
      </c>
      <c r="R66" s="197">
        <f t="shared" si="2"/>
        <v>0.4</v>
      </c>
      <c r="S66" s="197">
        <f t="shared" si="2"/>
        <v>0.22857142857142856</v>
      </c>
      <c r="T66" s="197">
        <f t="shared" si="2"/>
        <v>3.4883720930232558E-2</v>
      </c>
      <c r="U66" s="197">
        <f t="shared" si="2"/>
        <v>0.12359550561797752</v>
      </c>
      <c r="V66" s="197">
        <f t="shared" si="2"/>
        <v>0.32</v>
      </c>
      <c r="W66" s="197">
        <f t="shared" si="2"/>
        <v>0.32575757575757575</v>
      </c>
      <c r="X66" s="197">
        <f t="shared" si="2"/>
        <v>0.2742857142857143</v>
      </c>
      <c r="Y66" s="197">
        <f t="shared" si="2"/>
        <v>0.18834080717488788</v>
      </c>
      <c r="Z66" s="197">
        <f t="shared" si="2"/>
        <v>0.16981132075471697</v>
      </c>
      <c r="AA66" s="197">
        <f t="shared" si="2"/>
        <v>0.15161290322580645</v>
      </c>
      <c r="AB66" s="197">
        <f t="shared" si="2"/>
        <v>0.31652661064425769</v>
      </c>
      <c r="AC66" s="197">
        <f t="shared" si="2"/>
        <v>0.15957446808510639</v>
      </c>
      <c r="AD66" s="197">
        <f t="shared" si="2"/>
        <v>0.14678899082568808</v>
      </c>
      <c r="AE66" s="197">
        <f t="shared" si="2"/>
        <v>0.08</v>
      </c>
    </row>
    <row r="67" spans="1:31" s="110" customFormat="1" x14ac:dyDescent="0.2">
      <c r="A67" s="110" t="s">
        <v>78</v>
      </c>
      <c r="B67" s="198">
        <v>35</v>
      </c>
      <c r="C67" s="198">
        <v>40</v>
      </c>
      <c r="D67" s="198">
        <v>45</v>
      </c>
      <c r="E67" s="198">
        <v>50</v>
      </c>
      <c r="F67" s="198">
        <v>80</v>
      </c>
      <c r="G67" s="198">
        <v>100</v>
      </c>
      <c r="H67" s="198">
        <v>125</v>
      </c>
      <c r="I67" s="198">
        <v>160</v>
      </c>
      <c r="J67" s="198">
        <v>200</v>
      </c>
      <c r="K67" s="198">
        <v>238</v>
      </c>
      <c r="L67" s="198">
        <v>275</v>
      </c>
      <c r="M67" s="198">
        <v>320</v>
      </c>
      <c r="N67" s="198">
        <v>370</v>
      </c>
      <c r="O67" s="198">
        <v>430</v>
      </c>
      <c r="P67" s="198">
        <v>500</v>
      </c>
      <c r="R67" s="197">
        <f t="shared" si="2"/>
        <v>0.14285714285714285</v>
      </c>
      <c r="S67" s="197">
        <f t="shared" si="2"/>
        <v>0.125</v>
      </c>
      <c r="T67" s="197">
        <f t="shared" si="2"/>
        <v>0.1111111111111111</v>
      </c>
      <c r="U67" s="197">
        <f t="shared" si="2"/>
        <v>0.6</v>
      </c>
      <c r="V67" s="197">
        <f t="shared" si="2"/>
        <v>0.25</v>
      </c>
      <c r="W67" s="197">
        <f t="shared" si="2"/>
        <v>0.25</v>
      </c>
      <c r="X67" s="197">
        <f t="shared" si="2"/>
        <v>0.28000000000000003</v>
      </c>
      <c r="Y67" s="197">
        <f t="shared" si="2"/>
        <v>0.25</v>
      </c>
      <c r="Z67" s="197">
        <f t="shared" si="2"/>
        <v>0.19</v>
      </c>
      <c r="AA67" s="197">
        <f t="shared" si="2"/>
        <v>0.15546218487394958</v>
      </c>
      <c r="AB67" s="197">
        <f t="shared" si="2"/>
        <v>0.16363636363636364</v>
      </c>
      <c r="AC67" s="197">
        <f t="shared" si="2"/>
        <v>0.15625</v>
      </c>
      <c r="AD67" s="197">
        <f t="shared" si="2"/>
        <v>0.16216216216216217</v>
      </c>
      <c r="AE67" s="197">
        <f t="shared" si="2"/>
        <v>0.16279069767441862</v>
      </c>
    </row>
    <row r="68" spans="1:31" s="110" customFormat="1" x14ac:dyDescent="0.2">
      <c r="A68" s="110" t="s">
        <v>97</v>
      </c>
      <c r="B68" s="198">
        <f t="shared" ref="B68:P68" si="4">B69+B70</f>
        <v>0</v>
      </c>
      <c r="C68" s="198">
        <f t="shared" si="4"/>
        <v>562</v>
      </c>
      <c r="D68" s="198">
        <f t="shared" si="4"/>
        <v>609</v>
      </c>
      <c r="E68" s="198">
        <f t="shared" si="4"/>
        <v>553</v>
      </c>
      <c r="F68" s="198">
        <f t="shared" si="4"/>
        <v>533</v>
      </c>
      <c r="G68" s="198">
        <f t="shared" si="4"/>
        <v>549</v>
      </c>
      <c r="H68" s="198">
        <f t="shared" si="4"/>
        <v>536</v>
      </c>
      <c r="I68" s="198">
        <f t="shared" si="4"/>
        <v>559</v>
      </c>
      <c r="J68" s="198">
        <f t="shared" si="4"/>
        <v>580</v>
      </c>
      <c r="K68" s="198">
        <f t="shared" si="4"/>
        <v>601</v>
      </c>
      <c r="L68" s="198">
        <f t="shared" si="4"/>
        <v>635</v>
      </c>
      <c r="M68" s="198">
        <f t="shared" si="4"/>
        <v>692</v>
      </c>
      <c r="N68" s="198">
        <f t="shared" si="4"/>
        <v>737.24</v>
      </c>
      <c r="O68" s="198">
        <f t="shared" si="4"/>
        <v>774.97440000000006</v>
      </c>
      <c r="P68" s="198">
        <f t="shared" si="4"/>
        <v>814.37286400000005</v>
      </c>
      <c r="Q68" s="198"/>
      <c r="R68" s="197"/>
      <c r="S68" s="197">
        <f t="shared" ref="S68:AE69" si="5">(D68-C68)/C68</f>
        <v>8.3629893238434158E-2</v>
      </c>
      <c r="T68" s="197">
        <f t="shared" si="5"/>
        <v>-9.1954022988505746E-2</v>
      </c>
      <c r="U68" s="197">
        <f t="shared" si="5"/>
        <v>-3.6166365280289332E-2</v>
      </c>
      <c r="V68" s="197">
        <f t="shared" si="5"/>
        <v>3.0018761726078799E-2</v>
      </c>
      <c r="W68" s="197">
        <f t="shared" si="5"/>
        <v>-2.3679417122040074E-2</v>
      </c>
      <c r="X68" s="197">
        <f t="shared" si="5"/>
        <v>4.2910447761194029E-2</v>
      </c>
      <c r="Y68" s="197">
        <f t="shared" si="5"/>
        <v>3.7567084078711989E-2</v>
      </c>
      <c r="Z68" s="197">
        <f t="shared" si="5"/>
        <v>3.6206896551724141E-2</v>
      </c>
      <c r="AA68" s="197">
        <f t="shared" si="5"/>
        <v>5.6572379367720464E-2</v>
      </c>
      <c r="AB68" s="197">
        <f t="shared" si="5"/>
        <v>8.9763779527559054E-2</v>
      </c>
      <c r="AC68" s="197">
        <f t="shared" si="5"/>
        <v>6.537572254335261E-2</v>
      </c>
      <c r="AD68" s="197">
        <f t="shared" si="5"/>
        <v>5.1183332429059807E-2</v>
      </c>
      <c r="AE68" s="197">
        <f t="shared" si="5"/>
        <v>5.0838407049316706E-2</v>
      </c>
    </row>
    <row r="69" spans="1:31" s="110" customFormat="1" x14ac:dyDescent="0.2">
      <c r="A69" s="110" t="s">
        <v>77</v>
      </c>
      <c r="B69" s="198"/>
      <c r="C69" s="198">
        <v>272</v>
      </c>
      <c r="D69" s="198">
        <v>286</v>
      </c>
      <c r="E69" s="198">
        <v>250</v>
      </c>
      <c r="F69" s="198">
        <v>227</v>
      </c>
      <c r="G69" s="198">
        <v>248</v>
      </c>
      <c r="H69" s="198">
        <v>243</v>
      </c>
      <c r="I69" s="198">
        <v>259</v>
      </c>
      <c r="J69" s="198">
        <v>249</v>
      </c>
      <c r="K69" s="198">
        <v>244</v>
      </c>
      <c r="L69" s="198">
        <v>235</v>
      </c>
      <c r="M69" s="198">
        <v>260</v>
      </c>
      <c r="N69" s="198">
        <v>275</v>
      </c>
      <c r="O69" s="198">
        <v>285</v>
      </c>
      <c r="P69" s="198">
        <v>295</v>
      </c>
      <c r="R69" s="197"/>
      <c r="S69" s="197">
        <f t="shared" si="5"/>
        <v>5.1470588235294115E-2</v>
      </c>
      <c r="T69" s="197">
        <f t="shared" si="5"/>
        <v>-0.12587412587412589</v>
      </c>
      <c r="U69" s="197">
        <f t="shared" si="5"/>
        <v>-9.1999999999999998E-2</v>
      </c>
      <c r="V69" s="197">
        <f t="shared" si="5"/>
        <v>9.2511013215859028E-2</v>
      </c>
      <c r="W69" s="197">
        <f t="shared" si="5"/>
        <v>-2.0161290322580645E-2</v>
      </c>
      <c r="X69" s="197">
        <f t="shared" si="5"/>
        <v>6.584362139917696E-2</v>
      </c>
      <c r="Y69" s="197">
        <f t="shared" si="5"/>
        <v>-3.8610038610038609E-2</v>
      </c>
      <c r="Z69" s="197">
        <f t="shared" si="5"/>
        <v>-2.0080321285140562E-2</v>
      </c>
      <c r="AA69" s="197">
        <f t="shared" si="5"/>
        <v>-3.6885245901639344E-2</v>
      </c>
      <c r="AB69" s="197">
        <f t="shared" si="5"/>
        <v>0.10638297872340426</v>
      </c>
      <c r="AC69" s="197">
        <f t="shared" si="5"/>
        <v>5.7692307692307696E-2</v>
      </c>
      <c r="AD69" s="197">
        <f t="shared" si="5"/>
        <v>3.6363636363636362E-2</v>
      </c>
      <c r="AE69" s="197">
        <f t="shared" si="5"/>
        <v>3.5087719298245612E-2</v>
      </c>
    </row>
    <row r="70" spans="1:31" s="110" customFormat="1" x14ac:dyDescent="0.2">
      <c r="A70" s="110" t="s">
        <v>78</v>
      </c>
      <c r="B70" s="198"/>
      <c r="C70" s="198">
        <v>290</v>
      </c>
      <c r="D70" s="198">
        <v>323</v>
      </c>
      <c r="E70" s="198">
        <v>303</v>
      </c>
      <c r="F70" s="198">
        <v>306</v>
      </c>
      <c r="G70" s="198">
        <v>301</v>
      </c>
      <c r="H70" s="198">
        <v>293</v>
      </c>
      <c r="I70" s="198">
        <v>300</v>
      </c>
      <c r="J70" s="198">
        <v>331</v>
      </c>
      <c r="K70" s="198">
        <v>357</v>
      </c>
      <c r="L70" s="198">
        <v>400</v>
      </c>
      <c r="M70" s="198">
        <f>L70*(1+AB70)</f>
        <v>432</v>
      </c>
      <c r="N70" s="198">
        <f>M70*(1+AC70)</f>
        <v>462.24</v>
      </c>
      <c r="O70" s="198">
        <f>N70*(1+AD70)</f>
        <v>489.97440000000006</v>
      </c>
      <c r="P70" s="198">
        <f>O70*(1+AE70)</f>
        <v>519.37286400000005</v>
      </c>
      <c r="R70" s="197"/>
      <c r="S70" s="197">
        <f t="shared" ref="S70:AA70" si="6">(D70-C70)/C70</f>
        <v>0.11379310344827587</v>
      </c>
      <c r="T70" s="197">
        <f t="shared" si="6"/>
        <v>-6.1919504643962849E-2</v>
      </c>
      <c r="U70" s="197">
        <f t="shared" si="6"/>
        <v>9.9009900990099011E-3</v>
      </c>
      <c r="V70" s="197">
        <f t="shared" si="6"/>
        <v>-1.6339869281045753E-2</v>
      </c>
      <c r="W70" s="197">
        <f t="shared" si="6"/>
        <v>-2.6578073089700997E-2</v>
      </c>
      <c r="X70" s="197">
        <f t="shared" si="6"/>
        <v>2.3890784982935155E-2</v>
      </c>
      <c r="Y70" s="197">
        <f t="shared" si="6"/>
        <v>0.10333333333333333</v>
      </c>
      <c r="Z70" s="197">
        <f t="shared" si="6"/>
        <v>7.8549848942598186E-2</v>
      </c>
      <c r="AA70" s="197">
        <f t="shared" si="6"/>
        <v>0.12044817927170869</v>
      </c>
      <c r="AB70" s="197">
        <v>0.08</v>
      </c>
      <c r="AC70" s="197">
        <v>7.0000000000000007E-2</v>
      </c>
      <c r="AD70" s="197">
        <v>0.06</v>
      </c>
      <c r="AE70" s="197">
        <v>0.06</v>
      </c>
    </row>
    <row r="71" spans="1:31" s="110" customFormat="1" x14ac:dyDescent="0.2">
      <c r="A71" s="110" t="s">
        <v>98</v>
      </c>
      <c r="B71" s="198"/>
      <c r="C71" s="198"/>
      <c r="D71" s="198"/>
      <c r="E71" s="198">
        <f t="shared" ref="E71:P71" si="7">E73+E72</f>
        <v>7.6</v>
      </c>
      <c r="F71" s="198">
        <f t="shared" si="7"/>
        <v>21.3</v>
      </c>
      <c r="G71" s="198">
        <f t="shared" si="7"/>
        <v>34.5</v>
      </c>
      <c r="H71" s="198">
        <f t="shared" si="7"/>
        <v>63.9</v>
      </c>
      <c r="I71" s="198">
        <f t="shared" si="7"/>
        <v>88.668000000000006</v>
      </c>
      <c r="J71" s="198">
        <f t="shared" si="7"/>
        <v>115.9866</v>
      </c>
      <c r="K71" s="198">
        <f t="shared" si="7"/>
        <v>139.18392</v>
      </c>
      <c r="L71" s="198">
        <f t="shared" si="7"/>
        <v>162.93700799999999</v>
      </c>
      <c r="M71" s="198">
        <f t="shared" si="7"/>
        <v>187.37755919999998</v>
      </c>
      <c r="N71" s="198">
        <f t="shared" si="7"/>
        <v>215.48419307999995</v>
      </c>
      <c r="O71" s="198">
        <f t="shared" si="7"/>
        <v>247.80682204199994</v>
      </c>
      <c r="P71" s="198">
        <f t="shared" si="7"/>
        <v>284.97784534829987</v>
      </c>
      <c r="R71" s="197"/>
      <c r="S71" s="197"/>
      <c r="T71" s="197"/>
      <c r="U71" s="197">
        <f t="shared" ref="U71:AE71" si="8">(F71-E71)/E71</f>
        <v>1.8026315789473686</v>
      </c>
      <c r="V71" s="197">
        <f t="shared" si="8"/>
        <v>0.61971830985915488</v>
      </c>
      <c r="W71" s="197">
        <f t="shared" si="8"/>
        <v>0.85217391304347823</v>
      </c>
      <c r="X71" s="197">
        <f t="shared" si="8"/>
        <v>0.38760563380281704</v>
      </c>
      <c r="Y71" s="197">
        <f t="shared" si="8"/>
        <v>0.30809987819732021</v>
      </c>
      <c r="Z71" s="197">
        <f t="shared" si="8"/>
        <v>0.20000000000000004</v>
      </c>
      <c r="AA71" s="197">
        <f t="shared" si="8"/>
        <v>0.1706597141393919</v>
      </c>
      <c r="AB71" s="197">
        <f t="shared" si="8"/>
        <v>0.14999999999999994</v>
      </c>
      <c r="AC71" s="197">
        <f t="shared" si="8"/>
        <v>0.14999999999999988</v>
      </c>
      <c r="AD71" s="197">
        <f t="shared" si="8"/>
        <v>0.14999999999999994</v>
      </c>
      <c r="AE71" s="197">
        <f t="shared" si="8"/>
        <v>0.14999999999999974</v>
      </c>
    </row>
    <row r="72" spans="1:31" s="110" customFormat="1" x14ac:dyDescent="0.2">
      <c r="A72" s="110" t="s">
        <v>77</v>
      </c>
      <c r="B72" s="198"/>
      <c r="C72" s="198"/>
      <c r="D72" s="198"/>
      <c r="E72" s="198">
        <v>2.6</v>
      </c>
      <c r="F72" s="198">
        <v>11</v>
      </c>
      <c r="G72" s="198">
        <v>20.5</v>
      </c>
      <c r="H72" s="198">
        <v>41.4</v>
      </c>
      <c r="I72" s="198">
        <f t="shared" ref="I72:P73" si="9">H72*(1+X72)</f>
        <v>56.718000000000004</v>
      </c>
      <c r="J72" s="198">
        <f t="shared" si="9"/>
        <v>68.061599999999999</v>
      </c>
      <c r="K72" s="198">
        <f t="shared" si="9"/>
        <v>81.673919999999995</v>
      </c>
      <c r="L72" s="198">
        <f t="shared" si="9"/>
        <v>93.925007999999991</v>
      </c>
      <c r="M72" s="198">
        <f t="shared" si="9"/>
        <v>108.01375919999998</v>
      </c>
      <c r="N72" s="198">
        <f t="shared" si="9"/>
        <v>124.21582307999996</v>
      </c>
      <c r="O72" s="198">
        <f t="shared" si="9"/>
        <v>142.84819654199995</v>
      </c>
      <c r="P72" s="198">
        <f t="shared" si="9"/>
        <v>164.27542602329993</v>
      </c>
      <c r="R72" s="197"/>
      <c r="S72" s="197"/>
      <c r="T72" s="197"/>
      <c r="U72" s="197">
        <f t="shared" ref="U72:W76" si="10">(F72-E72)/E72</f>
        <v>3.2307692307692308</v>
      </c>
      <c r="V72" s="197">
        <f t="shared" si="10"/>
        <v>0.86363636363636365</v>
      </c>
      <c r="W72" s="197">
        <f t="shared" si="10"/>
        <v>1.0195121951219512</v>
      </c>
      <c r="X72" s="197">
        <v>0.37</v>
      </c>
      <c r="Y72" s="197">
        <v>0.2</v>
      </c>
      <c r="Z72" s="197">
        <v>0.2</v>
      </c>
      <c r="AA72" s="197">
        <v>0.15</v>
      </c>
      <c r="AB72" s="197">
        <v>0.15</v>
      </c>
      <c r="AC72" s="197">
        <v>0.15</v>
      </c>
      <c r="AD72" s="197">
        <v>0.15</v>
      </c>
      <c r="AE72" s="197">
        <v>0.15</v>
      </c>
    </row>
    <row r="73" spans="1:31" s="110" customFormat="1" x14ac:dyDescent="0.2">
      <c r="A73" s="110" t="s">
        <v>78</v>
      </c>
      <c r="B73" s="198"/>
      <c r="C73" s="198"/>
      <c r="D73" s="198"/>
      <c r="E73" s="198">
        <v>5</v>
      </c>
      <c r="F73" s="198">
        <v>10.3</v>
      </c>
      <c r="G73" s="198">
        <v>14</v>
      </c>
      <c r="H73" s="198">
        <v>22.5</v>
      </c>
      <c r="I73" s="198">
        <f t="shared" si="9"/>
        <v>31.95</v>
      </c>
      <c r="J73" s="198">
        <f t="shared" si="9"/>
        <v>47.924999999999997</v>
      </c>
      <c r="K73" s="198">
        <f t="shared" si="9"/>
        <v>57.51</v>
      </c>
      <c r="L73" s="198">
        <f t="shared" si="9"/>
        <v>69.012</v>
      </c>
      <c r="M73" s="198">
        <f t="shared" si="9"/>
        <v>79.363799999999998</v>
      </c>
      <c r="N73" s="198">
        <f t="shared" si="9"/>
        <v>91.26836999999999</v>
      </c>
      <c r="O73" s="198">
        <f t="shared" si="9"/>
        <v>104.95862549999998</v>
      </c>
      <c r="P73" s="198">
        <f t="shared" si="9"/>
        <v>120.70241932499997</v>
      </c>
      <c r="R73" s="197"/>
      <c r="S73" s="197"/>
      <c r="T73" s="197"/>
      <c r="U73" s="197">
        <f t="shared" si="10"/>
        <v>1.06</v>
      </c>
      <c r="V73" s="197">
        <f t="shared" si="10"/>
        <v>0.35922330097087368</v>
      </c>
      <c r="W73" s="197">
        <f t="shared" si="10"/>
        <v>0.6071428571428571</v>
      </c>
      <c r="X73" s="197">
        <v>0.42</v>
      </c>
      <c r="Y73" s="197">
        <v>0.5</v>
      </c>
      <c r="Z73" s="197">
        <v>0.2</v>
      </c>
      <c r="AA73" s="197">
        <v>0.2</v>
      </c>
      <c r="AB73" s="197">
        <v>0.15</v>
      </c>
      <c r="AC73" s="197">
        <v>0.15</v>
      </c>
      <c r="AD73" s="197">
        <v>0.15</v>
      </c>
      <c r="AE73" s="197">
        <v>0.15</v>
      </c>
    </row>
    <row r="74" spans="1:31" s="110" customFormat="1" x14ac:dyDescent="0.2">
      <c r="A74" s="248" t="s">
        <v>1094</v>
      </c>
      <c r="B74" s="198">
        <f t="shared" ref="B74:P74" si="11">B75+B76</f>
        <v>535</v>
      </c>
      <c r="C74" s="198">
        <f t="shared" si="11"/>
        <v>1372</v>
      </c>
      <c r="D74" s="198">
        <f t="shared" si="11"/>
        <v>1340</v>
      </c>
      <c r="E74" s="198">
        <f t="shared" si="11"/>
        <v>906.6</v>
      </c>
      <c r="F74" s="198">
        <f t="shared" si="11"/>
        <v>935.3</v>
      </c>
      <c r="G74" s="198">
        <f t="shared" si="11"/>
        <v>1055.5</v>
      </c>
      <c r="H74" s="198">
        <f t="shared" si="11"/>
        <v>1343.9</v>
      </c>
      <c r="I74" s="198">
        <f t="shared" si="11"/>
        <v>1640.6680000000001</v>
      </c>
      <c r="J74" s="198" t="e">
        <f t="shared" si="11"/>
        <v>#REF!</v>
      </c>
      <c r="K74" s="198" t="e">
        <f t="shared" si="11"/>
        <v>#REF!</v>
      </c>
      <c r="L74" s="198" t="e">
        <f t="shared" si="11"/>
        <v>#REF!</v>
      </c>
      <c r="M74" s="198" t="e">
        <f t="shared" si="11"/>
        <v>#REF!</v>
      </c>
      <c r="N74" s="198">
        <f t="shared" si="11"/>
        <v>4548.5778795743463</v>
      </c>
      <c r="O74" s="198">
        <f t="shared" si="11"/>
        <v>3828.7728927114422</v>
      </c>
      <c r="P74" s="198">
        <f t="shared" si="11"/>
        <v>3892.3507093482999</v>
      </c>
      <c r="R74" s="197">
        <f t="shared" ref="R74:T76" si="12">(C74-B74)/B74</f>
        <v>1.5644859813084113</v>
      </c>
      <c r="S74" s="197">
        <f t="shared" si="12"/>
        <v>-2.3323615160349854E-2</v>
      </c>
      <c r="T74" s="197">
        <f t="shared" si="12"/>
        <v>-0.32343283582089549</v>
      </c>
      <c r="U74" s="197">
        <f t="shared" si="10"/>
        <v>3.1656739466137139E-2</v>
      </c>
      <c r="V74" s="197">
        <f t="shared" si="10"/>
        <v>0.12851491500053464</v>
      </c>
      <c r="W74" s="197">
        <f t="shared" si="10"/>
        <v>0.27323543344386553</v>
      </c>
      <c r="X74" s="197">
        <f t="shared" ref="X74:AE76" si="13">(I74-H74)/H74</f>
        <v>0.2208259543120768</v>
      </c>
      <c r="Y74" s="197" t="e">
        <f t="shared" si="13"/>
        <v>#REF!</v>
      </c>
      <c r="Z74" s="197" t="e">
        <f t="shared" si="13"/>
        <v>#REF!</v>
      </c>
      <c r="AA74" s="197" t="e">
        <f t="shared" si="13"/>
        <v>#REF!</v>
      </c>
      <c r="AB74" s="197" t="e">
        <f t="shared" si="13"/>
        <v>#REF!</v>
      </c>
      <c r="AC74" s="197" t="e">
        <f t="shared" si="13"/>
        <v>#REF!</v>
      </c>
      <c r="AD74" s="197">
        <f t="shared" si="13"/>
        <v>-0.15824835935979689</v>
      </c>
      <c r="AE74" s="197">
        <f t="shared" si="13"/>
        <v>1.6605272346627353E-2</v>
      </c>
    </row>
    <row r="75" spans="1:31" s="110" customFormat="1" x14ac:dyDescent="0.2">
      <c r="A75" s="110" t="s">
        <v>77</v>
      </c>
      <c r="B75" s="198">
        <f t="shared" ref="B75:P75" si="14">B63+B66+B69+B72</f>
        <v>305</v>
      </c>
      <c r="C75" s="198">
        <f t="shared" si="14"/>
        <v>852</v>
      </c>
      <c r="D75" s="198">
        <f t="shared" si="14"/>
        <v>832</v>
      </c>
      <c r="E75" s="198">
        <f t="shared" si="14"/>
        <v>443.6</v>
      </c>
      <c r="F75" s="198">
        <f t="shared" si="14"/>
        <v>417</v>
      </c>
      <c r="G75" s="198">
        <f t="shared" si="14"/>
        <v>540.5</v>
      </c>
      <c r="H75" s="198">
        <f t="shared" si="14"/>
        <v>773.4</v>
      </c>
      <c r="I75" s="198">
        <f t="shared" si="14"/>
        <v>908.71799999999996</v>
      </c>
      <c r="J75" s="198" t="e">
        <f t="shared" si="14"/>
        <v>#REF!</v>
      </c>
      <c r="K75" s="198" t="e">
        <f t="shared" si="14"/>
        <v>#REF!</v>
      </c>
      <c r="L75" s="198" t="e">
        <f t="shared" si="14"/>
        <v>#REF!</v>
      </c>
      <c r="M75" s="198">
        <f t="shared" si="14"/>
        <v>2332.3772063151064</v>
      </c>
      <c r="N75" s="198">
        <f t="shared" si="14"/>
        <v>2650.0695095743463</v>
      </c>
      <c r="O75" s="198">
        <f t="shared" si="14"/>
        <v>1983.8398672114422</v>
      </c>
      <c r="P75" s="198">
        <f t="shared" si="14"/>
        <v>1952.2754260233</v>
      </c>
      <c r="R75" s="197">
        <f t="shared" si="12"/>
        <v>1.7934426229508196</v>
      </c>
      <c r="S75" s="197">
        <f t="shared" si="12"/>
        <v>-2.3474178403755867E-2</v>
      </c>
      <c r="T75" s="197">
        <f t="shared" si="12"/>
        <v>-0.46682692307692303</v>
      </c>
      <c r="U75" s="197">
        <f t="shared" si="10"/>
        <v>-5.9963931469792654E-2</v>
      </c>
      <c r="V75" s="197">
        <f t="shared" si="10"/>
        <v>0.2961630695443645</v>
      </c>
      <c r="W75" s="197">
        <f t="shared" si="10"/>
        <v>0.43089731729879738</v>
      </c>
      <c r="X75" s="197">
        <f t="shared" si="13"/>
        <v>0.17496508921644685</v>
      </c>
      <c r="Y75" s="197" t="e">
        <f t="shared" si="13"/>
        <v>#REF!</v>
      </c>
      <c r="Z75" s="197" t="e">
        <f t="shared" si="13"/>
        <v>#REF!</v>
      </c>
      <c r="AA75" s="197" t="e">
        <f t="shared" si="13"/>
        <v>#REF!</v>
      </c>
      <c r="AB75" s="197" t="e">
        <f t="shared" si="13"/>
        <v>#REF!</v>
      </c>
      <c r="AC75" s="197">
        <f t="shared" si="13"/>
        <v>0.13620965871174759</v>
      </c>
      <c r="AD75" s="197">
        <f t="shared" si="13"/>
        <v>-0.25140081796190838</v>
      </c>
      <c r="AE75" s="197">
        <f t="shared" si="13"/>
        <v>-1.5910780758988521E-2</v>
      </c>
    </row>
    <row r="76" spans="1:31" s="110" customFormat="1" x14ac:dyDescent="0.2">
      <c r="A76" s="110" t="s">
        <v>78</v>
      </c>
      <c r="B76" s="198">
        <f t="shared" ref="B76:P76" si="15">B64+B67+B70+B73</f>
        <v>230</v>
      </c>
      <c r="C76" s="198">
        <f t="shared" si="15"/>
        <v>520</v>
      </c>
      <c r="D76" s="198">
        <f t="shared" si="15"/>
        <v>508</v>
      </c>
      <c r="E76" s="198">
        <f t="shared" si="15"/>
        <v>463</v>
      </c>
      <c r="F76" s="198">
        <f t="shared" si="15"/>
        <v>518.29999999999995</v>
      </c>
      <c r="G76" s="198">
        <f t="shared" si="15"/>
        <v>515</v>
      </c>
      <c r="H76" s="198">
        <f t="shared" si="15"/>
        <v>570.5</v>
      </c>
      <c r="I76" s="198">
        <f t="shared" si="15"/>
        <v>731.95</v>
      </c>
      <c r="J76" s="198">
        <f t="shared" si="15"/>
        <v>948.92499999999995</v>
      </c>
      <c r="K76" s="198">
        <f t="shared" si="15"/>
        <v>1346.51</v>
      </c>
      <c r="L76" s="198" t="e">
        <f t="shared" si="15"/>
        <v>#REF!</v>
      </c>
      <c r="M76" s="198" t="e">
        <f t="shared" si="15"/>
        <v>#REF!</v>
      </c>
      <c r="N76" s="198">
        <f t="shared" si="15"/>
        <v>1898.50837</v>
      </c>
      <c r="O76" s="198">
        <f t="shared" si="15"/>
        <v>1844.9330255</v>
      </c>
      <c r="P76" s="198">
        <f t="shared" si="15"/>
        <v>1940.0752833249999</v>
      </c>
      <c r="Q76" s="198"/>
      <c r="R76" s="197">
        <f t="shared" si="12"/>
        <v>1.2608695652173914</v>
      </c>
      <c r="S76" s="197">
        <f t="shared" si="12"/>
        <v>-2.3076923076923078E-2</v>
      </c>
      <c r="T76" s="197">
        <f t="shared" si="12"/>
        <v>-8.8582677165354326E-2</v>
      </c>
      <c r="U76" s="197">
        <f t="shared" si="10"/>
        <v>0.11943844492440595</v>
      </c>
      <c r="V76" s="197">
        <f t="shared" si="10"/>
        <v>-6.3669689369090388E-3</v>
      </c>
      <c r="W76" s="197">
        <f t="shared" si="10"/>
        <v>0.10776699029126213</v>
      </c>
      <c r="X76" s="197">
        <f t="shared" si="13"/>
        <v>0.28299737072743214</v>
      </c>
      <c r="Y76" s="197">
        <f t="shared" si="13"/>
        <v>0.29643418266275007</v>
      </c>
      <c r="Z76" s="197">
        <f t="shared" si="13"/>
        <v>0.4189846405142662</v>
      </c>
      <c r="AA76" s="197" t="e">
        <f t="shared" si="13"/>
        <v>#REF!</v>
      </c>
      <c r="AB76" s="197" t="e">
        <f t="shared" si="13"/>
        <v>#REF!</v>
      </c>
      <c r="AC76" s="197" t="e">
        <f t="shared" si="13"/>
        <v>#REF!</v>
      </c>
      <c r="AD76" s="197">
        <f t="shared" si="13"/>
        <v>-2.8219704135410278E-2</v>
      </c>
      <c r="AE76" s="197">
        <f t="shared" si="13"/>
        <v>5.1569491417833527E-2</v>
      </c>
    </row>
  </sheetData>
  <phoneticPr fontId="11" type="noConversion"/>
  <hyperlinks>
    <hyperlink ref="A1" location="Main!A1" display="Main" xr:uid="{00000000-0004-0000-2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F32"/>
  <sheetViews>
    <sheetView zoomScale="130" zoomScaleNormal="130" workbookViewId="0"/>
  </sheetViews>
  <sheetFormatPr defaultColWidth="9.140625" defaultRowHeight="12.75" x14ac:dyDescent="0.2"/>
  <cols>
    <col min="1" max="1" width="5" style="93" customWidth="1"/>
    <col min="2" max="2" width="25.85546875" style="93" customWidth="1"/>
    <col min="3" max="17" width="7" style="93" customWidth="1"/>
    <col min="18" max="16384" width="9.140625" style="93"/>
  </cols>
  <sheetData>
    <row r="1" spans="1:32" x14ac:dyDescent="0.2">
      <c r="A1" s="5" t="s">
        <v>154</v>
      </c>
    </row>
    <row r="2" spans="1:32" x14ac:dyDescent="0.2">
      <c r="A2" s="5"/>
      <c r="B2" s="93" t="s">
        <v>129</v>
      </c>
    </row>
    <row r="3" spans="1:32" x14ac:dyDescent="0.2">
      <c r="B3" s="93" t="s">
        <v>1398</v>
      </c>
    </row>
    <row r="4" spans="1:32" x14ac:dyDescent="0.2">
      <c r="B4" s="93" t="s">
        <v>130</v>
      </c>
    </row>
    <row r="5" spans="1:32" x14ac:dyDescent="0.2">
      <c r="B5" s="93" t="s">
        <v>132</v>
      </c>
    </row>
    <row r="6" spans="1:32" x14ac:dyDescent="0.2">
      <c r="B6" s="93" t="s">
        <v>131</v>
      </c>
    </row>
    <row r="7" spans="1:32" x14ac:dyDescent="0.2">
      <c r="B7" s="4" t="s">
        <v>1492</v>
      </c>
    </row>
    <row r="10" spans="1:32" x14ac:dyDescent="0.2">
      <c r="B10" s="93" t="s">
        <v>48</v>
      </c>
    </row>
    <row r="11" spans="1:32" s="110" customFormat="1" x14ac:dyDescent="0.2">
      <c r="C11" s="110">
        <v>1995</v>
      </c>
      <c r="D11" s="110">
        <v>1996</v>
      </c>
      <c r="E11" s="110">
        <f t="shared" ref="E11:Q11" si="0">D11+1</f>
        <v>1997</v>
      </c>
      <c r="F11" s="110">
        <f t="shared" si="0"/>
        <v>1998</v>
      </c>
      <c r="G11" s="110">
        <f t="shared" si="0"/>
        <v>1999</v>
      </c>
      <c r="H11" s="110">
        <f t="shared" si="0"/>
        <v>2000</v>
      </c>
      <c r="I11" s="110">
        <f t="shared" si="0"/>
        <v>2001</v>
      </c>
      <c r="J11" s="110">
        <f t="shared" si="0"/>
        <v>2002</v>
      </c>
      <c r="K11" s="110">
        <f t="shared" si="0"/>
        <v>2003</v>
      </c>
      <c r="L11" s="110">
        <f t="shared" si="0"/>
        <v>2004</v>
      </c>
      <c r="M11" s="110">
        <f t="shared" si="0"/>
        <v>2005</v>
      </c>
      <c r="N11" s="110">
        <f t="shared" si="0"/>
        <v>2006</v>
      </c>
      <c r="O11" s="110">
        <f t="shared" si="0"/>
        <v>2007</v>
      </c>
      <c r="P11" s="110">
        <f t="shared" si="0"/>
        <v>2008</v>
      </c>
      <c r="Q11" s="110">
        <f t="shared" si="0"/>
        <v>2009</v>
      </c>
    </row>
    <row r="12" spans="1:32" s="110" customFormat="1" ht="10.35" customHeight="1" x14ac:dyDescent="0.2">
      <c r="B12" s="1" t="s">
        <v>83</v>
      </c>
      <c r="C12" s="199"/>
      <c r="D12" s="199"/>
      <c r="E12" s="199"/>
      <c r="F12" s="199"/>
      <c r="G12" s="199"/>
      <c r="H12" s="199"/>
      <c r="I12" s="199"/>
      <c r="J12" s="199"/>
      <c r="K12" s="220"/>
      <c r="L12" s="220"/>
      <c r="M12" s="220"/>
      <c r="N12" s="199"/>
      <c r="O12" s="199"/>
      <c r="P12" s="199"/>
      <c r="Q12" s="199"/>
      <c r="R12" s="198"/>
      <c r="S12" s="197"/>
      <c r="T12" s="197"/>
      <c r="U12" s="197"/>
      <c r="V12" s="197"/>
      <c r="W12" s="197"/>
      <c r="X12" s="197"/>
      <c r="Y12" s="197"/>
      <c r="Z12" s="197"/>
      <c r="AA12" s="197"/>
      <c r="AB12" s="197"/>
      <c r="AC12" s="197"/>
      <c r="AD12" s="197"/>
      <c r="AE12" s="197"/>
      <c r="AF12" s="197"/>
    </row>
    <row r="13" spans="1:32" s="110" customFormat="1" ht="10.35" customHeight="1" x14ac:dyDescent="0.2">
      <c r="B13" s="110" t="s">
        <v>84</v>
      </c>
      <c r="C13" s="199">
        <f t="shared" ref="C13:Q13" si="1">C14+C15</f>
        <v>490</v>
      </c>
      <c r="D13" s="199">
        <f t="shared" si="1"/>
        <v>525</v>
      </c>
      <c r="E13" s="199">
        <f t="shared" si="1"/>
        <v>584.49</v>
      </c>
      <c r="F13" s="199">
        <f t="shared" si="1"/>
        <v>655.52805000000012</v>
      </c>
      <c r="G13" s="199">
        <f t="shared" si="1"/>
        <v>721.40546700000004</v>
      </c>
      <c r="H13" s="199">
        <f t="shared" si="1"/>
        <v>775.53664123500016</v>
      </c>
      <c r="I13" s="199">
        <f t="shared" si="1"/>
        <v>842.79224212740019</v>
      </c>
      <c r="J13" s="199">
        <f t="shared" si="1"/>
        <v>941.08640625417615</v>
      </c>
      <c r="K13" s="199">
        <f t="shared" si="1"/>
        <v>1082.6836351483121</v>
      </c>
      <c r="L13" s="199">
        <f t="shared" si="1"/>
        <v>1236.1595511053026</v>
      </c>
      <c r="M13" s="199">
        <f t="shared" si="1"/>
        <v>1372.0753073031092</v>
      </c>
      <c r="N13" s="199">
        <f t="shared" si="1"/>
        <v>1507.8001441583765</v>
      </c>
      <c r="O13" s="199">
        <f t="shared" si="1"/>
        <v>1651.241904999441</v>
      </c>
      <c r="P13" s="199">
        <f t="shared" si="1"/>
        <v>1800.3006683316348</v>
      </c>
      <c r="Q13" s="199">
        <f t="shared" si="1"/>
        <v>1954.0633675366314</v>
      </c>
      <c r="S13" s="197">
        <f t="shared" ref="S13:AF13" si="2">(D13-C13)/C13</f>
        <v>7.1428571428571425E-2</v>
      </c>
      <c r="T13" s="197">
        <f t="shared" si="2"/>
        <v>0.11331428571428573</v>
      </c>
      <c r="U13" s="197">
        <f t="shared" si="2"/>
        <v>0.12153852076168986</v>
      </c>
      <c r="V13" s="197">
        <f t="shared" si="2"/>
        <v>0.10049519162452303</v>
      </c>
      <c r="W13" s="197">
        <f t="shared" si="2"/>
        <v>7.5035713910108354E-2</v>
      </c>
      <c r="X13" s="197">
        <f t="shared" si="2"/>
        <v>8.6721371133798547E-2</v>
      </c>
      <c r="Y13" s="197">
        <f t="shared" si="2"/>
        <v>0.11662917527415657</v>
      </c>
      <c r="Z13" s="197">
        <f t="shared" si="2"/>
        <v>0.15046145386132823</v>
      </c>
      <c r="AA13" s="197">
        <f t="shared" si="2"/>
        <v>0.14175508982914159</v>
      </c>
      <c r="AB13" s="197">
        <f t="shared" si="2"/>
        <v>0.10995001096442487</v>
      </c>
      <c r="AC13" s="197">
        <f t="shared" si="2"/>
        <v>9.8919378646965136E-2</v>
      </c>
      <c r="AD13" s="197">
        <f t="shared" si="2"/>
        <v>9.5133139094591854E-2</v>
      </c>
      <c r="AE13" s="197">
        <f t="shared" si="2"/>
        <v>9.027070042305177E-2</v>
      </c>
      <c r="AF13" s="197">
        <f t="shared" si="2"/>
        <v>8.5409455159226669E-2</v>
      </c>
    </row>
    <row r="14" spans="1:32" s="110" customFormat="1" ht="10.35" customHeight="1" x14ac:dyDescent="0.2">
      <c r="B14" s="110" t="s">
        <v>77</v>
      </c>
      <c r="C14" s="198">
        <v>340</v>
      </c>
      <c r="D14" s="198">
        <v>360</v>
      </c>
      <c r="E14" s="198">
        <f t="shared" ref="E14:Q15" si="3">D14*(1+T14)</f>
        <v>404.64000000000004</v>
      </c>
      <c r="F14" s="198">
        <f t="shared" si="3"/>
        <v>453.19680000000011</v>
      </c>
      <c r="G14" s="198">
        <f t="shared" si="3"/>
        <v>482.65459200000009</v>
      </c>
      <c r="H14" s="198">
        <f t="shared" si="3"/>
        <v>521.2669593600001</v>
      </c>
      <c r="I14" s="198">
        <f t="shared" si="3"/>
        <v>568.18098570240011</v>
      </c>
      <c r="J14" s="198">
        <f t="shared" si="3"/>
        <v>633.52179905817616</v>
      </c>
      <c r="K14" s="198">
        <f t="shared" si="3"/>
        <v>690.53876097341208</v>
      </c>
      <c r="L14" s="198">
        <f t="shared" si="3"/>
        <v>761.66425335367353</v>
      </c>
      <c r="M14" s="198">
        <f t="shared" si="3"/>
        <v>826.4057148887357</v>
      </c>
      <c r="N14" s="198">
        <f t="shared" si="3"/>
        <v>896.65020065427825</v>
      </c>
      <c r="O14" s="198">
        <f t="shared" si="3"/>
        <v>972.86546770989185</v>
      </c>
      <c r="P14" s="198">
        <f t="shared" si="3"/>
        <v>1050.6947051266832</v>
      </c>
      <c r="Q14" s="198">
        <f t="shared" si="3"/>
        <v>1129.4968080111844</v>
      </c>
      <c r="S14" s="197">
        <f>(D14-C14)/C14</f>
        <v>5.8823529411764705E-2</v>
      </c>
      <c r="T14" s="197">
        <v>0.124</v>
      </c>
      <c r="U14" s="197">
        <v>0.12</v>
      </c>
      <c r="V14" s="197">
        <v>6.5000000000000002E-2</v>
      </c>
      <c r="W14" s="197">
        <v>0.08</v>
      </c>
      <c r="X14" s="197">
        <v>0.09</v>
      </c>
      <c r="Y14" s="197">
        <v>0.115</v>
      </c>
      <c r="Z14" s="197">
        <v>0.09</v>
      </c>
      <c r="AA14" s="197">
        <v>0.10299999999999999</v>
      </c>
      <c r="AB14" s="197">
        <v>8.5000000000000006E-2</v>
      </c>
      <c r="AC14" s="197">
        <v>8.5000000000000006E-2</v>
      </c>
      <c r="AD14" s="197">
        <v>8.5000000000000006E-2</v>
      </c>
      <c r="AE14" s="197">
        <f>+AD14-0.005</f>
        <v>0.08</v>
      </c>
      <c r="AF14" s="197">
        <f>+AE14-0.005</f>
        <v>7.4999999999999997E-2</v>
      </c>
    </row>
    <row r="15" spans="1:32" s="110" customFormat="1" ht="10.35" customHeight="1" x14ac:dyDescent="0.2">
      <c r="B15" s="110" t="s">
        <v>78</v>
      </c>
      <c r="C15" s="199">
        <v>150</v>
      </c>
      <c r="D15" s="199">
        <v>165</v>
      </c>
      <c r="E15" s="198">
        <f t="shared" si="3"/>
        <v>179.85000000000002</v>
      </c>
      <c r="F15" s="198">
        <f t="shared" si="3"/>
        <v>202.33125000000001</v>
      </c>
      <c r="G15" s="198">
        <f t="shared" si="3"/>
        <v>238.75087500000001</v>
      </c>
      <c r="H15" s="198">
        <f t="shared" si="3"/>
        <v>254.269681875</v>
      </c>
      <c r="I15" s="198">
        <f t="shared" si="3"/>
        <v>274.61125642500002</v>
      </c>
      <c r="J15" s="198">
        <f t="shared" si="3"/>
        <v>307.56460719600005</v>
      </c>
      <c r="K15" s="198">
        <f t="shared" si="3"/>
        <v>392.14487417490005</v>
      </c>
      <c r="L15" s="198">
        <f t="shared" si="3"/>
        <v>474.49529775162904</v>
      </c>
      <c r="M15" s="198">
        <f t="shared" si="3"/>
        <v>545.66959241437337</v>
      </c>
      <c r="N15" s="198">
        <f t="shared" si="3"/>
        <v>611.14994350409825</v>
      </c>
      <c r="O15" s="198">
        <f t="shared" si="3"/>
        <v>678.37643728954913</v>
      </c>
      <c r="P15" s="198">
        <f t="shared" si="3"/>
        <v>749.60596320495176</v>
      </c>
      <c r="Q15" s="198">
        <f t="shared" si="3"/>
        <v>824.56655952544702</v>
      </c>
      <c r="S15" s="197">
        <f>(D15-C15)/C15</f>
        <v>0.1</v>
      </c>
      <c r="T15" s="197">
        <v>0.09</v>
      </c>
      <c r="U15" s="197">
        <v>0.125</v>
      </c>
      <c r="V15" s="197">
        <v>0.18</v>
      </c>
      <c r="W15" s="197">
        <v>6.5000000000000002E-2</v>
      </c>
      <c r="X15" s="197">
        <v>0.08</v>
      </c>
      <c r="Y15" s="197">
        <v>0.12</v>
      </c>
      <c r="Z15" s="197">
        <v>0.27500000000000002</v>
      </c>
      <c r="AA15" s="197">
        <v>0.21</v>
      </c>
      <c r="AB15" s="197">
        <v>0.15</v>
      </c>
      <c r="AC15" s="197">
        <v>0.12</v>
      </c>
      <c r="AD15" s="197">
        <v>0.11</v>
      </c>
      <c r="AE15" s="197">
        <f>+AD15-0.005</f>
        <v>0.105</v>
      </c>
      <c r="AF15" s="197">
        <f>+AE15-0.005</f>
        <v>9.9999999999999992E-2</v>
      </c>
    </row>
    <row r="16" spans="1:32" s="110" customFormat="1" ht="10.35" customHeight="1" x14ac:dyDescent="0.2">
      <c r="B16" s="110" t="s">
        <v>85</v>
      </c>
      <c r="C16" s="199">
        <f t="shared" ref="C16:Q16" si="4">C17+C18</f>
        <v>315</v>
      </c>
      <c r="D16" s="199">
        <f t="shared" si="4"/>
        <v>346</v>
      </c>
      <c r="E16" s="199">
        <f t="shared" si="4"/>
        <v>389.29599999999999</v>
      </c>
      <c r="F16" s="199">
        <f t="shared" si="4"/>
        <v>458.51120500000002</v>
      </c>
      <c r="G16" s="199">
        <f t="shared" si="4"/>
        <v>519.442244265</v>
      </c>
      <c r="H16" s="199">
        <f t="shared" si="4"/>
        <v>553.41317522715008</v>
      </c>
      <c r="I16" s="199">
        <f t="shared" si="4"/>
        <v>604.25343667833386</v>
      </c>
      <c r="J16" s="199">
        <f t="shared" si="4"/>
        <v>669.7969228921279</v>
      </c>
      <c r="K16" s="199">
        <f t="shared" si="4"/>
        <v>814.54206569224448</v>
      </c>
      <c r="L16" s="199">
        <f t="shared" si="4"/>
        <v>933.05307577213421</v>
      </c>
      <c r="M16" s="199">
        <f t="shared" si="4"/>
        <v>1048.0960383237386</v>
      </c>
      <c r="N16" s="199">
        <f t="shared" si="4"/>
        <v>1145.2175853791546</v>
      </c>
      <c r="O16" s="199">
        <f t="shared" si="4"/>
        <v>1244.1356174037214</v>
      </c>
      <c r="P16" s="199">
        <f t="shared" si="4"/>
        <v>1351.6241482577345</v>
      </c>
      <c r="Q16" s="199">
        <f t="shared" si="4"/>
        <v>1468.4279529116229</v>
      </c>
      <c r="S16" s="197">
        <f>(D16-C16)/C16</f>
        <v>9.841269841269841E-2</v>
      </c>
      <c r="T16" s="197">
        <f>(E16-D16)/D16</f>
        <v>0.1251329479768786</v>
      </c>
      <c r="U16" s="197">
        <v>0.11</v>
      </c>
      <c r="V16" s="197">
        <f t="shared" ref="V16:AF16" si="5">(G16-F16)/F16</f>
        <v>0.13288887730671703</v>
      </c>
      <c r="W16" s="197">
        <f t="shared" si="5"/>
        <v>6.5398860676451606E-2</v>
      </c>
      <c r="X16" s="197">
        <f t="shared" si="5"/>
        <v>9.1866734886310294E-2</v>
      </c>
      <c r="Y16" s="197">
        <f t="shared" si="5"/>
        <v>0.10847019186865664</v>
      </c>
      <c r="Z16" s="197">
        <f t="shared" si="5"/>
        <v>0.21610302742974541</v>
      </c>
      <c r="AA16" s="197">
        <f t="shared" si="5"/>
        <v>0.14549403287007931</v>
      </c>
      <c r="AB16" s="197">
        <f t="shared" si="5"/>
        <v>0.1232973402465903</v>
      </c>
      <c r="AC16" s="197">
        <f t="shared" si="5"/>
        <v>9.2664740161356063E-2</v>
      </c>
      <c r="AD16" s="197">
        <f t="shared" si="5"/>
        <v>8.6374880448432362E-2</v>
      </c>
      <c r="AE16" s="197">
        <f t="shared" si="5"/>
        <v>8.6396152758910313E-2</v>
      </c>
      <c r="AF16" s="197">
        <f t="shared" si="5"/>
        <v>8.6417370394314422E-2</v>
      </c>
    </row>
    <row r="17" spans="2:32" s="110" customFormat="1" ht="10.35" customHeight="1" x14ac:dyDescent="0.2">
      <c r="B17" s="110" t="s">
        <v>77</v>
      </c>
      <c r="C17" s="199">
        <v>125</v>
      </c>
      <c r="D17" s="199">
        <v>147</v>
      </c>
      <c r="E17" s="198">
        <f t="shared" ref="E17:Q18" si="6">D17*(1+T17)</f>
        <v>175.37100000000001</v>
      </c>
      <c r="F17" s="198">
        <f t="shared" si="6"/>
        <v>215.70633000000001</v>
      </c>
      <c r="G17" s="198">
        <f t="shared" si="6"/>
        <v>239.00261364000002</v>
      </c>
      <c r="H17" s="198">
        <f t="shared" si="6"/>
        <v>253.34277045840003</v>
      </c>
      <c r="I17" s="198">
        <f t="shared" si="6"/>
        <v>278.67704750424002</v>
      </c>
      <c r="J17" s="198">
        <f t="shared" si="6"/>
        <v>305.15136701714283</v>
      </c>
      <c r="K17" s="198">
        <f t="shared" si="6"/>
        <v>329.56347637851428</v>
      </c>
      <c r="L17" s="198">
        <f t="shared" si="6"/>
        <v>355.92855448879544</v>
      </c>
      <c r="M17" s="198">
        <f t="shared" si="6"/>
        <v>384.40283884789909</v>
      </c>
      <c r="N17" s="198">
        <f t="shared" si="6"/>
        <v>415.15506595573106</v>
      </c>
      <c r="O17" s="198">
        <f t="shared" si="6"/>
        <v>448.36747123218959</v>
      </c>
      <c r="P17" s="198">
        <f t="shared" si="6"/>
        <v>484.23686893076479</v>
      </c>
      <c r="Q17" s="198">
        <f t="shared" si="6"/>
        <v>522.97581844522597</v>
      </c>
      <c r="S17" s="197">
        <f>(D17-C17)/C17</f>
        <v>0.17599999999999999</v>
      </c>
      <c r="T17" s="197">
        <v>0.193</v>
      </c>
      <c r="U17" s="197">
        <v>0.23</v>
      </c>
      <c r="V17" s="197">
        <v>0.108</v>
      </c>
      <c r="W17" s="197">
        <v>0.06</v>
      </c>
      <c r="X17" s="197">
        <v>0.1</v>
      </c>
      <c r="Y17" s="197">
        <v>9.5000000000000001E-2</v>
      </c>
      <c r="Z17" s="197">
        <v>0.08</v>
      </c>
      <c r="AA17" s="197">
        <v>0.08</v>
      </c>
      <c r="AB17" s="197">
        <v>0.08</v>
      </c>
      <c r="AC17" s="197">
        <v>0.08</v>
      </c>
      <c r="AD17" s="197">
        <v>0.08</v>
      </c>
      <c r="AE17" s="197">
        <v>0.08</v>
      </c>
      <c r="AF17" s="197">
        <v>0.08</v>
      </c>
    </row>
    <row r="18" spans="2:32" s="110" customFormat="1" ht="10.35" customHeight="1" x14ac:dyDescent="0.2">
      <c r="B18" s="110" t="s">
        <v>78</v>
      </c>
      <c r="C18" s="199">
        <v>190</v>
      </c>
      <c r="D18" s="199">
        <v>199</v>
      </c>
      <c r="E18" s="198">
        <f t="shared" si="6"/>
        <v>213.92499999999998</v>
      </c>
      <c r="F18" s="198">
        <f t="shared" si="6"/>
        <v>242.80487499999998</v>
      </c>
      <c r="G18" s="198">
        <f t="shared" si="6"/>
        <v>280.43963062500001</v>
      </c>
      <c r="H18" s="198">
        <f t="shared" si="6"/>
        <v>300.07040476875005</v>
      </c>
      <c r="I18" s="198">
        <f t="shared" si="6"/>
        <v>325.57638917409378</v>
      </c>
      <c r="J18" s="198">
        <f t="shared" si="6"/>
        <v>364.64555587498506</v>
      </c>
      <c r="K18" s="198">
        <f t="shared" si="6"/>
        <v>484.97858931373014</v>
      </c>
      <c r="L18" s="198">
        <f t="shared" si="6"/>
        <v>577.12452128333882</v>
      </c>
      <c r="M18" s="198">
        <f t="shared" si="6"/>
        <v>663.69319947583961</v>
      </c>
      <c r="N18" s="198">
        <f t="shared" si="6"/>
        <v>730.06251942342362</v>
      </c>
      <c r="O18" s="198">
        <f t="shared" si="6"/>
        <v>795.76814617153184</v>
      </c>
      <c r="P18" s="198">
        <f t="shared" si="6"/>
        <v>867.38727932696975</v>
      </c>
      <c r="Q18" s="198">
        <f t="shared" si="6"/>
        <v>945.45213446639707</v>
      </c>
      <c r="S18" s="197">
        <f>(D18-C18)/C18</f>
        <v>4.736842105263158E-2</v>
      </c>
      <c r="T18" s="197">
        <v>7.4999999999999997E-2</v>
      </c>
      <c r="U18" s="197">
        <v>0.13500000000000001</v>
      </c>
      <c r="V18" s="197">
        <v>0.155</v>
      </c>
      <c r="W18" s="197">
        <v>7.0000000000000007E-2</v>
      </c>
      <c r="X18" s="197">
        <v>8.5000000000000006E-2</v>
      </c>
      <c r="Y18" s="197">
        <v>0.12</v>
      </c>
      <c r="Z18" s="197">
        <v>0.33</v>
      </c>
      <c r="AA18" s="197">
        <v>0.19</v>
      </c>
      <c r="AB18" s="197">
        <v>0.15</v>
      </c>
      <c r="AC18" s="197">
        <v>0.1</v>
      </c>
      <c r="AD18" s="197">
        <v>0.09</v>
      </c>
      <c r="AE18" s="197">
        <v>0.09</v>
      </c>
      <c r="AF18" s="197">
        <v>0.09</v>
      </c>
    </row>
    <row r="19" spans="2:32" s="110" customFormat="1" ht="10.35" customHeight="1" x14ac:dyDescent="0.2">
      <c r="B19" s="110" t="s">
        <v>87</v>
      </c>
      <c r="C19" s="199"/>
      <c r="D19" s="199"/>
      <c r="E19" s="199">
        <f t="shared" ref="E19:Q19" si="7">E20+E21</f>
        <v>16</v>
      </c>
      <c r="F19" s="199">
        <f t="shared" si="7"/>
        <v>31.4</v>
      </c>
      <c r="G19" s="199">
        <f t="shared" si="7"/>
        <v>51.552</v>
      </c>
      <c r="H19" s="199">
        <f t="shared" si="7"/>
        <v>77.328000000000003</v>
      </c>
      <c r="I19" s="199">
        <f t="shared" si="7"/>
        <v>112.95060000000001</v>
      </c>
      <c r="J19" s="199">
        <f t="shared" si="7"/>
        <v>161.84334000000001</v>
      </c>
      <c r="K19" s="199">
        <f t="shared" si="7"/>
        <v>215.31138300000001</v>
      </c>
      <c r="L19" s="199">
        <f t="shared" si="7"/>
        <v>267.74840295000001</v>
      </c>
      <c r="M19" s="199">
        <f t="shared" si="7"/>
        <v>327.37963214249999</v>
      </c>
      <c r="N19" s="199">
        <f t="shared" si="7"/>
        <v>396.19890782324995</v>
      </c>
      <c r="O19" s="199">
        <f t="shared" si="7"/>
        <v>472.71276407486243</v>
      </c>
      <c r="P19" s="199">
        <f t="shared" si="7"/>
        <v>564.97470378374805</v>
      </c>
      <c r="Q19" s="199">
        <f t="shared" si="7"/>
        <v>676.41469072338055</v>
      </c>
      <c r="S19" s="197"/>
      <c r="T19" s="197"/>
      <c r="U19" s="197">
        <f t="shared" ref="U19:AF19" si="8">(F19-E19)/E19</f>
        <v>0.96249999999999991</v>
      </c>
      <c r="V19" s="197">
        <f t="shared" si="8"/>
        <v>0.64178343949044592</v>
      </c>
      <c r="W19" s="197">
        <f t="shared" si="8"/>
        <v>0.50000000000000011</v>
      </c>
      <c r="X19" s="197">
        <f t="shared" si="8"/>
        <v>0.46066883923029178</v>
      </c>
      <c r="Y19" s="197">
        <f t="shared" si="8"/>
        <v>0.43286835129693868</v>
      </c>
      <c r="Z19" s="197">
        <f t="shared" si="8"/>
        <v>0.33036912733016999</v>
      </c>
      <c r="AA19" s="197">
        <f t="shared" si="8"/>
        <v>0.24354039818693657</v>
      </c>
      <c r="AB19" s="197">
        <f t="shared" si="8"/>
        <v>0.2227136690097668</v>
      </c>
      <c r="AC19" s="197">
        <f t="shared" si="8"/>
        <v>0.21021245344546877</v>
      </c>
      <c r="AD19" s="197">
        <f t="shared" si="8"/>
        <v>0.19311980608928486</v>
      </c>
      <c r="AE19" s="197">
        <f t="shared" si="8"/>
        <v>0.19517547805050237</v>
      </c>
      <c r="AF19" s="197">
        <f t="shared" si="8"/>
        <v>0.19724774612614815</v>
      </c>
    </row>
    <row r="20" spans="2:32" s="110" customFormat="1" ht="10.35" customHeight="1" x14ac:dyDescent="0.2">
      <c r="B20" s="110" t="s">
        <v>77</v>
      </c>
      <c r="C20" s="199"/>
      <c r="D20" s="199"/>
      <c r="E20" s="198">
        <v>15</v>
      </c>
      <c r="F20" s="198">
        <v>27.4</v>
      </c>
      <c r="G20" s="198">
        <f t="shared" ref="G20:Q20" si="9">F20*(1+V20)</f>
        <v>40.552</v>
      </c>
      <c r="H20" s="198">
        <f t="shared" si="9"/>
        <v>60.828000000000003</v>
      </c>
      <c r="I20" s="198">
        <f t="shared" si="9"/>
        <v>88.200600000000009</v>
      </c>
      <c r="J20" s="198">
        <f t="shared" si="9"/>
        <v>123.48084</v>
      </c>
      <c r="K20" s="198">
        <f t="shared" si="9"/>
        <v>148.177008</v>
      </c>
      <c r="L20" s="198">
        <f t="shared" si="9"/>
        <v>170.40355919999999</v>
      </c>
      <c r="M20" s="198">
        <f t="shared" si="9"/>
        <v>195.96409307999997</v>
      </c>
      <c r="N20" s="198">
        <f t="shared" si="9"/>
        <v>225.35870704199993</v>
      </c>
      <c r="O20" s="198">
        <f t="shared" si="9"/>
        <v>259.16251309829988</v>
      </c>
      <c r="P20" s="198">
        <f t="shared" si="9"/>
        <v>298.03689006304484</v>
      </c>
      <c r="Q20" s="198">
        <f t="shared" si="9"/>
        <v>342.74242357250154</v>
      </c>
      <c r="S20" s="197"/>
      <c r="T20" s="197"/>
      <c r="U20" s="197">
        <v>1</v>
      </c>
      <c r="V20" s="197">
        <v>0.48</v>
      </c>
      <c r="W20" s="197">
        <v>0.5</v>
      </c>
      <c r="X20" s="197">
        <v>0.45</v>
      </c>
      <c r="Y20" s="197">
        <v>0.4</v>
      </c>
      <c r="Z20" s="197">
        <v>0.2</v>
      </c>
      <c r="AA20" s="197">
        <v>0.15</v>
      </c>
      <c r="AB20" s="197">
        <v>0.15</v>
      </c>
      <c r="AC20" s="197">
        <v>0.15</v>
      </c>
      <c r="AD20" s="197">
        <v>0.15</v>
      </c>
      <c r="AE20" s="197">
        <v>0.15</v>
      </c>
      <c r="AF20" s="197">
        <v>0.15</v>
      </c>
    </row>
    <row r="21" spans="2:32" s="110" customFormat="1" ht="10.35" customHeight="1" x14ac:dyDescent="0.2">
      <c r="B21" s="110" t="s">
        <v>78</v>
      </c>
      <c r="C21" s="199"/>
      <c r="D21" s="199"/>
      <c r="E21" s="198">
        <v>1</v>
      </c>
      <c r="F21" s="198">
        <v>4</v>
      </c>
      <c r="G21" s="198">
        <v>11</v>
      </c>
      <c r="H21" s="198">
        <f t="shared" ref="H21:Q21" si="10">G21*(1+W21)</f>
        <v>16.5</v>
      </c>
      <c r="I21" s="198">
        <f t="shared" si="10"/>
        <v>24.75</v>
      </c>
      <c r="J21" s="198">
        <f t="shared" si="10"/>
        <v>38.362500000000004</v>
      </c>
      <c r="K21" s="198">
        <f t="shared" si="10"/>
        <v>67.134375000000006</v>
      </c>
      <c r="L21" s="198">
        <f t="shared" si="10"/>
        <v>97.34484375000001</v>
      </c>
      <c r="M21" s="198">
        <f t="shared" si="10"/>
        <v>131.41553906250002</v>
      </c>
      <c r="N21" s="198">
        <f t="shared" si="10"/>
        <v>170.84020078125002</v>
      </c>
      <c r="O21" s="198">
        <f t="shared" si="10"/>
        <v>213.55025097656252</v>
      </c>
      <c r="P21" s="198">
        <f t="shared" si="10"/>
        <v>266.93781372070316</v>
      </c>
      <c r="Q21" s="198">
        <f t="shared" si="10"/>
        <v>333.67226715087895</v>
      </c>
      <c r="S21" s="197"/>
      <c r="T21" s="197"/>
      <c r="U21" s="197">
        <v>4</v>
      </c>
      <c r="V21" s="197">
        <v>1.1000000000000001</v>
      </c>
      <c r="W21" s="197">
        <v>0.5</v>
      </c>
      <c r="X21" s="197">
        <v>0.5</v>
      </c>
      <c r="Y21" s="197">
        <v>0.55000000000000004</v>
      </c>
      <c r="Z21" s="197">
        <v>0.75</v>
      </c>
      <c r="AA21" s="197">
        <v>0.45</v>
      </c>
      <c r="AB21" s="197">
        <v>0.35</v>
      </c>
      <c r="AC21" s="197">
        <v>0.3</v>
      </c>
      <c r="AD21" s="197">
        <v>0.25</v>
      </c>
      <c r="AE21" s="197">
        <v>0.25</v>
      </c>
      <c r="AF21" s="197">
        <v>0.25</v>
      </c>
    </row>
    <row r="22" spans="2:32" s="110" customFormat="1" ht="10.35" customHeight="1" x14ac:dyDescent="0.2">
      <c r="B22" s="110" t="s">
        <v>88</v>
      </c>
      <c r="C22" s="199">
        <f>C23+C24</f>
        <v>0</v>
      </c>
      <c r="D22" s="199"/>
      <c r="E22" s="199">
        <f t="shared" ref="E22:Q22" si="11">E23+E24</f>
        <v>16</v>
      </c>
      <c r="F22" s="199">
        <f t="shared" si="11"/>
        <v>50</v>
      </c>
      <c r="G22" s="199">
        <f t="shared" si="11"/>
        <v>79</v>
      </c>
      <c r="H22" s="199">
        <f t="shared" si="11"/>
        <v>64.5</v>
      </c>
      <c r="I22" s="199">
        <f t="shared" si="11"/>
        <v>30.4</v>
      </c>
      <c r="J22" s="199">
        <f t="shared" si="11"/>
        <v>41.519999999999996</v>
      </c>
      <c r="K22" s="199">
        <f t="shared" si="11"/>
        <v>55.823999999999998</v>
      </c>
      <c r="L22" s="199">
        <f t="shared" si="11"/>
        <v>69.95232</v>
      </c>
      <c r="M22" s="199">
        <f t="shared" si="11"/>
        <v>82.440691200000003</v>
      </c>
      <c r="N22" s="199">
        <f t="shared" si="11"/>
        <v>95.584394879999991</v>
      </c>
      <c r="O22" s="199">
        <f t="shared" si="11"/>
        <v>110.83184611199998</v>
      </c>
      <c r="P22" s="199">
        <f t="shared" si="11"/>
        <v>128.52107966879998</v>
      </c>
      <c r="Q22" s="199">
        <f t="shared" si="11"/>
        <v>149.04465588791996</v>
      </c>
      <c r="S22" s="197"/>
      <c r="T22" s="197"/>
      <c r="U22" s="197">
        <f t="shared" ref="U22:AF22" si="12">(F22-E22)/E22</f>
        <v>2.125</v>
      </c>
      <c r="V22" s="197">
        <f t="shared" si="12"/>
        <v>0.57999999999999996</v>
      </c>
      <c r="W22" s="197">
        <f t="shared" si="12"/>
        <v>-0.18354430379746836</v>
      </c>
      <c r="X22" s="197">
        <f t="shared" si="12"/>
        <v>-0.52868217054263567</v>
      </c>
      <c r="Y22" s="197">
        <f t="shared" si="12"/>
        <v>0.36578947368421044</v>
      </c>
      <c r="Z22" s="197">
        <f t="shared" si="12"/>
        <v>0.34450867052023132</v>
      </c>
      <c r="AA22" s="197">
        <f t="shared" si="12"/>
        <v>0.25308684436801382</v>
      </c>
      <c r="AB22" s="197">
        <f t="shared" si="12"/>
        <v>0.17852690518341641</v>
      </c>
      <c r="AC22" s="197">
        <f t="shared" si="12"/>
        <v>0.15943223532798312</v>
      </c>
      <c r="AD22" s="197">
        <f t="shared" si="12"/>
        <v>0.15951820640955225</v>
      </c>
      <c r="AE22" s="197">
        <f t="shared" si="12"/>
        <v>0.15960424893513306</v>
      </c>
      <c r="AF22" s="197">
        <f t="shared" si="12"/>
        <v>0.15969035019009661</v>
      </c>
    </row>
    <row r="23" spans="2:32" s="110" customFormat="1" ht="10.35" customHeight="1" x14ac:dyDescent="0.2">
      <c r="B23" s="110" t="s">
        <v>77</v>
      </c>
      <c r="C23" s="199"/>
      <c r="D23" s="199"/>
      <c r="E23" s="198">
        <v>15</v>
      </c>
      <c r="F23" s="198">
        <v>43</v>
      </c>
      <c r="G23" s="198">
        <v>67</v>
      </c>
      <c r="H23" s="198">
        <v>49.5</v>
      </c>
      <c r="I23" s="198">
        <v>20.399999999999999</v>
      </c>
      <c r="J23" s="198">
        <f t="shared" ref="J23:Q24" si="13">I23*(1+Y23)</f>
        <v>26.52</v>
      </c>
      <c r="K23" s="198">
        <f t="shared" si="13"/>
        <v>31.823999999999998</v>
      </c>
      <c r="L23" s="198">
        <f t="shared" si="13"/>
        <v>37.552319999999995</v>
      </c>
      <c r="M23" s="198">
        <f t="shared" si="13"/>
        <v>43.560691199999994</v>
      </c>
      <c r="N23" s="198">
        <f t="shared" si="13"/>
        <v>50.094794879999988</v>
      </c>
      <c r="O23" s="198">
        <f t="shared" si="13"/>
        <v>57.609014111999983</v>
      </c>
      <c r="P23" s="198">
        <f t="shared" si="13"/>
        <v>66.250366228799976</v>
      </c>
      <c r="Q23" s="198">
        <f t="shared" si="13"/>
        <v>76.187921163119967</v>
      </c>
      <c r="S23" s="197"/>
      <c r="T23" s="197"/>
      <c r="U23" s="197">
        <f t="shared" ref="U23:X24" si="14">(F23-E23)/E23</f>
        <v>1.8666666666666667</v>
      </c>
      <c r="V23" s="197">
        <f t="shared" si="14"/>
        <v>0.55813953488372092</v>
      </c>
      <c r="W23" s="197">
        <f t="shared" si="14"/>
        <v>-0.26119402985074625</v>
      </c>
      <c r="X23" s="197">
        <f t="shared" si="14"/>
        <v>-0.58787878787878789</v>
      </c>
      <c r="Y23" s="197">
        <v>0.3</v>
      </c>
      <c r="Z23" s="197">
        <v>0.2</v>
      </c>
      <c r="AA23" s="197">
        <v>0.18</v>
      </c>
      <c r="AB23" s="197">
        <v>0.16</v>
      </c>
      <c r="AC23" s="197">
        <v>0.15</v>
      </c>
      <c r="AD23" s="197">
        <v>0.15</v>
      </c>
      <c r="AE23" s="197">
        <v>0.15</v>
      </c>
      <c r="AF23" s="197">
        <v>0.15</v>
      </c>
    </row>
    <row r="24" spans="2:32" s="110" customFormat="1" ht="10.35" customHeight="1" x14ac:dyDescent="0.2">
      <c r="B24" s="110" t="s">
        <v>78</v>
      </c>
      <c r="C24" s="199"/>
      <c r="D24" s="199"/>
      <c r="E24" s="198">
        <v>1</v>
      </c>
      <c r="F24" s="198">
        <v>7</v>
      </c>
      <c r="G24" s="198">
        <v>12</v>
      </c>
      <c r="H24" s="198">
        <v>15</v>
      </c>
      <c r="I24" s="198">
        <v>10</v>
      </c>
      <c r="J24" s="198">
        <f t="shared" si="13"/>
        <v>15</v>
      </c>
      <c r="K24" s="198">
        <f t="shared" si="13"/>
        <v>24</v>
      </c>
      <c r="L24" s="198">
        <f t="shared" si="13"/>
        <v>32.400000000000006</v>
      </c>
      <c r="M24" s="198">
        <f t="shared" si="13"/>
        <v>38.880000000000003</v>
      </c>
      <c r="N24" s="198">
        <f t="shared" si="13"/>
        <v>45.489600000000003</v>
      </c>
      <c r="O24" s="198">
        <f t="shared" si="13"/>
        <v>53.222831999999997</v>
      </c>
      <c r="P24" s="198">
        <f t="shared" si="13"/>
        <v>62.270713439999994</v>
      </c>
      <c r="Q24" s="198">
        <f t="shared" si="13"/>
        <v>72.856734724799992</v>
      </c>
      <c r="S24" s="197"/>
      <c r="T24" s="197"/>
      <c r="U24" s="197">
        <f t="shared" si="14"/>
        <v>6</v>
      </c>
      <c r="V24" s="197">
        <f t="shared" si="14"/>
        <v>0.7142857142857143</v>
      </c>
      <c r="W24" s="197">
        <f t="shared" si="14"/>
        <v>0.25</v>
      </c>
      <c r="X24" s="197">
        <f t="shared" si="14"/>
        <v>-0.33333333333333331</v>
      </c>
      <c r="Y24" s="197">
        <v>0.5</v>
      </c>
      <c r="Z24" s="197">
        <v>0.6</v>
      </c>
      <c r="AA24" s="197">
        <v>0.35</v>
      </c>
      <c r="AB24" s="197">
        <v>0.2</v>
      </c>
      <c r="AC24" s="197">
        <v>0.17</v>
      </c>
      <c r="AD24" s="197">
        <v>0.17</v>
      </c>
      <c r="AE24" s="197">
        <v>0.17</v>
      </c>
      <c r="AF24" s="197">
        <v>0.17</v>
      </c>
    </row>
    <row r="25" spans="2:32" s="110" customFormat="1" ht="10.35" customHeight="1" x14ac:dyDescent="0.2">
      <c r="B25" s="110" t="s">
        <v>89</v>
      </c>
      <c r="C25" s="199"/>
      <c r="D25" s="199"/>
      <c r="E25" s="198"/>
      <c r="F25" s="198"/>
      <c r="G25" s="198"/>
      <c r="H25" s="198">
        <f t="shared" ref="H25:Q25" si="15">SUM(H26:H27)</f>
        <v>375</v>
      </c>
      <c r="I25" s="198">
        <f t="shared" si="15"/>
        <v>429.42</v>
      </c>
      <c r="J25" s="198">
        <f t="shared" si="15"/>
        <v>477.77480000000003</v>
      </c>
      <c r="K25" s="198">
        <f t="shared" si="15"/>
        <v>418.75216</v>
      </c>
      <c r="L25" s="198">
        <f t="shared" si="15"/>
        <v>342.48182880000002</v>
      </c>
      <c r="M25" s="198">
        <f t="shared" si="15"/>
        <v>273.02196362399997</v>
      </c>
      <c r="N25" s="198">
        <f t="shared" si="15"/>
        <v>245.7197672616</v>
      </c>
      <c r="O25" s="198">
        <f t="shared" si="15"/>
        <v>257.26055562468002</v>
      </c>
      <c r="P25" s="198">
        <f t="shared" si="15"/>
        <v>269.348575405914</v>
      </c>
      <c r="Q25" s="198">
        <f t="shared" si="15"/>
        <v>282.00999585620974</v>
      </c>
      <c r="S25" s="197"/>
      <c r="T25" s="197"/>
      <c r="U25" s="197"/>
      <c r="V25" s="197"/>
      <c r="W25" s="197"/>
      <c r="X25" s="197">
        <f t="shared" ref="X25:AF25" si="16">(I25-H25)/H25</f>
        <v>0.14512000000000005</v>
      </c>
      <c r="Y25" s="197">
        <f t="shared" si="16"/>
        <v>0.11260490894695173</v>
      </c>
      <c r="Z25" s="197">
        <f t="shared" si="16"/>
        <v>-0.12353652808812859</v>
      </c>
      <c r="AA25" s="197">
        <f t="shared" si="16"/>
        <v>-0.18213716485665407</v>
      </c>
      <c r="AB25" s="197">
        <f t="shared" si="16"/>
        <v>-0.20281328623879402</v>
      </c>
      <c r="AC25" s="197">
        <f t="shared" si="16"/>
        <v>-9.9999999999999895E-2</v>
      </c>
      <c r="AD25" s="197">
        <f t="shared" si="16"/>
        <v>4.6967276958200056E-2</v>
      </c>
      <c r="AE25" s="197">
        <f t="shared" si="16"/>
        <v>4.6987458889225571E-2</v>
      </c>
      <c r="AF25" s="197">
        <f t="shared" si="16"/>
        <v>4.7007564198974165E-2</v>
      </c>
    </row>
    <row r="26" spans="2:32" s="110" customFormat="1" ht="10.35" customHeight="1" x14ac:dyDescent="0.2">
      <c r="B26" s="110" t="s">
        <v>77</v>
      </c>
      <c r="C26" s="199"/>
      <c r="D26" s="199"/>
      <c r="E26" s="198"/>
      <c r="F26" s="198"/>
      <c r="G26" s="198"/>
      <c r="H26" s="198">
        <f>1073-885</f>
        <v>188</v>
      </c>
      <c r="I26" s="198">
        <f t="shared" ref="I26:K27" si="17">H26*(1+X26)</f>
        <v>223.72</v>
      </c>
      <c r="J26" s="198">
        <f t="shared" si="17"/>
        <v>249.4478</v>
      </c>
      <c r="K26" s="198">
        <f t="shared" si="17"/>
        <v>199.55824000000001</v>
      </c>
      <c r="L26" s="198">
        <v>120</v>
      </c>
      <c r="M26" s="198">
        <f t="shared" ref="M26:Q27" si="18">L26*(1+AB26)</f>
        <v>82.8</v>
      </c>
      <c r="N26" s="198">
        <f t="shared" si="18"/>
        <v>74.52</v>
      </c>
      <c r="O26" s="198">
        <f t="shared" si="18"/>
        <v>77.500799999999998</v>
      </c>
      <c r="P26" s="198">
        <f t="shared" si="18"/>
        <v>80.600831999999997</v>
      </c>
      <c r="Q26" s="198">
        <f t="shared" si="18"/>
        <v>83.824865279999997</v>
      </c>
      <c r="S26" s="197"/>
      <c r="T26" s="197"/>
      <c r="U26" s="197"/>
      <c r="V26" s="197"/>
      <c r="W26" s="197"/>
      <c r="X26" s="197">
        <v>0.19</v>
      </c>
      <c r="Y26" s="197">
        <v>0.115</v>
      </c>
      <c r="Z26" s="197">
        <v>-0.2</v>
      </c>
      <c r="AA26" s="197">
        <v>-0.3</v>
      </c>
      <c r="AB26" s="197">
        <v>-0.31</v>
      </c>
      <c r="AC26" s="197">
        <v>-0.1</v>
      </c>
      <c r="AD26" s="197">
        <v>0.04</v>
      </c>
      <c r="AE26" s="197">
        <v>0.04</v>
      </c>
      <c r="AF26" s="197">
        <v>0.04</v>
      </c>
    </row>
    <row r="27" spans="2:32" s="110" customFormat="1" ht="10.35" customHeight="1" x14ac:dyDescent="0.2">
      <c r="B27" s="110" t="s">
        <v>78</v>
      </c>
      <c r="C27" s="199"/>
      <c r="D27" s="199"/>
      <c r="E27" s="198"/>
      <c r="F27" s="198"/>
      <c r="G27" s="198"/>
      <c r="H27" s="198">
        <f>773-586</f>
        <v>187</v>
      </c>
      <c r="I27" s="198">
        <f t="shared" si="17"/>
        <v>205.70000000000002</v>
      </c>
      <c r="J27" s="198">
        <f t="shared" si="17"/>
        <v>228.32700000000003</v>
      </c>
      <c r="K27" s="198">
        <f t="shared" si="17"/>
        <v>219.19392000000002</v>
      </c>
      <c r="L27" s="198">
        <f>K27*(1+AA27)</f>
        <v>222.48182879999999</v>
      </c>
      <c r="M27" s="198">
        <f t="shared" si="18"/>
        <v>190.22196362399998</v>
      </c>
      <c r="N27" s="198">
        <f t="shared" si="18"/>
        <v>171.19976726159999</v>
      </c>
      <c r="O27" s="198">
        <f t="shared" si="18"/>
        <v>179.75975562468</v>
      </c>
      <c r="P27" s="198">
        <f t="shared" si="18"/>
        <v>188.74774340591401</v>
      </c>
      <c r="Q27" s="198">
        <f t="shared" si="18"/>
        <v>198.18513057620973</v>
      </c>
      <c r="R27" s="198"/>
      <c r="S27" s="197"/>
      <c r="T27" s="197"/>
      <c r="U27" s="197"/>
      <c r="V27" s="197"/>
      <c r="W27" s="197"/>
      <c r="X27" s="197">
        <v>0.1</v>
      </c>
      <c r="Y27" s="197">
        <v>0.11</v>
      </c>
      <c r="Z27" s="197">
        <v>-0.04</v>
      </c>
      <c r="AA27" s="197">
        <v>1.4999999999999999E-2</v>
      </c>
      <c r="AB27" s="197">
        <v>-0.14499999999999999</v>
      </c>
      <c r="AC27" s="197">
        <v>-0.1</v>
      </c>
      <c r="AD27" s="197">
        <v>0.05</v>
      </c>
      <c r="AE27" s="197">
        <v>0.05</v>
      </c>
      <c r="AF27" s="197">
        <v>0.05</v>
      </c>
    </row>
    <row r="28" spans="2:32" s="110" customFormat="1" ht="10.35" customHeight="1" x14ac:dyDescent="0.2">
      <c r="B28" s="110" t="s">
        <v>90</v>
      </c>
      <c r="C28" s="199">
        <f t="shared" ref="C28:Q28" si="19">C29+C30</f>
        <v>805</v>
      </c>
      <c r="D28" s="199">
        <f t="shared" si="19"/>
        <v>871</v>
      </c>
      <c r="E28" s="199">
        <f t="shared" si="19"/>
        <v>1005.7860000000001</v>
      </c>
      <c r="F28" s="199">
        <f t="shared" si="19"/>
        <v>1195.4392550000002</v>
      </c>
      <c r="G28" s="199">
        <f t="shared" si="19"/>
        <v>1371.3997112650002</v>
      </c>
      <c r="H28" s="199">
        <f t="shared" si="19"/>
        <v>1845.7778164621502</v>
      </c>
      <c r="I28" s="199">
        <f t="shared" si="19"/>
        <v>2019.8162788057339</v>
      </c>
      <c r="J28" s="199">
        <f t="shared" si="19"/>
        <v>2292.0214691463038</v>
      </c>
      <c r="K28" s="199">
        <f t="shared" si="19"/>
        <v>2587.1132438405566</v>
      </c>
      <c r="L28" s="199">
        <f t="shared" si="19"/>
        <v>2849.395178627437</v>
      </c>
      <c r="M28" s="199">
        <f t="shared" si="19"/>
        <v>3103.0136325933481</v>
      </c>
      <c r="N28" s="199">
        <f t="shared" si="19"/>
        <v>3390.5207995023811</v>
      </c>
      <c r="O28" s="199">
        <f t="shared" si="19"/>
        <v>3736.1826882147047</v>
      </c>
      <c r="P28" s="199">
        <f t="shared" si="19"/>
        <v>4114.7691754478319</v>
      </c>
      <c r="Q28" s="199">
        <f t="shared" si="19"/>
        <v>4529.9606629157643</v>
      </c>
      <c r="S28" s="197">
        <f t="shared" ref="S28:AF30" si="20">(D28-C28)/C28</f>
        <v>8.1987577639751549E-2</v>
      </c>
      <c r="T28" s="197">
        <f t="shared" si="20"/>
        <v>0.15474856486796792</v>
      </c>
      <c r="U28" s="197">
        <f t="shared" si="20"/>
        <v>0.18856223391457044</v>
      </c>
      <c r="V28" s="197">
        <f t="shared" si="20"/>
        <v>0.14719313886425783</v>
      </c>
      <c r="W28" s="197">
        <f t="shared" si="20"/>
        <v>0.34590798094858599</v>
      </c>
      <c r="X28" s="197">
        <f t="shared" si="20"/>
        <v>9.4290039023855896E-2</v>
      </c>
      <c r="Y28" s="197">
        <f t="shared" si="20"/>
        <v>0.13476730195556103</v>
      </c>
      <c r="Z28" s="197">
        <f t="shared" si="20"/>
        <v>0.12874738682276127</v>
      </c>
      <c r="AA28" s="197">
        <f t="shared" si="20"/>
        <v>0.10138015234212328</v>
      </c>
      <c r="AB28" s="197">
        <f t="shared" si="20"/>
        <v>8.9007820279979555E-2</v>
      </c>
      <c r="AC28" s="197">
        <f t="shared" si="20"/>
        <v>9.2654174602754963E-2</v>
      </c>
      <c r="AD28" s="197">
        <f t="shared" si="20"/>
        <v>0.1019494965974123</v>
      </c>
      <c r="AE28" s="197">
        <f t="shared" si="20"/>
        <v>0.10132975789094262</v>
      </c>
      <c r="AF28" s="197">
        <f t="shared" si="20"/>
        <v>0.10090274077712874</v>
      </c>
    </row>
    <row r="29" spans="2:32" s="110" customFormat="1" ht="10.35" customHeight="1" x14ac:dyDescent="0.2">
      <c r="B29" s="110" t="s">
        <v>77</v>
      </c>
      <c r="C29" s="199">
        <f t="shared" ref="C29:Q29" si="21">C14+C17+C20+C23+C26</f>
        <v>465</v>
      </c>
      <c r="D29" s="199">
        <f t="shared" si="21"/>
        <v>507</v>
      </c>
      <c r="E29" s="199">
        <f t="shared" si="21"/>
        <v>610.01100000000008</v>
      </c>
      <c r="F29" s="199">
        <f t="shared" si="21"/>
        <v>739.30313000000012</v>
      </c>
      <c r="G29" s="199">
        <f t="shared" si="21"/>
        <v>829.20920564000016</v>
      </c>
      <c r="H29" s="199">
        <f t="shared" si="21"/>
        <v>1072.9377298184002</v>
      </c>
      <c r="I29" s="199">
        <f t="shared" si="21"/>
        <v>1179.1786332066401</v>
      </c>
      <c r="J29" s="199">
        <f t="shared" si="21"/>
        <v>1338.1218060753188</v>
      </c>
      <c r="K29" s="199">
        <f t="shared" si="21"/>
        <v>1399.6614853519266</v>
      </c>
      <c r="L29" s="199">
        <f t="shared" si="21"/>
        <v>1445.5486870424691</v>
      </c>
      <c r="M29" s="199">
        <f t="shared" si="21"/>
        <v>1533.1333380166348</v>
      </c>
      <c r="N29" s="199">
        <f t="shared" si="21"/>
        <v>1661.7787685320091</v>
      </c>
      <c r="O29" s="199">
        <f t="shared" si="21"/>
        <v>1815.5052661523814</v>
      </c>
      <c r="P29" s="199">
        <f t="shared" si="21"/>
        <v>1979.8196623492929</v>
      </c>
      <c r="Q29" s="199">
        <f t="shared" si="21"/>
        <v>2155.2278364720319</v>
      </c>
      <c r="R29" s="199"/>
      <c r="S29" s="197">
        <f t="shared" si="20"/>
        <v>9.0322580645161285E-2</v>
      </c>
      <c r="T29" s="197">
        <f t="shared" si="20"/>
        <v>0.20317751479289956</v>
      </c>
      <c r="U29" s="197">
        <f t="shared" si="20"/>
        <v>0.21195048941740399</v>
      </c>
      <c r="V29" s="197">
        <f t="shared" si="20"/>
        <v>0.12160921818361572</v>
      </c>
      <c r="W29" s="197">
        <f t="shared" si="20"/>
        <v>0.2939288692414907</v>
      </c>
      <c r="X29" s="197">
        <f t="shared" si="20"/>
        <v>9.9018703915111431E-2</v>
      </c>
      <c r="Y29" s="197">
        <f t="shared" si="20"/>
        <v>0.13479142887490339</v>
      </c>
      <c r="Z29" s="197">
        <f t="shared" si="20"/>
        <v>4.5989594517633847E-2</v>
      </c>
      <c r="AA29" s="197">
        <f t="shared" si="20"/>
        <v>3.278449980282537E-2</v>
      </c>
      <c r="AB29" s="197">
        <f t="shared" si="20"/>
        <v>6.0589208623170042E-2</v>
      </c>
      <c r="AC29" s="197">
        <f t="shared" si="20"/>
        <v>8.3910138358741032E-2</v>
      </c>
      <c r="AD29" s="197">
        <f t="shared" si="20"/>
        <v>9.2507198028635357E-2</v>
      </c>
      <c r="AE29" s="197">
        <f t="shared" si="20"/>
        <v>9.0506152342452115E-2</v>
      </c>
      <c r="AF29" s="197">
        <f t="shared" si="20"/>
        <v>8.8598056408125667E-2</v>
      </c>
    </row>
    <row r="30" spans="2:32" s="110" customFormat="1" ht="10.35" customHeight="1" x14ac:dyDescent="0.2">
      <c r="B30" s="110" t="s">
        <v>78</v>
      </c>
      <c r="C30" s="199">
        <f t="shared" ref="C30:Q30" si="22">C15+C18+C21+C24+C27</f>
        <v>340</v>
      </c>
      <c r="D30" s="199">
        <f t="shared" si="22"/>
        <v>364</v>
      </c>
      <c r="E30" s="199">
        <f t="shared" si="22"/>
        <v>395.77499999999998</v>
      </c>
      <c r="F30" s="199">
        <f t="shared" si="22"/>
        <v>456.13612499999999</v>
      </c>
      <c r="G30" s="199">
        <f t="shared" si="22"/>
        <v>542.19050562500001</v>
      </c>
      <c r="H30" s="199">
        <f t="shared" si="22"/>
        <v>772.84008664375006</v>
      </c>
      <c r="I30" s="199">
        <f t="shared" si="22"/>
        <v>840.63764559909384</v>
      </c>
      <c r="J30" s="199">
        <f t="shared" si="22"/>
        <v>953.89966307098507</v>
      </c>
      <c r="K30" s="199">
        <f t="shared" si="22"/>
        <v>1187.4517584886303</v>
      </c>
      <c r="L30" s="199">
        <f t="shared" si="22"/>
        <v>1403.8464915849679</v>
      </c>
      <c r="M30" s="199">
        <f t="shared" si="22"/>
        <v>1569.8802945767131</v>
      </c>
      <c r="N30" s="199">
        <f t="shared" si="22"/>
        <v>1728.7420309703721</v>
      </c>
      <c r="O30" s="199">
        <f t="shared" si="22"/>
        <v>1920.6774220623233</v>
      </c>
      <c r="P30" s="199">
        <f t="shared" si="22"/>
        <v>2134.9495130985388</v>
      </c>
      <c r="Q30" s="199">
        <f t="shared" si="22"/>
        <v>2374.7328264437324</v>
      </c>
      <c r="R30" s="198"/>
      <c r="S30" s="197">
        <f t="shared" si="20"/>
        <v>7.0588235294117646E-2</v>
      </c>
      <c r="T30" s="197">
        <f t="shared" si="20"/>
        <v>8.7293956043955984E-2</v>
      </c>
      <c r="U30" s="197">
        <f t="shared" si="20"/>
        <v>0.15251373886678041</v>
      </c>
      <c r="V30" s="197">
        <f t="shared" si="20"/>
        <v>0.18865942842172395</v>
      </c>
      <c r="W30" s="197">
        <f t="shared" si="20"/>
        <v>0.42540320906739787</v>
      </c>
      <c r="X30" s="197">
        <f t="shared" si="20"/>
        <v>8.7725210075180651E-2</v>
      </c>
      <c r="Y30" s="197">
        <f t="shared" si="20"/>
        <v>0.13473345866062569</v>
      </c>
      <c r="Z30" s="197">
        <f t="shared" si="20"/>
        <v>0.24483926817391619</v>
      </c>
      <c r="AA30" s="197">
        <f t="shared" si="20"/>
        <v>0.18223454683477955</v>
      </c>
      <c r="AB30" s="197">
        <f t="shared" si="20"/>
        <v>0.11827062573222667</v>
      </c>
      <c r="AC30" s="197">
        <f t="shared" si="20"/>
        <v>0.10119353490992944</v>
      </c>
      <c r="AD30" s="197">
        <f t="shared" si="20"/>
        <v>0.11102604532858769</v>
      </c>
      <c r="AE30" s="197">
        <f t="shared" si="20"/>
        <v>0.11156068612820014</v>
      </c>
      <c r="AF30" s="197">
        <f t="shared" si="20"/>
        <v>0.11231334131043988</v>
      </c>
    </row>
    <row r="32" spans="2:32" x14ac:dyDescent="0.2">
      <c r="B32" s="4" t="s">
        <v>1495</v>
      </c>
    </row>
  </sheetData>
  <phoneticPr fontId="11" type="noConversion"/>
  <hyperlinks>
    <hyperlink ref="A1" location="Main!A1" display="Main" xr:uid="{00000000-0004-0000-2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F27"/>
  <sheetViews>
    <sheetView zoomScale="110" zoomScaleNormal="110" workbookViewId="0">
      <pane xSplit="2" ySplit="2" topLeftCell="C3" activePane="bottomRight" state="frozen"/>
      <selection pane="topRight" activeCell="C1" sqref="C1"/>
      <selection pane="bottomLeft" activeCell="A3" sqref="A3"/>
      <selection pane="bottomRight"/>
    </sheetView>
  </sheetViews>
  <sheetFormatPr defaultColWidth="9.140625" defaultRowHeight="12.75" x14ac:dyDescent="0.2"/>
  <cols>
    <col min="1" max="1" width="5" bestFit="1" customWidth="1"/>
    <col min="2" max="2" width="12.140625" customWidth="1"/>
    <col min="3" max="23" width="8.28515625" customWidth="1"/>
  </cols>
  <sheetData>
    <row r="1" spans="1:32" x14ac:dyDescent="0.2">
      <c r="A1" s="116" t="s">
        <v>154</v>
      </c>
      <c r="B1" s="116"/>
    </row>
    <row r="2" spans="1:32" x14ac:dyDescent="0.2">
      <c r="A2" s="168"/>
      <c r="B2" s="168"/>
      <c r="C2">
        <v>1995</v>
      </c>
      <c r="D2" s="168">
        <v>1996</v>
      </c>
      <c r="E2" s="168">
        <f>D2+1</f>
        <v>1997</v>
      </c>
      <c r="F2" s="168">
        <f t="shared" ref="F2:X2" si="0">E2+1</f>
        <v>1998</v>
      </c>
      <c r="G2" s="168">
        <f t="shared" si="0"/>
        <v>1999</v>
      </c>
      <c r="H2" s="168">
        <f t="shared" si="0"/>
        <v>2000</v>
      </c>
      <c r="I2" s="168">
        <f t="shared" si="0"/>
        <v>2001</v>
      </c>
      <c r="J2" s="168">
        <f t="shared" si="0"/>
        <v>2002</v>
      </c>
      <c r="K2" s="168">
        <f t="shared" si="0"/>
        <v>2003</v>
      </c>
      <c r="L2" s="168">
        <f t="shared" si="0"/>
        <v>2004</v>
      </c>
      <c r="M2" s="168">
        <f t="shared" si="0"/>
        <v>2005</v>
      </c>
      <c r="N2" s="168">
        <f t="shared" si="0"/>
        <v>2006</v>
      </c>
      <c r="O2" s="168">
        <f t="shared" si="0"/>
        <v>2007</v>
      </c>
      <c r="P2" s="168">
        <f t="shared" si="0"/>
        <v>2008</v>
      </c>
      <c r="Q2" s="168">
        <f t="shared" si="0"/>
        <v>2009</v>
      </c>
      <c r="R2" s="168">
        <f t="shared" si="0"/>
        <v>2010</v>
      </c>
      <c r="S2" s="168">
        <f t="shared" si="0"/>
        <v>2011</v>
      </c>
      <c r="T2" s="168">
        <f t="shared" si="0"/>
        <v>2012</v>
      </c>
      <c r="U2" s="168">
        <f t="shared" si="0"/>
        <v>2013</v>
      </c>
      <c r="V2" s="168">
        <f t="shared" si="0"/>
        <v>2014</v>
      </c>
      <c r="W2" s="168">
        <f t="shared" si="0"/>
        <v>2015</v>
      </c>
      <c r="X2" s="168">
        <f t="shared" si="0"/>
        <v>2016</v>
      </c>
    </row>
    <row r="3" spans="1:32" x14ac:dyDescent="0.2">
      <c r="B3" t="s">
        <v>1128</v>
      </c>
      <c r="D3" s="79">
        <v>1525</v>
      </c>
      <c r="E3" s="79">
        <v>1525</v>
      </c>
      <c r="F3" s="79">
        <v>1607</v>
      </c>
      <c r="G3" s="79">
        <v>1936</v>
      </c>
      <c r="H3" s="79">
        <v>1976</v>
      </c>
      <c r="I3" s="79">
        <v>2199</v>
      </c>
      <c r="J3" s="79">
        <v>2386</v>
      </c>
      <c r="K3" s="79">
        <v>2639</v>
      </c>
      <c r="L3" s="79">
        <v>2837</v>
      </c>
      <c r="M3" s="79">
        <v>3099</v>
      </c>
      <c r="N3" s="79">
        <v>3213</v>
      </c>
      <c r="O3" s="79">
        <v>3592</v>
      </c>
      <c r="P3" s="79">
        <v>3840</v>
      </c>
      <c r="Q3" s="79">
        <v>3848</v>
      </c>
      <c r="R3" s="79">
        <v>4117.3600000000006</v>
      </c>
      <c r="S3" s="79">
        <v>4405.5752000000011</v>
      </c>
      <c r="T3" s="79">
        <v>4713.9654640000017</v>
      </c>
      <c r="U3" s="79">
        <v>5043.9430464800025</v>
      </c>
      <c r="V3" s="79">
        <v>5397.0190597336032</v>
      </c>
      <c r="W3" s="79">
        <v>5774.810393914956</v>
      </c>
      <c r="X3" s="79">
        <v>6179.0471214890031</v>
      </c>
    </row>
    <row r="5" spans="1:32" x14ac:dyDescent="0.2">
      <c r="C5" t="s">
        <v>49</v>
      </c>
    </row>
    <row r="6" spans="1:32" x14ac:dyDescent="0.2">
      <c r="C6" t="s">
        <v>1129</v>
      </c>
    </row>
    <row r="7" spans="1:32" x14ac:dyDescent="0.2">
      <c r="C7" t="s">
        <v>1132</v>
      </c>
    </row>
    <row r="8" spans="1:32" x14ac:dyDescent="0.2">
      <c r="C8" t="s">
        <v>1131</v>
      </c>
    </row>
    <row r="10" spans="1:32" x14ac:dyDescent="0.2">
      <c r="C10" t="s">
        <v>1277</v>
      </c>
    </row>
    <row r="12" spans="1:32" x14ac:dyDescent="0.2">
      <c r="B12" s="80" t="s">
        <v>1184</v>
      </c>
    </row>
    <row r="13" spans="1:32" x14ac:dyDescent="0.2">
      <c r="B13" s="77" t="s">
        <v>76</v>
      </c>
      <c r="C13" s="91">
        <f t="shared" ref="C13:Q13" si="1">C14+C15</f>
        <v>1480</v>
      </c>
      <c r="D13" s="91">
        <f t="shared" si="1"/>
        <v>1555</v>
      </c>
      <c r="E13" s="91">
        <f t="shared" si="1"/>
        <v>1562.1699999999998</v>
      </c>
      <c r="F13" s="91">
        <f t="shared" si="1"/>
        <v>1585.3391999999999</v>
      </c>
      <c r="G13" s="91">
        <f t="shared" si="1"/>
        <v>1645.0631504999997</v>
      </c>
      <c r="H13" s="91">
        <f t="shared" si="1"/>
        <v>1618</v>
      </c>
      <c r="I13" s="91">
        <f t="shared" si="1"/>
        <v>1672</v>
      </c>
      <c r="J13" s="91">
        <f t="shared" si="1"/>
        <v>1727</v>
      </c>
      <c r="K13" s="91">
        <f t="shared" si="1"/>
        <v>1869.94</v>
      </c>
      <c r="L13" s="91">
        <f t="shared" si="1"/>
        <v>1982.6161999999999</v>
      </c>
      <c r="M13" s="91">
        <f t="shared" si="1"/>
        <v>2084.8792100000001</v>
      </c>
      <c r="N13" s="91">
        <f t="shared" si="1"/>
        <v>2151.5647748599995</v>
      </c>
      <c r="O13" s="91">
        <f t="shared" si="1"/>
        <v>2213.1244580812795</v>
      </c>
      <c r="P13" s="91">
        <f t="shared" si="1"/>
        <v>2272.1098891805782</v>
      </c>
      <c r="Q13" s="91">
        <f t="shared" si="1"/>
        <v>2332.7167171599926</v>
      </c>
      <c r="S13" s="81">
        <f t="shared" ref="S13:AF13" si="2">(D13-C13)/C13</f>
        <v>5.0675675675675678E-2</v>
      </c>
      <c r="T13" s="81">
        <f t="shared" si="2"/>
        <v>4.6109324758841453E-3</v>
      </c>
      <c r="U13" s="81">
        <f t="shared" si="2"/>
        <v>1.4831420395987664E-2</v>
      </c>
      <c r="V13" s="81">
        <f t="shared" si="2"/>
        <v>3.7672663679797852E-2</v>
      </c>
      <c r="W13" s="81">
        <f t="shared" si="2"/>
        <v>-1.6451131673440079E-2</v>
      </c>
      <c r="X13" s="81">
        <f t="shared" si="2"/>
        <v>3.3374536464771322E-2</v>
      </c>
      <c r="Y13" s="81">
        <f t="shared" si="2"/>
        <v>3.2894736842105261E-2</v>
      </c>
      <c r="Z13" s="81">
        <f t="shared" si="2"/>
        <v>8.2767805442964706E-2</v>
      </c>
      <c r="AA13" s="81">
        <f t="shared" si="2"/>
        <v>6.0256585772805481E-2</v>
      </c>
      <c r="AB13" s="81">
        <f t="shared" si="2"/>
        <v>5.1579831739496595E-2</v>
      </c>
      <c r="AC13" s="81">
        <f t="shared" si="2"/>
        <v>3.1985337347193089E-2</v>
      </c>
      <c r="AD13" s="81">
        <f t="shared" si="2"/>
        <v>2.8611587222739158E-2</v>
      </c>
      <c r="AE13" s="81">
        <f t="shared" si="2"/>
        <v>2.6652559409350844E-2</v>
      </c>
      <c r="AF13" s="81">
        <f t="shared" si="2"/>
        <v>2.6674250337985154E-2</v>
      </c>
    </row>
    <row r="14" spans="1:32" x14ac:dyDescent="0.2">
      <c r="B14" s="77" t="s">
        <v>77</v>
      </c>
      <c r="C14" s="91">
        <v>590</v>
      </c>
      <c r="D14" s="79">
        <v>605</v>
      </c>
      <c r="E14" s="92">
        <f t="shared" ref="E14:G15" si="3">D14*(1+T14)</f>
        <v>607.41999999999996</v>
      </c>
      <c r="F14" s="92">
        <f t="shared" si="3"/>
        <v>628.67969999999991</v>
      </c>
      <c r="G14" s="92">
        <f t="shared" si="3"/>
        <v>666.4004819999999</v>
      </c>
      <c r="H14" s="92">
        <v>651</v>
      </c>
      <c r="I14" s="92">
        <v>668</v>
      </c>
      <c r="J14" s="92">
        <v>683</v>
      </c>
      <c r="K14" s="92">
        <f t="shared" ref="K14:Q15" si="4">J14*(1+Z14)</f>
        <v>669.34</v>
      </c>
      <c r="L14" s="92">
        <f t="shared" si="4"/>
        <v>655.95320000000004</v>
      </c>
      <c r="M14" s="92">
        <f t="shared" si="4"/>
        <v>705.14968999999996</v>
      </c>
      <c r="N14" s="92">
        <f t="shared" si="4"/>
        <v>726.30418069999996</v>
      </c>
      <c r="O14" s="92">
        <f t="shared" si="4"/>
        <v>740.83026431399992</v>
      </c>
      <c r="P14" s="92">
        <f t="shared" si="4"/>
        <v>755.64686960027996</v>
      </c>
      <c r="Q14" s="92">
        <f t="shared" si="4"/>
        <v>770.75980699228558</v>
      </c>
      <c r="S14" s="81">
        <f>(D14-C14)/C14</f>
        <v>2.5423728813559324E-2</v>
      </c>
      <c r="T14" s="81">
        <v>4.0000000000000001E-3</v>
      </c>
      <c r="U14" s="81">
        <v>3.5000000000000003E-2</v>
      </c>
      <c r="V14" s="81">
        <v>0.06</v>
      </c>
      <c r="W14" s="81">
        <f t="shared" ref="W14:Y17" si="5">(H14-G14)/G14</f>
        <v>-2.310995027161445E-2</v>
      </c>
      <c r="X14" s="81">
        <f t="shared" si="5"/>
        <v>2.6113671274961597E-2</v>
      </c>
      <c r="Y14" s="81">
        <f t="shared" si="5"/>
        <v>2.2455089820359281E-2</v>
      </c>
      <c r="Z14" s="81">
        <v>-0.02</v>
      </c>
      <c r="AA14" s="81">
        <v>-0.02</v>
      </c>
      <c r="AB14" s="81">
        <v>7.4999999999999997E-2</v>
      </c>
      <c r="AC14" s="81">
        <v>0.03</v>
      </c>
      <c r="AD14" s="81">
        <v>0.02</v>
      </c>
      <c r="AE14" s="81">
        <v>0.02</v>
      </c>
      <c r="AF14" s="81">
        <v>0.02</v>
      </c>
    </row>
    <row r="15" spans="1:32" x14ac:dyDescent="0.2">
      <c r="B15" s="77" t="s">
        <v>78</v>
      </c>
      <c r="C15" s="91">
        <v>890</v>
      </c>
      <c r="D15" s="91">
        <v>950</v>
      </c>
      <c r="E15" s="92">
        <f t="shared" si="3"/>
        <v>954.74999999999989</v>
      </c>
      <c r="F15" s="92">
        <f t="shared" si="3"/>
        <v>956.65949999999987</v>
      </c>
      <c r="G15" s="92">
        <f t="shared" si="3"/>
        <v>978.66266849999977</v>
      </c>
      <c r="H15" s="92">
        <v>967</v>
      </c>
      <c r="I15" s="92">
        <v>1004</v>
      </c>
      <c r="J15" s="92">
        <v>1044</v>
      </c>
      <c r="K15" s="92">
        <f t="shared" si="4"/>
        <v>1200.5999999999999</v>
      </c>
      <c r="L15" s="92">
        <f t="shared" si="4"/>
        <v>1326.6629999999998</v>
      </c>
      <c r="M15" s="92">
        <f t="shared" si="4"/>
        <v>1379.7295199999999</v>
      </c>
      <c r="N15" s="92">
        <f t="shared" si="4"/>
        <v>1425.2605941599998</v>
      </c>
      <c r="O15" s="92">
        <f t="shared" si="4"/>
        <v>1472.2941937672797</v>
      </c>
      <c r="P15" s="92">
        <f t="shared" si="4"/>
        <v>1516.4630195802981</v>
      </c>
      <c r="Q15" s="92">
        <f t="shared" si="4"/>
        <v>1561.9569101677071</v>
      </c>
      <c r="S15" s="81">
        <f>(D15-C15)/C15</f>
        <v>6.741573033707865E-2</v>
      </c>
      <c r="T15" s="81">
        <v>5.0000000000000001E-3</v>
      </c>
      <c r="U15" s="81">
        <v>2E-3</v>
      </c>
      <c r="V15" s="81">
        <v>2.3E-2</v>
      </c>
      <c r="W15" s="81">
        <f t="shared" si="5"/>
        <v>-1.1916944290799593E-2</v>
      </c>
      <c r="X15" s="81">
        <f t="shared" si="5"/>
        <v>3.8262668045501554E-2</v>
      </c>
      <c r="Y15" s="81">
        <f t="shared" si="5"/>
        <v>3.9840637450199202E-2</v>
      </c>
      <c r="Z15" s="81">
        <v>0.15</v>
      </c>
      <c r="AA15" s="81">
        <v>0.105</v>
      </c>
      <c r="AB15" s="81">
        <v>0.04</v>
      </c>
      <c r="AC15" s="81">
        <v>3.3000000000000002E-2</v>
      </c>
      <c r="AD15" s="81">
        <v>3.3000000000000002E-2</v>
      </c>
      <c r="AE15" s="81">
        <v>0.03</v>
      </c>
      <c r="AF15" s="81">
        <v>0.03</v>
      </c>
    </row>
    <row r="16" spans="1:32" x14ac:dyDescent="0.2">
      <c r="B16" s="77" t="s">
        <v>79</v>
      </c>
      <c r="C16" s="91"/>
      <c r="D16" s="91"/>
      <c r="E16" s="91">
        <f t="shared" ref="E16:Q16" si="6">E17+E18</f>
        <v>2</v>
      </c>
      <c r="F16" s="91">
        <f t="shared" si="6"/>
        <v>16</v>
      </c>
      <c r="G16" s="91">
        <f t="shared" si="6"/>
        <v>29</v>
      </c>
      <c r="H16" s="91">
        <f t="shared" si="6"/>
        <v>50</v>
      </c>
      <c r="I16" s="91">
        <f t="shared" si="6"/>
        <v>80</v>
      </c>
      <c r="J16" s="91">
        <f t="shared" si="6"/>
        <v>121.4</v>
      </c>
      <c r="K16" s="91">
        <f t="shared" si="6"/>
        <v>170.94</v>
      </c>
      <c r="L16" s="91">
        <f t="shared" si="6"/>
        <v>224.36700000000002</v>
      </c>
      <c r="M16" s="91">
        <f t="shared" si="6"/>
        <v>294.00261</v>
      </c>
      <c r="N16" s="91">
        <f t="shared" si="6"/>
        <v>357.9580125</v>
      </c>
      <c r="O16" s="91">
        <f t="shared" si="6"/>
        <v>427.54533524999999</v>
      </c>
      <c r="P16" s="91">
        <f t="shared" si="6"/>
        <v>502.24154309999994</v>
      </c>
      <c r="Q16" s="91">
        <f t="shared" si="6"/>
        <v>590.14693504799993</v>
      </c>
      <c r="S16" s="81"/>
      <c r="T16" s="81"/>
      <c r="U16" s="81"/>
      <c r="V16" s="81">
        <f>(G16-F16)/F16</f>
        <v>0.8125</v>
      </c>
      <c r="W16" s="81">
        <f t="shared" si="5"/>
        <v>0.72413793103448276</v>
      </c>
      <c r="X16" s="81">
        <f t="shared" si="5"/>
        <v>0.6</v>
      </c>
      <c r="Y16" s="81">
        <f t="shared" si="5"/>
        <v>0.51750000000000007</v>
      </c>
      <c r="Z16" s="81">
        <f t="shared" ref="Z16:AF16" si="7">(K16-J16)/J16</f>
        <v>0.40807248764415149</v>
      </c>
      <c r="AA16" s="81">
        <f t="shared" si="7"/>
        <v>0.31254826254826268</v>
      </c>
      <c r="AB16" s="81">
        <f t="shared" si="7"/>
        <v>0.31036475952345927</v>
      </c>
      <c r="AC16" s="81">
        <f t="shared" si="7"/>
        <v>0.21753345148874695</v>
      </c>
      <c r="AD16" s="81">
        <f t="shared" si="7"/>
        <v>0.19440079651799944</v>
      </c>
      <c r="AE16" s="81">
        <f t="shared" si="7"/>
        <v>0.17470944410216191</v>
      </c>
      <c r="AF16" s="81">
        <f t="shared" si="7"/>
        <v>0.17502612668282874</v>
      </c>
    </row>
    <row r="17" spans="2:32" x14ac:dyDescent="0.2">
      <c r="B17" s="77" t="s">
        <v>77</v>
      </c>
      <c r="C17" s="91"/>
      <c r="D17" s="91"/>
      <c r="E17" s="92">
        <v>2</v>
      </c>
      <c r="F17" s="92">
        <v>12</v>
      </c>
      <c r="G17" s="92">
        <v>17</v>
      </c>
      <c r="H17" s="92">
        <v>33</v>
      </c>
      <c r="I17" s="92">
        <v>56</v>
      </c>
      <c r="J17" s="92">
        <v>89</v>
      </c>
      <c r="K17" s="92">
        <f t="shared" ref="K17:Q18" si="8">J17*(1+Z17)</f>
        <v>117.48</v>
      </c>
      <c r="L17" s="92">
        <f t="shared" si="8"/>
        <v>146.85</v>
      </c>
      <c r="M17" s="92">
        <f t="shared" si="8"/>
        <v>190.905</v>
      </c>
      <c r="N17" s="92">
        <f t="shared" si="8"/>
        <v>229.08599999999998</v>
      </c>
      <c r="O17" s="92">
        <f t="shared" si="8"/>
        <v>270.32147999999995</v>
      </c>
      <c r="P17" s="92">
        <f t="shared" si="8"/>
        <v>313.57291679999992</v>
      </c>
      <c r="Q17" s="92">
        <f t="shared" si="8"/>
        <v>363.74458348799988</v>
      </c>
      <c r="S17" s="81"/>
      <c r="T17" s="81"/>
      <c r="U17" s="81"/>
      <c r="V17" s="81">
        <f>(G17-F17)/F17</f>
        <v>0.41666666666666669</v>
      </c>
      <c r="W17" s="81">
        <f t="shared" si="5"/>
        <v>0.94117647058823528</v>
      </c>
      <c r="X17" s="81">
        <f t="shared" si="5"/>
        <v>0.69696969696969702</v>
      </c>
      <c r="Y17" s="81">
        <f t="shared" si="5"/>
        <v>0.5892857142857143</v>
      </c>
      <c r="Z17" s="81">
        <v>0.32</v>
      </c>
      <c r="AA17" s="81">
        <v>0.25</v>
      </c>
      <c r="AB17" s="81">
        <v>0.3</v>
      </c>
      <c r="AC17" s="81">
        <v>0.2</v>
      </c>
      <c r="AD17" s="81">
        <v>0.18</v>
      </c>
      <c r="AE17" s="81">
        <v>0.16</v>
      </c>
      <c r="AF17" s="81">
        <v>0.16</v>
      </c>
    </row>
    <row r="18" spans="2:32" x14ac:dyDescent="0.2">
      <c r="B18" s="77" t="s">
        <v>78</v>
      </c>
      <c r="C18" s="91"/>
      <c r="D18" s="91"/>
      <c r="E18" s="92"/>
      <c r="F18" s="92">
        <v>4</v>
      </c>
      <c r="G18" s="92">
        <v>12</v>
      </c>
      <c r="H18" s="92">
        <v>17</v>
      </c>
      <c r="I18" s="92">
        <v>24</v>
      </c>
      <c r="J18" s="92">
        <f>I18*(1+Y18)</f>
        <v>32.400000000000006</v>
      </c>
      <c r="K18" s="92">
        <f t="shared" si="8"/>
        <v>53.460000000000008</v>
      </c>
      <c r="L18" s="92">
        <f t="shared" si="8"/>
        <v>77.51700000000001</v>
      </c>
      <c r="M18" s="92">
        <f t="shared" si="8"/>
        <v>103.09761000000002</v>
      </c>
      <c r="N18" s="92">
        <f t="shared" si="8"/>
        <v>128.87201250000001</v>
      </c>
      <c r="O18" s="92">
        <f t="shared" si="8"/>
        <v>157.22385525000001</v>
      </c>
      <c r="P18" s="92">
        <f t="shared" si="8"/>
        <v>188.6686263</v>
      </c>
      <c r="Q18" s="92">
        <f t="shared" si="8"/>
        <v>226.40235156</v>
      </c>
      <c r="S18" s="81"/>
      <c r="T18" s="81"/>
      <c r="U18" s="81"/>
      <c r="V18" s="81">
        <v>1</v>
      </c>
      <c r="W18" s="81">
        <v>0.25</v>
      </c>
      <c r="X18" s="81">
        <f>(I18-H18)/H18</f>
        <v>0.41176470588235292</v>
      </c>
      <c r="Y18" s="81">
        <v>0.35</v>
      </c>
      <c r="Z18" s="81">
        <v>0.65</v>
      </c>
      <c r="AA18" s="81">
        <v>0.45</v>
      </c>
      <c r="AB18" s="81">
        <v>0.33</v>
      </c>
      <c r="AC18" s="81">
        <v>0.25</v>
      </c>
      <c r="AD18" s="81">
        <v>0.22</v>
      </c>
      <c r="AE18" s="81">
        <v>0.2</v>
      </c>
      <c r="AF18" s="81">
        <v>0.2</v>
      </c>
    </row>
    <row r="19" spans="2:32" x14ac:dyDescent="0.2">
      <c r="B19" s="77" t="s">
        <v>80</v>
      </c>
      <c r="C19" s="91"/>
      <c r="D19" s="91"/>
      <c r="E19" s="92"/>
      <c r="F19" s="92">
        <f t="shared" ref="F19:Q19" si="9">+F20+F21</f>
        <v>20.2</v>
      </c>
      <c r="G19" s="92">
        <f t="shared" si="9"/>
        <v>37.799999999999997</v>
      </c>
      <c r="H19" s="92">
        <f t="shared" si="9"/>
        <v>63</v>
      </c>
      <c r="I19" s="92">
        <f t="shared" si="9"/>
        <v>117.75</v>
      </c>
      <c r="J19" s="92">
        <f t="shared" si="9"/>
        <v>163.42500000000001</v>
      </c>
      <c r="K19" s="92">
        <f t="shared" si="9"/>
        <v>218.58</v>
      </c>
      <c r="L19" s="92">
        <f t="shared" si="9"/>
        <v>270.8424</v>
      </c>
      <c r="M19" s="92">
        <f t="shared" si="9"/>
        <v>357.19164000000001</v>
      </c>
      <c r="N19" s="92">
        <f t="shared" si="9"/>
        <v>437.41339200000004</v>
      </c>
      <c r="O19" s="92">
        <f t="shared" si="9"/>
        <v>516.63970800000004</v>
      </c>
      <c r="P19" s="92">
        <f t="shared" si="9"/>
        <v>610.47283284000002</v>
      </c>
      <c r="Q19" s="92">
        <f t="shared" si="9"/>
        <v>721.64836013399986</v>
      </c>
      <c r="S19" s="81"/>
      <c r="T19" s="81"/>
      <c r="U19" s="81"/>
      <c r="V19" s="81"/>
      <c r="W19" s="81">
        <f>(H19-G19)/G19</f>
        <v>0.66666666666666674</v>
      </c>
      <c r="X19" s="81">
        <f>(I19-H19)/H19</f>
        <v>0.86904761904761907</v>
      </c>
      <c r="Y19" s="81">
        <f t="shared" ref="Y19:AF19" si="10">(J19-I19)/I19</f>
        <v>0.3878980891719746</v>
      </c>
      <c r="Z19" s="81">
        <f t="shared" si="10"/>
        <v>0.33749426342358879</v>
      </c>
      <c r="AA19" s="81">
        <f t="shared" si="10"/>
        <v>0.2390996431512489</v>
      </c>
      <c r="AB19" s="81">
        <f t="shared" si="10"/>
        <v>0.31881729005502835</v>
      </c>
      <c r="AC19" s="81">
        <f t="shared" si="10"/>
        <v>0.22459022837152637</v>
      </c>
      <c r="AD19" s="81">
        <f t="shared" si="10"/>
        <v>0.18112457791415768</v>
      </c>
      <c r="AE19" s="81">
        <f t="shared" si="10"/>
        <v>0.18162197637352329</v>
      </c>
      <c r="AF19" s="81">
        <f t="shared" si="10"/>
        <v>0.18211379985051365</v>
      </c>
    </row>
    <row r="20" spans="2:32" x14ac:dyDescent="0.2">
      <c r="B20" s="77" t="s">
        <v>77</v>
      </c>
      <c r="C20" s="91"/>
      <c r="D20" s="91"/>
      <c r="E20" s="92"/>
      <c r="F20" s="92">
        <f>8.1*2</f>
        <v>16.2</v>
      </c>
      <c r="G20" s="92">
        <f>13.4*2</f>
        <v>26.8</v>
      </c>
      <c r="H20" s="92">
        <v>40</v>
      </c>
      <c r="I20" s="92">
        <f t="shared" ref="I20:Q21" si="11">H20*(1+X20)</f>
        <v>66</v>
      </c>
      <c r="J20" s="92">
        <f t="shared" si="11"/>
        <v>85.8</v>
      </c>
      <c r="K20" s="92">
        <f t="shared" si="11"/>
        <v>94.38000000000001</v>
      </c>
      <c r="L20" s="92">
        <f t="shared" si="11"/>
        <v>101.93040000000002</v>
      </c>
      <c r="M20" s="92">
        <f t="shared" si="11"/>
        <v>137.60604000000004</v>
      </c>
      <c r="N20" s="92">
        <f t="shared" si="11"/>
        <v>165.12724800000004</v>
      </c>
      <c r="O20" s="92">
        <f t="shared" si="11"/>
        <v>189.89633520000004</v>
      </c>
      <c r="P20" s="92">
        <f t="shared" si="11"/>
        <v>218.38078548000001</v>
      </c>
      <c r="Q20" s="92">
        <f t="shared" si="11"/>
        <v>251.13790330199998</v>
      </c>
      <c r="S20" s="81"/>
      <c r="T20" s="81"/>
      <c r="U20" s="81"/>
      <c r="V20" s="81">
        <f>(G20-F20)/F20</f>
        <v>0.65432098765432112</v>
      </c>
      <c r="W20" s="81">
        <f>(H20-G20)/G20</f>
        <v>0.4925373134328358</v>
      </c>
      <c r="X20" s="81">
        <v>0.65</v>
      </c>
      <c r="Y20" s="81">
        <v>0.3</v>
      </c>
      <c r="Z20" s="81">
        <v>0.1</v>
      </c>
      <c r="AA20" s="81">
        <v>0.08</v>
      </c>
      <c r="AB20" s="81">
        <v>0.35</v>
      </c>
      <c r="AC20" s="81">
        <v>0.2</v>
      </c>
      <c r="AD20" s="81">
        <v>0.15</v>
      </c>
      <c r="AE20" s="81">
        <v>0.15</v>
      </c>
      <c r="AF20" s="81">
        <v>0.15</v>
      </c>
    </row>
    <row r="21" spans="2:32" x14ac:dyDescent="0.2">
      <c r="B21" s="77" t="s">
        <v>78</v>
      </c>
      <c r="C21" s="91"/>
      <c r="D21" s="91"/>
      <c r="E21" s="92"/>
      <c r="F21" s="92">
        <v>4</v>
      </c>
      <c r="G21" s="92">
        <v>11</v>
      </c>
      <c r="H21" s="92">
        <v>23</v>
      </c>
      <c r="I21" s="92">
        <f t="shared" si="11"/>
        <v>51.75</v>
      </c>
      <c r="J21" s="92">
        <f t="shared" si="11"/>
        <v>77.625</v>
      </c>
      <c r="K21" s="92">
        <f t="shared" si="11"/>
        <v>124.2</v>
      </c>
      <c r="L21" s="92">
        <f t="shared" si="11"/>
        <v>168.91199999999998</v>
      </c>
      <c r="M21" s="92">
        <f t="shared" si="11"/>
        <v>219.58559999999997</v>
      </c>
      <c r="N21" s="92">
        <f t="shared" si="11"/>
        <v>272.28614399999998</v>
      </c>
      <c r="O21" s="92">
        <f t="shared" si="11"/>
        <v>326.74337279999997</v>
      </c>
      <c r="P21" s="92">
        <f t="shared" si="11"/>
        <v>392.09204735999998</v>
      </c>
      <c r="Q21" s="92">
        <f t="shared" si="11"/>
        <v>470.51045683199993</v>
      </c>
      <c r="S21" s="81"/>
      <c r="T21" s="81"/>
      <c r="U21" s="81"/>
      <c r="V21" s="81">
        <f>(G21-F21)/F21</f>
        <v>1.75</v>
      </c>
      <c r="W21" s="81">
        <f>(H21-G21)/G21</f>
        <v>1.0909090909090908</v>
      </c>
      <c r="X21" s="81">
        <v>1.25</v>
      </c>
      <c r="Y21" s="81">
        <v>0.5</v>
      </c>
      <c r="Z21" s="81">
        <v>0.6</v>
      </c>
      <c r="AA21" s="81">
        <v>0.36</v>
      </c>
      <c r="AB21" s="81">
        <v>0.3</v>
      </c>
      <c r="AC21" s="81">
        <v>0.24</v>
      </c>
      <c r="AD21" s="81">
        <v>0.2</v>
      </c>
      <c r="AE21" s="81">
        <v>0.2</v>
      </c>
      <c r="AF21" s="81">
        <v>0.2</v>
      </c>
    </row>
    <row r="22" spans="2:32" x14ac:dyDescent="0.2">
      <c r="B22" s="77" t="s">
        <v>81</v>
      </c>
      <c r="C22" s="91"/>
      <c r="D22" s="91"/>
      <c r="E22" s="92"/>
      <c r="F22" s="92"/>
      <c r="G22" s="92"/>
      <c r="H22" s="92">
        <f t="shared" ref="H22:Q22" si="12">SUM(H23:H24)</f>
        <v>101</v>
      </c>
      <c r="I22" s="92">
        <f t="shared" si="12"/>
        <v>355</v>
      </c>
      <c r="J22" s="92">
        <f t="shared" si="12"/>
        <v>374</v>
      </c>
      <c r="K22" s="92">
        <f t="shared" si="12"/>
        <v>379.86400000000003</v>
      </c>
      <c r="L22" s="92">
        <f t="shared" si="12"/>
        <v>361.13336000000004</v>
      </c>
      <c r="M22" s="92">
        <f t="shared" si="12"/>
        <v>401.09419600000001</v>
      </c>
      <c r="N22" s="92">
        <f t="shared" si="12"/>
        <v>421.48563884000004</v>
      </c>
      <c r="O22" s="92">
        <f t="shared" si="12"/>
        <v>442.99707664360005</v>
      </c>
      <c r="P22" s="92">
        <f t="shared" si="12"/>
        <v>465.69461281684403</v>
      </c>
      <c r="Q22" s="92">
        <f t="shared" si="12"/>
        <v>489.64848615454287</v>
      </c>
      <c r="S22" s="81"/>
      <c r="T22" s="81"/>
      <c r="U22" s="81"/>
      <c r="V22" s="81"/>
      <c r="W22" s="81"/>
      <c r="X22" s="81">
        <f t="shared" ref="X22:AF22" si="13">(I22-H22)/H22</f>
        <v>2.5148514851485149</v>
      </c>
      <c r="Y22" s="81">
        <f t="shared" si="13"/>
        <v>5.3521126760563378E-2</v>
      </c>
      <c r="Z22" s="81">
        <f t="shared" si="13"/>
        <v>1.5679144385026825E-2</v>
      </c>
      <c r="AA22" s="81">
        <f t="shared" si="13"/>
        <v>-4.9308805256618141E-2</v>
      </c>
      <c r="AB22" s="81">
        <f t="shared" si="13"/>
        <v>0.11065395896961712</v>
      </c>
      <c r="AC22" s="81">
        <f t="shared" si="13"/>
        <v>5.0839536057510105E-2</v>
      </c>
      <c r="AD22" s="81">
        <f t="shared" si="13"/>
        <v>5.1037178544927751E-2</v>
      </c>
      <c r="AE22" s="81">
        <f t="shared" si="13"/>
        <v>5.1236311411383406E-2</v>
      </c>
      <c r="AF22" s="81">
        <f t="shared" si="13"/>
        <v>5.143687016864807E-2</v>
      </c>
    </row>
    <row r="23" spans="2:32" x14ac:dyDescent="0.2">
      <c r="B23" s="77" t="s">
        <v>77</v>
      </c>
      <c r="C23" s="91"/>
      <c r="D23" s="91"/>
      <c r="E23" s="92"/>
      <c r="F23" s="92"/>
      <c r="G23" s="92"/>
      <c r="H23" s="92">
        <v>27</v>
      </c>
      <c r="I23" s="92">
        <v>195</v>
      </c>
      <c r="J23" s="92">
        <f>I23*(1+Y23)</f>
        <v>202.8</v>
      </c>
      <c r="K23" s="92">
        <v>171</v>
      </c>
      <c r="L23" s="92">
        <f t="shared" ref="L23:Q24" si="14">K23*(1+AA23)</f>
        <v>128.25</v>
      </c>
      <c r="M23" s="92">
        <f t="shared" si="14"/>
        <v>144.92249999999999</v>
      </c>
      <c r="N23" s="92">
        <f t="shared" si="14"/>
        <v>155.06707499999999</v>
      </c>
      <c r="O23" s="92">
        <f t="shared" si="14"/>
        <v>165.92177025000001</v>
      </c>
      <c r="P23" s="92">
        <f t="shared" si="14"/>
        <v>177.53629416750002</v>
      </c>
      <c r="Q23" s="92">
        <f t="shared" si="14"/>
        <v>189.96383475922502</v>
      </c>
      <c r="S23" s="81"/>
      <c r="T23" s="81"/>
      <c r="U23" s="81"/>
      <c r="V23" s="81"/>
      <c r="W23" s="81"/>
      <c r="X23" s="81"/>
      <c r="Y23" s="81">
        <v>0.04</v>
      </c>
      <c r="Z23" s="81">
        <f>(K23-J23)/J23</f>
        <v>-0.1568047337278107</v>
      </c>
      <c r="AA23" s="81">
        <v>-0.25</v>
      </c>
      <c r="AB23" s="81">
        <v>0.13</v>
      </c>
      <c r="AC23" s="81">
        <v>7.0000000000000007E-2</v>
      </c>
      <c r="AD23" s="81">
        <v>7.0000000000000007E-2</v>
      </c>
      <c r="AE23" s="81">
        <v>7.0000000000000007E-2</v>
      </c>
      <c r="AF23" s="81">
        <v>7.0000000000000007E-2</v>
      </c>
    </row>
    <row r="24" spans="2:32" x14ac:dyDescent="0.2">
      <c r="B24" s="77" t="s">
        <v>78</v>
      </c>
      <c r="C24" s="91"/>
      <c r="D24" s="91"/>
      <c r="E24" s="92"/>
      <c r="F24" s="92"/>
      <c r="G24" s="92"/>
      <c r="H24" s="92">
        <v>74</v>
      </c>
      <c r="I24" s="92">
        <v>160</v>
      </c>
      <c r="J24" s="92">
        <f>I24*(1+Y24)</f>
        <v>171.20000000000002</v>
      </c>
      <c r="K24" s="92">
        <f>J24*(1+Z24)</f>
        <v>208.864</v>
      </c>
      <c r="L24" s="92">
        <f t="shared" si="14"/>
        <v>232.88336000000001</v>
      </c>
      <c r="M24" s="92">
        <f t="shared" si="14"/>
        <v>256.17169600000005</v>
      </c>
      <c r="N24" s="92">
        <f t="shared" si="14"/>
        <v>266.41856384000005</v>
      </c>
      <c r="O24" s="92">
        <f t="shared" si="14"/>
        <v>277.07530639360004</v>
      </c>
      <c r="P24" s="92">
        <f t="shared" si="14"/>
        <v>288.15831864934404</v>
      </c>
      <c r="Q24" s="92">
        <f t="shared" si="14"/>
        <v>299.68465139531781</v>
      </c>
      <c r="S24" s="81"/>
      <c r="T24" s="81"/>
      <c r="U24" s="81"/>
      <c r="V24" s="81"/>
      <c r="W24" s="81"/>
      <c r="X24" s="81"/>
      <c r="Y24" s="81">
        <v>7.0000000000000007E-2</v>
      </c>
      <c r="Z24" s="81">
        <v>0.22</v>
      </c>
      <c r="AA24" s="81">
        <v>0.115</v>
      </c>
      <c r="AB24" s="81">
        <v>0.1</v>
      </c>
      <c r="AC24" s="81">
        <v>0.04</v>
      </c>
      <c r="AD24" s="81">
        <v>0.04</v>
      </c>
      <c r="AE24" s="81">
        <v>0.04</v>
      </c>
      <c r="AF24" s="81">
        <v>0.04</v>
      </c>
    </row>
    <row r="25" spans="2:32" x14ac:dyDescent="0.2">
      <c r="B25" s="77" t="s">
        <v>82</v>
      </c>
      <c r="C25" s="91">
        <f t="shared" ref="C25:Q25" si="15">C26+C27</f>
        <v>1480</v>
      </c>
      <c r="D25" s="91">
        <f t="shared" si="15"/>
        <v>1555</v>
      </c>
      <c r="E25" s="91">
        <f t="shared" si="15"/>
        <v>1564.1699999999998</v>
      </c>
      <c r="F25" s="91">
        <f t="shared" si="15"/>
        <v>1621.5391999999997</v>
      </c>
      <c r="G25" s="91">
        <f t="shared" si="15"/>
        <v>1711.8631504999996</v>
      </c>
      <c r="H25" s="91">
        <f t="shared" si="15"/>
        <v>1832</v>
      </c>
      <c r="I25" s="91">
        <f t="shared" si="15"/>
        <v>2224.75</v>
      </c>
      <c r="J25" s="91">
        <f t="shared" si="15"/>
        <v>2385.8249999999998</v>
      </c>
      <c r="K25" s="91">
        <f t="shared" si="15"/>
        <v>2639.3240000000001</v>
      </c>
      <c r="L25" s="91">
        <f t="shared" si="15"/>
        <v>2838.9589599999999</v>
      </c>
      <c r="M25" s="91">
        <f t="shared" si="15"/>
        <v>3137.1676559999996</v>
      </c>
      <c r="N25" s="91">
        <f t="shared" si="15"/>
        <v>3368.4218181999995</v>
      </c>
      <c r="O25" s="91">
        <f t="shared" si="15"/>
        <v>3600.3065779748795</v>
      </c>
      <c r="P25" s="91">
        <f t="shared" si="15"/>
        <v>3850.5188779374221</v>
      </c>
      <c r="Q25" s="91">
        <f t="shared" si="15"/>
        <v>4134.1604984965352</v>
      </c>
      <c r="S25" s="81">
        <f t="shared" ref="S25:AF27" si="16">(D25-C25)/C25</f>
        <v>5.0675675675675678E-2</v>
      </c>
      <c r="T25" s="81">
        <f t="shared" si="16"/>
        <v>5.8971061093246596E-3</v>
      </c>
      <c r="U25" s="81">
        <f t="shared" si="16"/>
        <v>3.667708752884908E-2</v>
      </c>
      <c r="V25" s="81">
        <f t="shared" si="16"/>
        <v>5.5702600652515789E-2</v>
      </c>
      <c r="W25" s="81">
        <f t="shared" si="16"/>
        <v>7.0179003190127029E-2</v>
      </c>
      <c r="X25" s="81">
        <f t="shared" si="16"/>
        <v>0.21438318777292575</v>
      </c>
      <c r="Y25" s="81">
        <f t="shared" si="16"/>
        <v>7.240139341499037E-2</v>
      </c>
      <c r="Z25" s="81">
        <f t="shared" si="16"/>
        <v>0.10625213500571093</v>
      </c>
      <c r="AA25" s="81">
        <f t="shared" si="16"/>
        <v>7.5638671114270112E-2</v>
      </c>
      <c r="AB25" s="81">
        <f t="shared" si="16"/>
        <v>0.10504156636346716</v>
      </c>
      <c r="AC25" s="81">
        <f t="shared" si="16"/>
        <v>7.371431417052704E-2</v>
      </c>
      <c r="AD25" s="81">
        <f t="shared" si="16"/>
        <v>6.8840772412165824E-2</v>
      </c>
      <c r="AE25" s="81">
        <f t="shared" si="16"/>
        <v>6.949749821118939E-2</v>
      </c>
      <c r="AF25" s="81">
        <f t="shared" si="16"/>
        <v>7.366322034786367E-2</v>
      </c>
    </row>
    <row r="26" spans="2:32" x14ac:dyDescent="0.2">
      <c r="B26" s="77" t="s">
        <v>77</v>
      </c>
      <c r="C26" s="91">
        <f t="shared" ref="C26:Q26" si="17">C14+C17+C20+C23</f>
        <v>590</v>
      </c>
      <c r="D26" s="91">
        <f t="shared" si="17"/>
        <v>605</v>
      </c>
      <c r="E26" s="91">
        <f t="shared" si="17"/>
        <v>609.41999999999996</v>
      </c>
      <c r="F26" s="91">
        <f t="shared" si="17"/>
        <v>656.87969999999996</v>
      </c>
      <c r="G26" s="91">
        <f t="shared" si="17"/>
        <v>710.20048199999985</v>
      </c>
      <c r="H26" s="91">
        <f t="shared" si="17"/>
        <v>751</v>
      </c>
      <c r="I26" s="91">
        <f t="shared" si="17"/>
        <v>985</v>
      </c>
      <c r="J26" s="91">
        <f t="shared" si="17"/>
        <v>1060.5999999999999</v>
      </c>
      <c r="K26" s="91">
        <f t="shared" si="17"/>
        <v>1052.2</v>
      </c>
      <c r="L26" s="91">
        <f t="shared" si="17"/>
        <v>1032.9836</v>
      </c>
      <c r="M26" s="91">
        <f t="shared" si="17"/>
        <v>1178.58323</v>
      </c>
      <c r="N26" s="91">
        <f t="shared" si="17"/>
        <v>1275.5845036999999</v>
      </c>
      <c r="O26" s="91">
        <f t="shared" si="17"/>
        <v>1366.9698497639999</v>
      </c>
      <c r="P26" s="91">
        <f t="shared" si="17"/>
        <v>1465.1368660477799</v>
      </c>
      <c r="Q26" s="91">
        <f t="shared" si="17"/>
        <v>1575.6061285415105</v>
      </c>
      <c r="R26" s="91"/>
      <c r="S26" s="81">
        <f t="shared" si="16"/>
        <v>2.5423728813559324E-2</v>
      </c>
      <c r="T26" s="81">
        <f t="shared" si="16"/>
        <v>7.3057851239668745E-3</v>
      </c>
      <c r="U26" s="81">
        <f t="shared" si="16"/>
        <v>7.7876833710741361E-2</v>
      </c>
      <c r="V26" s="81">
        <f t="shared" si="16"/>
        <v>8.1172826622591468E-2</v>
      </c>
      <c r="W26" s="81">
        <f t="shared" si="16"/>
        <v>5.7447888355558953E-2</v>
      </c>
      <c r="X26" s="81">
        <f t="shared" si="16"/>
        <v>0.31158455392809586</v>
      </c>
      <c r="Y26" s="81">
        <f t="shared" si="16"/>
        <v>7.6751269035532907E-2</v>
      </c>
      <c r="Z26" s="81">
        <f t="shared" si="16"/>
        <v>-7.9200452574013421E-3</v>
      </c>
      <c r="AA26" s="81">
        <f t="shared" si="16"/>
        <v>-1.8263067857821728E-2</v>
      </c>
      <c r="AB26" s="81">
        <f t="shared" si="16"/>
        <v>0.14095057269060218</v>
      </c>
      <c r="AC26" s="81">
        <f t="shared" si="16"/>
        <v>8.2303286887935742E-2</v>
      </c>
      <c r="AD26" s="81">
        <f t="shared" si="16"/>
        <v>7.1641938106746253E-2</v>
      </c>
      <c r="AE26" s="81">
        <f t="shared" si="16"/>
        <v>7.1813592889944114E-2</v>
      </c>
      <c r="AF26" s="81">
        <f t="shared" si="16"/>
        <v>7.5398595894813902E-2</v>
      </c>
    </row>
    <row r="27" spans="2:32" x14ac:dyDescent="0.2">
      <c r="B27" s="77" t="s">
        <v>78</v>
      </c>
      <c r="C27" s="91">
        <f t="shared" ref="C27:Q27" si="18">C15+C18+C21+C24</f>
        <v>890</v>
      </c>
      <c r="D27" s="91">
        <f t="shared" si="18"/>
        <v>950</v>
      </c>
      <c r="E27" s="91">
        <f t="shared" si="18"/>
        <v>954.74999999999989</v>
      </c>
      <c r="F27" s="91">
        <f t="shared" si="18"/>
        <v>964.65949999999987</v>
      </c>
      <c r="G27" s="91">
        <f t="shared" si="18"/>
        <v>1001.6626684999998</v>
      </c>
      <c r="H27" s="91">
        <f t="shared" si="18"/>
        <v>1081</v>
      </c>
      <c r="I27" s="91">
        <f t="shared" si="18"/>
        <v>1239.75</v>
      </c>
      <c r="J27" s="91">
        <f t="shared" si="18"/>
        <v>1325.2250000000001</v>
      </c>
      <c r="K27" s="91">
        <f t="shared" si="18"/>
        <v>1587.124</v>
      </c>
      <c r="L27" s="91">
        <f t="shared" si="18"/>
        <v>1805.9753599999999</v>
      </c>
      <c r="M27" s="91">
        <f t="shared" si="18"/>
        <v>1958.5844259999999</v>
      </c>
      <c r="N27" s="91">
        <f t="shared" si="18"/>
        <v>2092.8373144999996</v>
      </c>
      <c r="O27" s="91">
        <f t="shared" si="18"/>
        <v>2233.3367282108798</v>
      </c>
      <c r="P27" s="91">
        <f t="shared" si="18"/>
        <v>2385.3820118896419</v>
      </c>
      <c r="Q27" s="91">
        <f t="shared" si="18"/>
        <v>2558.5543699550249</v>
      </c>
      <c r="R27" s="91"/>
      <c r="S27" s="81">
        <f t="shared" si="16"/>
        <v>6.741573033707865E-2</v>
      </c>
      <c r="T27" s="81">
        <f t="shared" si="16"/>
        <v>4.9999999999998804E-3</v>
      </c>
      <c r="U27" s="81">
        <f t="shared" si="16"/>
        <v>1.0379156847342216E-2</v>
      </c>
      <c r="V27" s="81">
        <f t="shared" si="16"/>
        <v>3.8358787219739093E-2</v>
      </c>
      <c r="W27" s="81">
        <f t="shared" si="16"/>
        <v>7.9205638779379403E-2</v>
      </c>
      <c r="X27" s="81">
        <f t="shared" si="16"/>
        <v>0.14685476410730805</v>
      </c>
      <c r="Y27" s="81">
        <f t="shared" si="16"/>
        <v>6.8945351885460887E-2</v>
      </c>
      <c r="Z27" s="81">
        <f t="shared" si="16"/>
        <v>0.19762606349865106</v>
      </c>
      <c r="AA27" s="81">
        <f t="shared" si="16"/>
        <v>0.1378917841328087</v>
      </c>
      <c r="AB27" s="81">
        <f t="shared" si="16"/>
        <v>8.4502296864116686E-2</v>
      </c>
      <c r="AC27" s="81">
        <f t="shared" si="16"/>
        <v>6.8545877684825271E-2</v>
      </c>
      <c r="AD27" s="81">
        <f t="shared" si="16"/>
        <v>6.7133461706480949E-2</v>
      </c>
      <c r="AE27" s="81">
        <f t="shared" si="16"/>
        <v>6.807987427877267E-2</v>
      </c>
      <c r="AF27" s="81">
        <f t="shared" si="16"/>
        <v>7.2597327053791252E-2</v>
      </c>
    </row>
  </sheetData>
  <phoneticPr fontId="11" type="noConversion"/>
  <hyperlinks>
    <hyperlink ref="A1" location="Main!A1" display="Main" xr:uid="{00000000-0004-0000-2D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5"/>
  <sheetViews>
    <sheetView zoomScale="130" zoomScaleNormal="130" workbookViewId="0">
      <selection activeCell="C3" sqref="C3"/>
    </sheetView>
  </sheetViews>
  <sheetFormatPr defaultColWidth="8" defaultRowHeight="12.75" x14ac:dyDescent="0.2"/>
  <cols>
    <col min="1" max="1" width="5.42578125" style="38" customWidth="1"/>
    <col min="2" max="2" width="15.28515625" style="38" customWidth="1"/>
    <col min="3" max="10" width="6.42578125" style="38" customWidth="1"/>
    <col min="11" max="208" width="7.42578125" style="38" customWidth="1"/>
    <col min="209" max="16384" width="8" style="38"/>
  </cols>
  <sheetData>
    <row r="1" spans="1:3" x14ac:dyDescent="0.2">
      <c r="A1" s="5" t="s">
        <v>154</v>
      </c>
    </row>
    <row r="2" spans="1:3" x14ac:dyDescent="0.2">
      <c r="B2" s="38" t="s">
        <v>485</v>
      </c>
      <c r="C2" s="38" t="s">
        <v>1159</v>
      </c>
    </row>
    <row r="3" spans="1:3" x14ac:dyDescent="0.2">
      <c r="B3" s="38" t="s">
        <v>163</v>
      </c>
      <c r="C3" s="38" t="s">
        <v>880</v>
      </c>
    </row>
    <row r="4" spans="1:3" x14ac:dyDescent="0.2">
      <c r="C4" s="38" t="s">
        <v>881</v>
      </c>
    </row>
    <row r="5" spans="1:3" x14ac:dyDescent="0.2">
      <c r="B5" s="38" t="s">
        <v>882</v>
      </c>
      <c r="C5" s="38" t="s">
        <v>892</v>
      </c>
    </row>
  </sheetData>
  <phoneticPr fontId="11" type="noConversion"/>
  <hyperlinks>
    <hyperlink ref="A1" location="Main!A1" display="Main" xr:uid="{00000000-0004-0000-14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F33"/>
  <sheetViews>
    <sheetView zoomScale="115" zoomScaleNormal="130"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8.85546875" defaultRowHeight="12.75" x14ac:dyDescent="0.2"/>
  <cols>
    <col min="1" max="1" width="5" customWidth="1"/>
    <col min="2" max="2" width="27" bestFit="1" customWidth="1"/>
    <col min="3" max="4" width="10.140625" style="76" customWidth="1"/>
  </cols>
  <sheetData>
    <row r="1" spans="1:6" x14ac:dyDescent="0.2">
      <c r="A1" s="2" t="s">
        <v>154</v>
      </c>
    </row>
    <row r="2" spans="1:6" x14ac:dyDescent="0.2">
      <c r="A2" s="2"/>
      <c r="B2" t="s">
        <v>158</v>
      </c>
      <c r="C2" s="76" t="s">
        <v>156</v>
      </c>
      <c r="D2" s="76" t="s">
        <v>1115</v>
      </c>
      <c r="E2" t="s">
        <v>117</v>
      </c>
    </row>
    <row r="3" spans="1:6" x14ac:dyDescent="0.2">
      <c r="A3" s="2"/>
      <c r="B3" t="s">
        <v>1493</v>
      </c>
      <c r="E3" t="s">
        <v>1494</v>
      </c>
    </row>
    <row r="4" spans="1:6" x14ac:dyDescent="0.2">
      <c r="A4" s="2"/>
      <c r="B4" t="s">
        <v>1390</v>
      </c>
      <c r="C4" s="163">
        <v>40330</v>
      </c>
      <c r="E4" t="s">
        <v>1391</v>
      </c>
    </row>
    <row r="5" spans="1:6" x14ac:dyDescent="0.2">
      <c r="A5" s="2"/>
      <c r="B5" t="s">
        <v>1292</v>
      </c>
      <c r="C5" s="163">
        <v>40096</v>
      </c>
      <c r="D5" s="234" t="s">
        <v>1293</v>
      </c>
      <c r="E5" t="s">
        <v>1294</v>
      </c>
    </row>
    <row r="6" spans="1:6" x14ac:dyDescent="0.2">
      <c r="A6" s="2"/>
      <c r="B6" t="s">
        <v>1113</v>
      </c>
      <c r="D6" s="76" t="s">
        <v>1121</v>
      </c>
      <c r="E6" t="s">
        <v>1122</v>
      </c>
    </row>
    <row r="7" spans="1:6" x14ac:dyDescent="0.2">
      <c r="A7" s="2"/>
      <c r="B7" t="s">
        <v>1114</v>
      </c>
    </row>
    <row r="8" spans="1:6" x14ac:dyDescent="0.2">
      <c r="A8" s="2"/>
      <c r="B8" t="s">
        <v>1112</v>
      </c>
    </row>
    <row r="9" spans="1:6" x14ac:dyDescent="0.2">
      <c r="A9" s="2"/>
      <c r="B9" t="s">
        <v>885</v>
      </c>
      <c r="E9" t="s">
        <v>886</v>
      </c>
    </row>
    <row r="10" spans="1:6" x14ac:dyDescent="0.2">
      <c r="A10" s="2"/>
      <c r="B10" t="s">
        <v>1130</v>
      </c>
    </row>
    <row r="11" spans="1:6" x14ac:dyDescent="0.2">
      <c r="A11" s="2"/>
      <c r="B11" t="s">
        <v>50</v>
      </c>
      <c r="C11" s="163">
        <v>39114</v>
      </c>
      <c r="D11" s="163"/>
      <c r="E11" t="s">
        <v>51</v>
      </c>
    </row>
    <row r="12" spans="1:6" x14ac:dyDescent="0.2">
      <c r="A12" s="2"/>
      <c r="B12" s="1" t="s">
        <v>52</v>
      </c>
      <c r="C12" s="165">
        <v>39071</v>
      </c>
      <c r="D12" s="165"/>
      <c r="E12" s="1"/>
      <c r="F12" s="1"/>
    </row>
    <row r="13" spans="1:6" x14ac:dyDescent="0.2">
      <c r="A13" s="2"/>
      <c r="B13" t="s">
        <v>53</v>
      </c>
      <c r="C13" s="76" t="s">
        <v>54</v>
      </c>
      <c r="E13" t="s">
        <v>55</v>
      </c>
    </row>
    <row r="14" spans="1:6" x14ac:dyDescent="0.2">
      <c r="A14" s="2"/>
      <c r="B14" t="s">
        <v>56</v>
      </c>
      <c r="D14" s="76" t="s">
        <v>1295</v>
      </c>
      <c r="E14" t="s">
        <v>1296</v>
      </c>
    </row>
    <row r="15" spans="1:6" x14ac:dyDescent="0.2">
      <c r="A15" s="2"/>
      <c r="B15" t="s">
        <v>57</v>
      </c>
      <c r="C15" s="76" t="s">
        <v>58</v>
      </c>
      <c r="E15" t="s">
        <v>59</v>
      </c>
    </row>
    <row r="16" spans="1:6" x14ac:dyDescent="0.2">
      <c r="A16" s="2"/>
      <c r="B16" t="s">
        <v>60</v>
      </c>
      <c r="E16" t="s">
        <v>61</v>
      </c>
    </row>
    <row r="17" spans="2:6" x14ac:dyDescent="0.2">
      <c r="B17" t="s">
        <v>1118</v>
      </c>
      <c r="C17" s="163">
        <v>38769</v>
      </c>
      <c r="D17" s="163" t="s">
        <v>1120</v>
      </c>
      <c r="E17" t="s">
        <v>1119</v>
      </c>
    </row>
    <row r="18" spans="2:6" x14ac:dyDescent="0.2">
      <c r="B18" t="s">
        <v>62</v>
      </c>
      <c r="E18" t="s">
        <v>63</v>
      </c>
    </row>
    <row r="19" spans="2:6" x14ac:dyDescent="0.2">
      <c r="B19" t="s">
        <v>64</v>
      </c>
      <c r="E19" t="s">
        <v>65</v>
      </c>
    </row>
    <row r="20" spans="2:6" x14ac:dyDescent="0.2">
      <c r="B20" s="1" t="s">
        <v>112</v>
      </c>
      <c r="C20" s="166" t="s">
        <v>116</v>
      </c>
      <c r="D20" s="166"/>
      <c r="E20" s="1" t="s">
        <v>113</v>
      </c>
      <c r="F20" s="1"/>
    </row>
    <row r="21" spans="2:6" x14ac:dyDescent="0.2">
      <c r="B21" t="s">
        <v>66</v>
      </c>
      <c r="E21" t="s">
        <v>67</v>
      </c>
    </row>
    <row r="22" spans="2:6" x14ac:dyDescent="0.2">
      <c r="B22" t="s">
        <v>68</v>
      </c>
      <c r="C22" s="76">
        <v>2005</v>
      </c>
      <c r="D22" s="76" t="s">
        <v>1116</v>
      </c>
      <c r="E22" t="s">
        <v>1111</v>
      </c>
    </row>
    <row r="23" spans="2:6" x14ac:dyDescent="0.2">
      <c r="B23" t="s">
        <v>69</v>
      </c>
      <c r="C23" s="76">
        <v>2005</v>
      </c>
      <c r="E23" t="s">
        <v>1126</v>
      </c>
    </row>
    <row r="24" spans="2:6" x14ac:dyDescent="0.2">
      <c r="B24" t="s">
        <v>70</v>
      </c>
      <c r="E24" t="s">
        <v>71</v>
      </c>
    </row>
    <row r="25" spans="2:6" x14ac:dyDescent="0.2">
      <c r="B25" t="s">
        <v>108</v>
      </c>
      <c r="C25" s="164">
        <v>37653</v>
      </c>
      <c r="D25" s="164"/>
      <c r="E25" t="s">
        <v>111</v>
      </c>
    </row>
    <row r="26" spans="2:6" x14ac:dyDescent="0.2">
      <c r="B26" t="s">
        <v>109</v>
      </c>
      <c r="C26" s="164">
        <v>37712</v>
      </c>
      <c r="D26" s="164"/>
      <c r="E26" t="s">
        <v>110</v>
      </c>
    </row>
    <row r="27" spans="2:6" x14ac:dyDescent="0.2">
      <c r="B27" s="1" t="s">
        <v>114</v>
      </c>
      <c r="C27" s="166"/>
      <c r="D27" s="166"/>
      <c r="E27" s="1"/>
    </row>
    <row r="28" spans="2:6" x14ac:dyDescent="0.2">
      <c r="B28" t="s">
        <v>118</v>
      </c>
    </row>
    <row r="29" spans="2:6" x14ac:dyDescent="0.2">
      <c r="B29" t="s">
        <v>436</v>
      </c>
      <c r="C29" s="76">
        <v>2002</v>
      </c>
      <c r="E29" t="s">
        <v>1125</v>
      </c>
    </row>
    <row r="30" spans="2:6" x14ac:dyDescent="0.2">
      <c r="B30" s="1" t="s">
        <v>119</v>
      </c>
      <c r="C30" s="166"/>
      <c r="D30" s="166"/>
      <c r="E30" s="1"/>
    </row>
    <row r="31" spans="2:6" x14ac:dyDescent="0.2">
      <c r="B31" t="s">
        <v>1306</v>
      </c>
    </row>
    <row r="32" spans="2:6" x14ac:dyDescent="0.2">
      <c r="B32" t="s">
        <v>1307</v>
      </c>
    </row>
    <row r="33" spans="2:2" x14ac:dyDescent="0.2">
      <c r="B33" t="s">
        <v>1308</v>
      </c>
    </row>
  </sheetData>
  <phoneticPr fontId="11" type="noConversion"/>
  <hyperlinks>
    <hyperlink ref="A1" location="Main!A1" display="Main" xr:uid="{00000000-0004-0000-2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8.85546875" defaultRowHeight="12.75" x14ac:dyDescent="0.2"/>
  <cols>
    <col min="1" max="1" width="5" bestFit="1" customWidth="1"/>
    <col min="2" max="2" width="9.140625" style="76"/>
    <col min="3" max="3" width="28.42578125" customWidth="1"/>
    <col min="4" max="4" width="18.42578125" customWidth="1"/>
    <col min="5" max="5" width="10.140625" bestFit="1" customWidth="1"/>
    <col min="6" max="6" width="9.85546875" customWidth="1"/>
    <col min="7" max="7" width="17.85546875" customWidth="1"/>
  </cols>
  <sheetData>
    <row r="1" spans="1:8" x14ac:dyDescent="0.2">
      <c r="A1" s="116" t="s">
        <v>154</v>
      </c>
    </row>
    <row r="2" spans="1:8" x14ac:dyDescent="0.2">
      <c r="A2" s="116"/>
      <c r="B2" s="76" t="s">
        <v>1702</v>
      </c>
      <c r="C2" t="s">
        <v>1703</v>
      </c>
      <c r="D2" t="s">
        <v>1704</v>
      </c>
      <c r="E2" t="s">
        <v>72</v>
      </c>
      <c r="F2" t="s">
        <v>1356</v>
      </c>
      <c r="G2" t="s">
        <v>1706</v>
      </c>
      <c r="H2" t="s">
        <v>1708</v>
      </c>
    </row>
    <row r="3" spans="1:8" x14ac:dyDescent="0.2">
      <c r="A3" s="116"/>
      <c r="B3" s="76">
        <v>11384122</v>
      </c>
      <c r="C3" t="s">
        <v>1701</v>
      </c>
      <c r="H3">
        <v>1</v>
      </c>
    </row>
    <row r="4" spans="1:8" x14ac:dyDescent="0.2">
      <c r="A4" s="116"/>
      <c r="B4" s="76">
        <v>11384099</v>
      </c>
      <c r="C4" t="s">
        <v>1705</v>
      </c>
      <c r="D4" t="s">
        <v>1707</v>
      </c>
      <c r="E4" s="305">
        <v>43427</v>
      </c>
      <c r="F4" s="305">
        <v>44754</v>
      </c>
      <c r="G4" t="s">
        <v>1709</v>
      </c>
      <c r="H4">
        <v>3</v>
      </c>
    </row>
    <row r="5" spans="1:8" x14ac:dyDescent="0.2">
      <c r="A5" s="116"/>
      <c r="B5" s="76">
        <v>11384075</v>
      </c>
      <c r="C5" t="s">
        <v>1710</v>
      </c>
      <c r="D5" t="s">
        <v>1707</v>
      </c>
      <c r="E5" s="305">
        <v>43277</v>
      </c>
      <c r="F5" s="305">
        <v>44754</v>
      </c>
      <c r="G5" t="s">
        <v>1709</v>
      </c>
      <c r="H5">
        <v>3</v>
      </c>
    </row>
    <row r="6" spans="1:8" x14ac:dyDescent="0.2">
      <c r="A6" s="116"/>
      <c r="B6" s="76">
        <v>11377640</v>
      </c>
      <c r="C6" t="s">
        <v>1711</v>
      </c>
      <c r="E6" s="305"/>
      <c r="F6" s="305"/>
      <c r="H6">
        <v>1</v>
      </c>
    </row>
    <row r="7" spans="1:8" x14ac:dyDescent="0.2">
      <c r="A7" s="116"/>
      <c r="B7" s="76" t="s">
        <v>1712</v>
      </c>
      <c r="C7" t="s">
        <v>1713</v>
      </c>
      <c r="E7" s="305"/>
      <c r="F7" s="305"/>
      <c r="H7">
        <v>1</v>
      </c>
    </row>
    <row r="8" spans="1:8" x14ac:dyDescent="0.2">
      <c r="A8" s="116"/>
      <c r="B8" s="76">
        <v>11369642</v>
      </c>
      <c r="C8" t="s">
        <v>1714</v>
      </c>
      <c r="D8" t="s">
        <v>1715</v>
      </c>
      <c r="E8" s="305">
        <v>43690</v>
      </c>
      <c r="F8" s="305">
        <v>44740</v>
      </c>
      <c r="G8" t="s">
        <v>1716</v>
      </c>
      <c r="H8">
        <v>2</v>
      </c>
    </row>
    <row r="9" spans="1:8" x14ac:dyDescent="0.2">
      <c r="A9" s="116"/>
      <c r="B9" s="76">
        <v>11369612</v>
      </c>
      <c r="C9" t="s">
        <v>1717</v>
      </c>
      <c r="D9" t="s">
        <v>1718</v>
      </c>
      <c r="E9" s="305">
        <v>43438</v>
      </c>
      <c r="F9" s="305">
        <v>44740</v>
      </c>
      <c r="G9" t="s">
        <v>1719</v>
      </c>
      <c r="H9">
        <v>3</v>
      </c>
    </row>
    <row r="10" spans="1:8" x14ac:dyDescent="0.2">
      <c r="A10" s="116"/>
      <c r="B10" s="76">
        <v>11369606</v>
      </c>
      <c r="C10" t="s">
        <v>1720</v>
      </c>
      <c r="D10" t="s">
        <v>1707</v>
      </c>
      <c r="E10" s="305">
        <v>43818</v>
      </c>
      <c r="F10" s="305">
        <v>44740</v>
      </c>
      <c r="G10" t="s">
        <v>1721</v>
      </c>
      <c r="H10">
        <v>3</v>
      </c>
    </row>
    <row r="11" spans="1:8" x14ac:dyDescent="0.2">
      <c r="A11" s="116"/>
      <c r="B11" s="76">
        <v>11365244</v>
      </c>
      <c r="C11" t="s">
        <v>1722</v>
      </c>
      <c r="D11" t="s">
        <v>1715</v>
      </c>
      <c r="E11" s="305">
        <v>44049</v>
      </c>
      <c r="F11" s="305">
        <v>44733</v>
      </c>
      <c r="G11" t="s">
        <v>1723</v>
      </c>
      <c r="H11">
        <v>4</v>
      </c>
    </row>
    <row r="12" spans="1:8" x14ac:dyDescent="0.2">
      <c r="A12" s="116"/>
      <c r="B12" s="76">
        <v>11365222</v>
      </c>
      <c r="C12" t="s">
        <v>1724</v>
      </c>
      <c r="D12" t="s">
        <v>1725</v>
      </c>
      <c r="E12" s="305">
        <v>44056</v>
      </c>
      <c r="F12" s="305">
        <v>44733</v>
      </c>
      <c r="G12" t="s">
        <v>1726</v>
      </c>
      <c r="H12">
        <v>3</v>
      </c>
    </row>
    <row r="13" spans="1:8" x14ac:dyDescent="0.2">
      <c r="A13" s="116"/>
      <c r="B13" s="76">
        <v>11364310</v>
      </c>
      <c r="C13" t="s">
        <v>1727</v>
      </c>
      <c r="D13" t="s">
        <v>1728</v>
      </c>
      <c r="E13" s="305">
        <v>42950</v>
      </c>
      <c r="F13" s="305">
        <v>44733</v>
      </c>
      <c r="H13">
        <v>2</v>
      </c>
    </row>
    <row r="14" spans="1:8" x14ac:dyDescent="0.2">
      <c r="A14" s="116"/>
      <c r="B14" s="76">
        <v>11359029</v>
      </c>
      <c r="C14" t="s">
        <v>1729</v>
      </c>
      <c r="D14" t="s">
        <v>1730</v>
      </c>
      <c r="E14" s="305">
        <v>43927</v>
      </c>
      <c r="F14" s="305">
        <v>44726</v>
      </c>
      <c r="G14" t="s">
        <v>1731</v>
      </c>
      <c r="H14">
        <v>4</v>
      </c>
    </row>
    <row r="15" spans="1:8" x14ac:dyDescent="0.2">
      <c r="A15" s="116"/>
      <c r="B15" s="76">
        <v>11345739</v>
      </c>
      <c r="C15" t="s">
        <v>1732</v>
      </c>
      <c r="E15" s="305"/>
      <c r="F15" s="305"/>
    </row>
    <row r="16" spans="1:8" x14ac:dyDescent="0.2">
      <c r="B16" s="76">
        <v>8785605</v>
      </c>
      <c r="C16" t="s">
        <v>1631</v>
      </c>
    </row>
    <row r="17" spans="2:3" x14ac:dyDescent="0.2">
      <c r="B17" s="76">
        <v>8785486</v>
      </c>
      <c r="C17" t="s">
        <v>1632</v>
      </c>
    </row>
    <row r="18" spans="2:3" x14ac:dyDescent="0.2">
      <c r="B18" s="76">
        <v>8784810</v>
      </c>
      <c r="C18" t="s">
        <v>1633</v>
      </c>
    </row>
    <row r="19" spans="2:3" x14ac:dyDescent="0.2">
      <c r="B19" s="76">
        <v>8779158</v>
      </c>
      <c r="C19" t="s">
        <v>1634</v>
      </c>
    </row>
    <row r="20" spans="2:3" x14ac:dyDescent="0.2">
      <c r="B20" s="76">
        <v>8778966</v>
      </c>
      <c r="C20" t="s">
        <v>1635</v>
      </c>
    </row>
    <row r="21" spans="2:3" x14ac:dyDescent="0.2">
      <c r="B21" s="76">
        <v>8778956</v>
      </c>
      <c r="C21" t="s">
        <v>1636</v>
      </c>
    </row>
    <row r="22" spans="2:3" x14ac:dyDescent="0.2">
      <c r="B22" s="76">
        <v>8778920</v>
      </c>
      <c r="C22" t="s">
        <v>1637</v>
      </c>
    </row>
    <row r="23" spans="2:3" x14ac:dyDescent="0.2">
      <c r="B23" s="76">
        <v>8778919</v>
      </c>
      <c r="C23" t="s">
        <v>1638</v>
      </c>
    </row>
    <row r="24" spans="2:3" x14ac:dyDescent="0.2">
      <c r="B24" s="76">
        <v>8772504</v>
      </c>
      <c r="C24" t="s">
        <v>1639</v>
      </c>
    </row>
    <row r="25" spans="2:3" x14ac:dyDescent="0.2">
      <c r="B25" s="76">
        <v>8772494</v>
      </c>
      <c r="C25" t="s">
        <v>1640</v>
      </c>
    </row>
    <row r="26" spans="2:3" x14ac:dyDescent="0.2">
      <c r="B26" s="76">
        <v>8772325</v>
      </c>
      <c r="C26" t="s">
        <v>1641</v>
      </c>
    </row>
  </sheetData>
  <hyperlinks>
    <hyperlink ref="A1" location="Main!A1" display="Main" xr:uid="{00000000-0004-0000-00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9"/>
  <sheetViews>
    <sheetView zoomScale="115" zoomScaleNormal="130" workbookViewId="0">
      <selection activeCell="C11" sqref="C11"/>
    </sheetView>
  </sheetViews>
  <sheetFormatPr defaultColWidth="9.140625" defaultRowHeight="12.75" x14ac:dyDescent="0.2"/>
  <cols>
    <col min="1" max="1" width="5" style="93" customWidth="1"/>
    <col min="2" max="2" width="17.7109375" style="93" customWidth="1"/>
    <col min="3" max="3" width="9.85546875" style="94" customWidth="1"/>
    <col min="4" max="16384" width="9.140625" style="93"/>
  </cols>
  <sheetData>
    <row r="1" spans="1:3" x14ac:dyDescent="0.2">
      <c r="A1" s="5" t="s">
        <v>154</v>
      </c>
    </row>
    <row r="2" spans="1:3" x14ac:dyDescent="0.2">
      <c r="B2" s="93" t="s">
        <v>485</v>
      </c>
      <c r="C2" s="94" t="s">
        <v>204</v>
      </c>
    </row>
    <row r="3" spans="1:3" x14ac:dyDescent="0.2">
      <c r="B3" s="93" t="s">
        <v>486</v>
      </c>
      <c r="C3" s="94" t="s">
        <v>1143</v>
      </c>
    </row>
    <row r="4" spans="1:3" x14ac:dyDescent="0.2">
      <c r="B4" s="93" t="s">
        <v>495</v>
      </c>
      <c r="C4" s="94" t="s">
        <v>1144</v>
      </c>
    </row>
    <row r="5" spans="1:3" x14ac:dyDescent="0.2">
      <c r="B5" s="93" t="s">
        <v>488</v>
      </c>
      <c r="C5" s="169" t="s">
        <v>1145</v>
      </c>
    </row>
    <row r="6" spans="1:3" x14ac:dyDescent="0.2">
      <c r="B6" s="93" t="s">
        <v>489</v>
      </c>
      <c r="C6" s="94" t="s">
        <v>784</v>
      </c>
    </row>
    <row r="7" spans="1:3" x14ac:dyDescent="0.2">
      <c r="C7" s="94" t="s">
        <v>785</v>
      </c>
    </row>
    <row r="8" spans="1:3" x14ac:dyDescent="0.2">
      <c r="C8" s="94" t="s">
        <v>786</v>
      </c>
    </row>
    <row r="9" spans="1:3" x14ac:dyDescent="0.2">
      <c r="B9" s="93" t="s">
        <v>163</v>
      </c>
      <c r="C9" s="115" t="s">
        <v>1182</v>
      </c>
    </row>
    <row r="10" spans="1:3" x14ac:dyDescent="0.2">
      <c r="C10" s="31" t="s">
        <v>1183</v>
      </c>
    </row>
    <row r="11" spans="1:3" x14ac:dyDescent="0.2">
      <c r="B11" s="93" t="s">
        <v>768</v>
      </c>
      <c r="C11" s="31" t="s">
        <v>220</v>
      </c>
    </row>
    <row r="12" spans="1:3" x14ac:dyDescent="0.2">
      <c r="B12" s="93" t="s">
        <v>165</v>
      </c>
      <c r="C12" s="94" t="s">
        <v>678</v>
      </c>
    </row>
    <row r="13" spans="1:3" x14ac:dyDescent="0.2">
      <c r="B13" s="93" t="s">
        <v>531</v>
      </c>
    </row>
    <row r="14" spans="1:3" x14ac:dyDescent="0.2">
      <c r="C14" s="32" t="s">
        <v>559</v>
      </c>
    </row>
    <row r="15" spans="1:3" x14ac:dyDescent="0.2">
      <c r="C15" s="94" t="s">
        <v>560</v>
      </c>
    </row>
    <row r="16" spans="1:3" x14ac:dyDescent="0.2">
      <c r="C16" s="94" t="s">
        <v>561</v>
      </c>
    </row>
    <row r="18" spans="3:3" x14ac:dyDescent="0.2">
      <c r="C18" s="32" t="s">
        <v>557</v>
      </c>
    </row>
    <row r="19" spans="3:3" x14ac:dyDescent="0.2">
      <c r="C19" s="94" t="s">
        <v>558</v>
      </c>
    </row>
    <row r="21" spans="3:3" x14ac:dyDescent="0.2">
      <c r="C21" s="32" t="s">
        <v>150</v>
      </c>
    </row>
    <row r="22" spans="3:3" x14ac:dyDescent="0.2">
      <c r="C22" s="93" t="s">
        <v>562</v>
      </c>
    </row>
    <row r="23" spans="3:3" x14ac:dyDescent="0.2">
      <c r="C23" s="93" t="s">
        <v>794</v>
      </c>
    </row>
    <row r="24" spans="3:3" x14ac:dyDescent="0.2">
      <c r="C24" s="93" t="s">
        <v>795</v>
      </c>
    </row>
    <row r="25" spans="3:3" x14ac:dyDescent="0.2">
      <c r="C25" s="93" t="s">
        <v>556</v>
      </c>
    </row>
    <row r="26" spans="3:3" x14ac:dyDescent="0.2">
      <c r="C26" s="93" t="s">
        <v>796</v>
      </c>
    </row>
    <row r="28" spans="3:3" x14ac:dyDescent="0.2">
      <c r="C28" s="32" t="s">
        <v>800</v>
      </c>
    </row>
    <row r="29" spans="3:3" x14ac:dyDescent="0.2">
      <c r="C29" s="94" t="s">
        <v>151</v>
      </c>
    </row>
    <row r="30" spans="3:3" x14ac:dyDescent="0.2">
      <c r="C30" s="94" t="s">
        <v>801</v>
      </c>
    </row>
    <row r="32" spans="3:3" x14ac:dyDescent="0.2">
      <c r="C32" s="32" t="s">
        <v>797</v>
      </c>
    </row>
    <row r="33" spans="2:12" x14ac:dyDescent="0.2">
      <c r="C33" s="94" t="s">
        <v>798</v>
      </c>
    </row>
    <row r="34" spans="2:12" x14ac:dyDescent="0.2">
      <c r="C34" s="94" t="s">
        <v>799</v>
      </c>
    </row>
    <row r="36" spans="2:12" x14ac:dyDescent="0.2">
      <c r="C36" s="32" t="s">
        <v>149</v>
      </c>
    </row>
    <row r="37" spans="2:12" x14ac:dyDescent="0.2">
      <c r="C37" s="94" t="s">
        <v>787</v>
      </c>
    </row>
    <row r="38" spans="2:12" x14ac:dyDescent="0.2">
      <c r="C38" s="94" t="s">
        <v>788</v>
      </c>
    </row>
    <row r="39" spans="2:12" x14ac:dyDescent="0.2">
      <c r="C39" s="94" t="s">
        <v>789</v>
      </c>
    </row>
    <row r="40" spans="2:12" x14ac:dyDescent="0.2">
      <c r="C40" s="94" t="s">
        <v>790</v>
      </c>
    </row>
    <row r="41" spans="2:12" x14ac:dyDescent="0.2">
      <c r="C41" s="94" t="s">
        <v>792</v>
      </c>
    </row>
    <row r="42" spans="2:12" x14ac:dyDescent="0.2">
      <c r="C42" s="94" t="s">
        <v>793</v>
      </c>
    </row>
    <row r="45" spans="2:12" x14ac:dyDescent="0.2">
      <c r="B45" s="101" t="s">
        <v>152</v>
      </c>
      <c r="C45" s="99">
        <v>2000</v>
      </c>
      <c r="D45" s="99">
        <v>2001</v>
      </c>
      <c r="E45" s="99">
        <v>2002</v>
      </c>
      <c r="F45" s="99">
        <v>2003</v>
      </c>
      <c r="G45" s="99">
        <v>2004</v>
      </c>
      <c r="H45" s="99">
        <v>2005</v>
      </c>
      <c r="I45" s="99">
        <v>2006</v>
      </c>
      <c r="J45" s="99">
        <v>2007</v>
      </c>
      <c r="K45" s="99">
        <v>2008</v>
      </c>
      <c r="L45" s="95"/>
    </row>
    <row r="46" spans="2:12" s="96" customFormat="1" ht="12.6" customHeight="1" x14ac:dyDescent="0.2">
      <c r="B46" s="96" t="s">
        <v>364</v>
      </c>
      <c r="D46" s="97" t="e">
        <f>#REF!</f>
        <v>#REF!</v>
      </c>
      <c r="E46" s="97" t="e">
        <f>#REF!</f>
        <v>#REF!</v>
      </c>
      <c r="F46" s="97" t="e">
        <f>#REF!</f>
        <v>#REF!</v>
      </c>
      <c r="G46" s="97" t="e">
        <f>#REF!</f>
        <v>#REF!</v>
      </c>
      <c r="H46" s="97" t="e">
        <f>#REF!</f>
        <v>#REF!</v>
      </c>
      <c r="I46" s="97"/>
      <c r="J46" s="97"/>
      <c r="K46" s="97"/>
      <c r="L46" s="98"/>
    </row>
    <row r="47" spans="2:12" x14ac:dyDescent="0.2">
      <c r="B47" s="93" t="s">
        <v>365</v>
      </c>
      <c r="C47" s="93"/>
      <c r="D47" s="97" t="e">
        <f>#REF!</f>
        <v>#REF!</v>
      </c>
      <c r="E47" s="97" t="e">
        <f>#REF!</f>
        <v>#REF!</v>
      </c>
      <c r="F47" s="97" t="e">
        <f>#REF!</f>
        <v>#REF!</v>
      </c>
      <c r="G47" s="97" t="e">
        <f>#REF!</f>
        <v>#REF!</v>
      </c>
      <c r="H47" s="97" t="e">
        <f>#REF!</f>
        <v>#REF!</v>
      </c>
      <c r="I47" s="97"/>
      <c r="J47" s="97"/>
      <c r="K47" s="97"/>
      <c r="L47" s="95"/>
    </row>
    <row r="48" spans="2:12" x14ac:dyDescent="0.2">
      <c r="B48" s="9" t="s">
        <v>363</v>
      </c>
      <c r="C48" s="100">
        <v>1089</v>
      </c>
      <c r="D48" s="100">
        <v>1052.3</v>
      </c>
      <c r="E48" s="100">
        <v>1032.2</v>
      </c>
      <c r="F48" s="100">
        <v>1149.4000000000001</v>
      </c>
      <c r="G48" s="100">
        <v>1296</v>
      </c>
      <c r="H48" s="100">
        <v>1492</v>
      </c>
      <c r="I48" s="100">
        <v>1529</v>
      </c>
      <c r="J48" s="100">
        <v>1646</v>
      </c>
      <c r="K48" s="95"/>
      <c r="L48" s="95"/>
    </row>
    <row r="49" spans="3:12" x14ac:dyDescent="0.2">
      <c r="C49" s="95"/>
      <c r="D49" s="95"/>
      <c r="E49" s="95"/>
      <c r="F49" s="95"/>
      <c r="G49" s="95"/>
      <c r="H49" s="95"/>
      <c r="I49" s="95"/>
      <c r="J49" s="95"/>
      <c r="K49" s="95"/>
      <c r="L49" s="95"/>
    </row>
  </sheetData>
  <phoneticPr fontId="11" type="noConversion"/>
  <hyperlinks>
    <hyperlink ref="A1" location="Main!A1" display="Main" xr:uid="{00000000-0004-0000-0D00-000000000000}"/>
    <hyperlink ref="C5" r:id="rId1" xr:uid="{00000000-0004-0000-0D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45"/>
  <sheetViews>
    <sheetView zoomScale="110" zoomScaleNormal="110" workbookViewId="0"/>
  </sheetViews>
  <sheetFormatPr defaultColWidth="9.140625" defaultRowHeight="12.75" x14ac:dyDescent="0.2"/>
  <cols>
    <col min="1" max="1" width="5.42578125" style="4" customWidth="1"/>
    <col min="2" max="2" width="13.42578125" style="4" customWidth="1"/>
    <col min="3" max="3" width="7" style="6" customWidth="1"/>
    <col min="4" max="12" width="5.28515625" style="6" customWidth="1"/>
    <col min="13" max="18" width="5.28515625" style="4" customWidth="1"/>
    <col min="19" max="16384" width="9.140625" style="4"/>
  </cols>
  <sheetData>
    <row r="1" spans="1:15" x14ac:dyDescent="0.2">
      <c r="A1" s="5" t="s">
        <v>154</v>
      </c>
    </row>
    <row r="2" spans="1:15" x14ac:dyDescent="0.2">
      <c r="A2" s="5"/>
      <c r="B2" s="4" t="s">
        <v>485</v>
      </c>
      <c r="C2" s="4" t="s">
        <v>767</v>
      </c>
    </row>
    <row r="3" spans="1:15" x14ac:dyDescent="0.2">
      <c r="A3" s="5"/>
      <c r="B3" s="4" t="s">
        <v>486</v>
      </c>
      <c r="C3" s="4" t="s">
        <v>1137</v>
      </c>
    </row>
    <row r="4" spans="1:15" x14ac:dyDescent="0.2">
      <c r="A4" s="5"/>
      <c r="B4" s="4" t="s">
        <v>159</v>
      </c>
      <c r="C4" s="4" t="s">
        <v>1138</v>
      </c>
    </row>
    <row r="5" spans="1:15" x14ac:dyDescent="0.2">
      <c r="A5" s="5"/>
      <c r="B5" s="4" t="s">
        <v>495</v>
      </c>
      <c r="C5" s="4" t="s">
        <v>170</v>
      </c>
    </row>
    <row r="6" spans="1:15" x14ac:dyDescent="0.2">
      <c r="A6" s="5"/>
      <c r="B6" s="4" t="s">
        <v>489</v>
      </c>
      <c r="C6" s="4" t="s">
        <v>201</v>
      </c>
    </row>
    <row r="7" spans="1:15" x14ac:dyDescent="0.2">
      <c r="A7" s="5"/>
      <c r="B7" s="4" t="s">
        <v>768</v>
      </c>
      <c r="C7" s="27" t="s">
        <v>769</v>
      </c>
    </row>
    <row r="8" spans="1:15" x14ac:dyDescent="0.2">
      <c r="A8" s="5"/>
      <c r="B8" s="4" t="s">
        <v>901</v>
      </c>
      <c r="C8" s="28" t="s">
        <v>1186</v>
      </c>
    </row>
    <row r="9" spans="1:15" x14ac:dyDescent="0.2">
      <c r="A9" s="5"/>
      <c r="B9" s="4" t="s">
        <v>163</v>
      </c>
      <c r="C9" s="28" t="s">
        <v>771</v>
      </c>
    </row>
    <row r="10" spans="1:15" x14ac:dyDescent="0.2">
      <c r="A10" s="5"/>
      <c r="B10" s="4" t="s">
        <v>165</v>
      </c>
      <c r="C10" s="4" t="s">
        <v>772</v>
      </c>
    </row>
    <row r="11" spans="1:15" x14ac:dyDescent="0.2">
      <c r="A11" s="5"/>
      <c r="B11" s="4" t="s">
        <v>542</v>
      </c>
    </row>
    <row r="12" spans="1:15" x14ac:dyDescent="0.2">
      <c r="C12" s="11">
        <v>2001</v>
      </c>
      <c r="D12" s="11">
        <v>2002</v>
      </c>
      <c r="E12" s="11">
        <v>2003</v>
      </c>
      <c r="F12" s="11">
        <v>2004</v>
      </c>
      <c r="G12" s="11">
        <v>2005</v>
      </c>
      <c r="H12" s="11">
        <v>2006</v>
      </c>
      <c r="I12" s="11">
        <v>2007</v>
      </c>
      <c r="J12" s="11">
        <v>2008</v>
      </c>
      <c r="K12" s="11">
        <v>2009</v>
      </c>
      <c r="L12" s="11">
        <v>2010</v>
      </c>
      <c r="M12" s="6"/>
      <c r="N12" s="6"/>
      <c r="O12" s="6"/>
    </row>
    <row r="13" spans="1:15" x14ac:dyDescent="0.2">
      <c r="B13" s="4" t="s">
        <v>364</v>
      </c>
      <c r="C13" s="29"/>
      <c r="D13" s="29"/>
      <c r="E13" s="29"/>
      <c r="F13" s="29"/>
      <c r="G13" s="29"/>
      <c r="H13" s="29"/>
      <c r="I13" s="29"/>
      <c r="J13" s="29"/>
      <c r="M13" s="6"/>
      <c r="N13" s="6"/>
      <c r="O13" s="6"/>
    </row>
    <row r="14" spans="1:15" x14ac:dyDescent="0.2">
      <c r="B14" s="4" t="s">
        <v>365</v>
      </c>
      <c r="C14" s="29"/>
      <c r="D14" s="29"/>
      <c r="E14" s="29"/>
      <c r="F14" s="29"/>
      <c r="G14" s="29"/>
      <c r="H14" s="29"/>
      <c r="I14" s="29"/>
      <c r="J14" s="29"/>
      <c r="M14" s="6"/>
      <c r="N14" s="6"/>
      <c r="O14" s="6"/>
    </row>
    <row r="15" spans="1:15" x14ac:dyDescent="0.2">
      <c r="B15" s="4" t="s">
        <v>539</v>
      </c>
      <c r="C15" s="7"/>
      <c r="D15" s="7">
        <v>697</v>
      </c>
      <c r="E15" s="7">
        <v>966</v>
      </c>
      <c r="F15" s="7">
        <v>1116</v>
      </c>
      <c r="G15" s="7">
        <v>1169</v>
      </c>
      <c r="H15" s="7">
        <v>1239</v>
      </c>
      <c r="I15" s="7">
        <v>1357</v>
      </c>
      <c r="J15" s="7">
        <v>1158</v>
      </c>
      <c r="K15" s="7">
        <f>Model!EJ16</f>
        <v>1096</v>
      </c>
      <c r="M15" s="6"/>
      <c r="N15" s="6"/>
      <c r="O15" s="6"/>
    </row>
    <row r="18" spans="2:3" x14ac:dyDescent="0.2">
      <c r="B18" s="4" t="s">
        <v>773</v>
      </c>
    </row>
    <row r="19" spans="2:3" s="4" customFormat="1" x14ac:dyDescent="0.2">
      <c r="C19" s="30" t="s">
        <v>774</v>
      </c>
    </row>
    <row r="20" spans="2:3" s="4" customFormat="1" x14ac:dyDescent="0.2">
      <c r="C20" s="4" t="s">
        <v>775</v>
      </c>
    </row>
    <row r="21" spans="2:3" s="4" customFormat="1" x14ac:dyDescent="0.2">
      <c r="C21" s="4" t="s">
        <v>776</v>
      </c>
    </row>
    <row r="22" spans="2:3" s="4" customFormat="1" x14ac:dyDescent="0.2">
      <c r="C22" s="4" t="s">
        <v>777</v>
      </c>
    </row>
    <row r="23" spans="2:3" s="4" customFormat="1" x14ac:dyDescent="0.2">
      <c r="C23" s="4" t="s">
        <v>778</v>
      </c>
    </row>
    <row r="24" spans="2:3" s="4" customFormat="1" x14ac:dyDescent="0.2"/>
    <row r="25" spans="2:3" s="4" customFormat="1" x14ac:dyDescent="0.2">
      <c r="C25" s="30" t="s">
        <v>779</v>
      </c>
    </row>
    <row r="26" spans="2:3" s="4" customFormat="1" x14ac:dyDescent="0.2">
      <c r="C26" s="4" t="s">
        <v>780</v>
      </c>
    </row>
    <row r="27" spans="2:3" s="4" customFormat="1" x14ac:dyDescent="0.2">
      <c r="C27" s="4" t="s">
        <v>781</v>
      </c>
    </row>
    <row r="28" spans="2:3" s="4" customFormat="1" x14ac:dyDescent="0.2">
      <c r="C28" s="4" t="s">
        <v>782</v>
      </c>
    </row>
    <row r="29" spans="2:3" s="4" customFormat="1" x14ac:dyDescent="0.2">
      <c r="C29" s="4" t="s">
        <v>783</v>
      </c>
    </row>
    <row r="33" spans="2:4" x14ac:dyDescent="0.2">
      <c r="B33" s="4" t="s">
        <v>542</v>
      </c>
      <c r="D33" s="134"/>
    </row>
    <row r="34" spans="2:4" x14ac:dyDescent="0.2">
      <c r="B34" s="161">
        <f t="shared" ref="B34:B43" si="0">B35+7</f>
        <v>39752</v>
      </c>
      <c r="D34" s="134"/>
    </row>
    <row r="35" spans="2:4" x14ac:dyDescent="0.2">
      <c r="B35" s="161">
        <f t="shared" si="0"/>
        <v>39745</v>
      </c>
    </row>
    <row r="36" spans="2:4" x14ac:dyDescent="0.2">
      <c r="B36" s="161">
        <f t="shared" si="0"/>
        <v>39738</v>
      </c>
      <c r="C36" s="134">
        <v>133726</v>
      </c>
    </row>
    <row r="37" spans="2:4" x14ac:dyDescent="0.2">
      <c r="B37" s="161">
        <f t="shared" si="0"/>
        <v>39731</v>
      </c>
      <c r="C37" s="134">
        <v>137437</v>
      </c>
    </row>
    <row r="38" spans="2:4" x14ac:dyDescent="0.2">
      <c r="B38" s="161">
        <f t="shared" si="0"/>
        <v>39724</v>
      </c>
      <c r="C38" s="134">
        <v>142546</v>
      </c>
    </row>
    <row r="39" spans="2:4" x14ac:dyDescent="0.2">
      <c r="B39" s="161">
        <f t="shared" si="0"/>
        <v>39717</v>
      </c>
      <c r="C39" s="134">
        <v>139554</v>
      </c>
    </row>
    <row r="40" spans="2:4" x14ac:dyDescent="0.2">
      <c r="B40" s="161">
        <f t="shared" si="0"/>
        <v>39710</v>
      </c>
      <c r="C40" s="134">
        <v>136830</v>
      </c>
    </row>
    <row r="41" spans="2:4" x14ac:dyDescent="0.2">
      <c r="B41" s="161">
        <f t="shared" si="0"/>
        <v>39703</v>
      </c>
      <c r="C41" s="134">
        <v>138729</v>
      </c>
    </row>
    <row r="42" spans="2:4" x14ac:dyDescent="0.2">
      <c r="B42" s="161">
        <f t="shared" si="0"/>
        <v>39696</v>
      </c>
      <c r="C42" s="134">
        <v>132066</v>
      </c>
    </row>
    <row r="43" spans="2:4" x14ac:dyDescent="0.2">
      <c r="B43" s="161">
        <f t="shared" si="0"/>
        <v>39689</v>
      </c>
      <c r="C43" s="134">
        <v>140859</v>
      </c>
    </row>
    <row r="44" spans="2:4" x14ac:dyDescent="0.2">
      <c r="B44" s="161">
        <f>B45+7</f>
        <v>39682</v>
      </c>
      <c r="C44" s="134">
        <v>135720</v>
      </c>
    </row>
    <row r="45" spans="2:4" x14ac:dyDescent="0.2">
      <c r="B45" s="161">
        <v>39675</v>
      </c>
      <c r="C45" s="134">
        <v>134693</v>
      </c>
    </row>
  </sheetData>
  <phoneticPr fontId="11" type="noConversion"/>
  <hyperlinks>
    <hyperlink ref="A1" location="Main!A1" display="Main" xr:uid="{00000000-0004-0000-0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3"/>
  <sheetViews>
    <sheetView zoomScale="130" zoomScaleNormal="130" workbookViewId="0">
      <selection activeCell="B9" sqref="B9"/>
    </sheetView>
  </sheetViews>
  <sheetFormatPr defaultColWidth="9.140625" defaultRowHeight="12.75" x14ac:dyDescent="0.2"/>
  <cols>
    <col min="1" max="1" width="5" style="4" customWidth="1"/>
    <col min="2" max="2" width="12.85546875" style="4" customWidth="1"/>
    <col min="3" max="16384" width="9.140625" style="4"/>
  </cols>
  <sheetData>
    <row r="1" spans="1:3" x14ac:dyDescent="0.2">
      <c r="A1" s="5" t="s">
        <v>154</v>
      </c>
    </row>
    <row r="2" spans="1:3" x14ac:dyDescent="0.2">
      <c r="B2" s="4" t="s">
        <v>485</v>
      </c>
      <c r="C2" s="4" t="s">
        <v>331</v>
      </c>
    </row>
    <row r="3" spans="1:3" x14ac:dyDescent="0.2">
      <c r="B3" s="4" t="s">
        <v>486</v>
      </c>
      <c r="C3" s="4" t="s">
        <v>1174</v>
      </c>
    </row>
    <row r="4" spans="1:3" x14ac:dyDescent="0.2">
      <c r="B4" s="4" t="s">
        <v>159</v>
      </c>
      <c r="C4" s="4" t="s">
        <v>1175</v>
      </c>
    </row>
    <row r="5" spans="1:3" x14ac:dyDescent="0.2">
      <c r="B5" s="4" t="s">
        <v>160</v>
      </c>
      <c r="C5" s="4" t="s">
        <v>1176</v>
      </c>
    </row>
    <row r="6" spans="1:3" x14ac:dyDescent="0.2">
      <c r="B6" s="4" t="s">
        <v>489</v>
      </c>
      <c r="C6" s="4" t="s">
        <v>1027</v>
      </c>
    </row>
    <row r="7" spans="1:3" x14ac:dyDescent="0.2">
      <c r="B7" s="4" t="s">
        <v>495</v>
      </c>
      <c r="C7" s="4" t="s">
        <v>168</v>
      </c>
    </row>
    <row r="8" spans="1:3" x14ac:dyDescent="0.2">
      <c r="B8" s="4" t="s">
        <v>901</v>
      </c>
      <c r="C8" s="4" t="s">
        <v>573</v>
      </c>
    </row>
    <row r="9" spans="1:3" x14ac:dyDescent="0.2">
      <c r="B9" s="4" t="s">
        <v>773</v>
      </c>
    </row>
    <row r="11" spans="1:3" x14ac:dyDescent="0.2">
      <c r="C11" s="4" t="s">
        <v>1028</v>
      </c>
    </row>
    <row r="12" spans="1:3" x14ac:dyDescent="0.2">
      <c r="C12" s="4" t="s">
        <v>1029</v>
      </c>
    </row>
    <row r="13" spans="1:3" x14ac:dyDescent="0.2">
      <c r="C13" s="4" t="s">
        <v>1030</v>
      </c>
    </row>
  </sheetData>
  <phoneticPr fontId="11" type="noConversion"/>
  <hyperlinks>
    <hyperlink ref="A1" location="Main!A1" display="Main" xr:uid="{00000000-0004-0000-1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2"/>
  <sheetViews>
    <sheetView workbookViewId="0"/>
  </sheetViews>
  <sheetFormatPr defaultColWidth="9.140625" defaultRowHeight="12.75" x14ac:dyDescent="0.2"/>
  <cols>
    <col min="1" max="1" width="5" style="134" bestFit="1" customWidth="1"/>
    <col min="2" max="2" width="14.42578125" style="134" customWidth="1"/>
    <col min="3" max="3" width="10.7109375" style="134" customWidth="1"/>
    <col min="4" max="16384" width="9.140625" style="134"/>
  </cols>
  <sheetData>
    <row r="1" spans="1:4" x14ac:dyDescent="0.2">
      <c r="A1" s="109" t="s">
        <v>154</v>
      </c>
    </row>
    <row r="2" spans="1:4" x14ac:dyDescent="0.2">
      <c r="B2" s="134" t="s">
        <v>485</v>
      </c>
      <c r="C2" s="134" t="s">
        <v>1499</v>
      </c>
    </row>
    <row r="3" spans="1:4" x14ac:dyDescent="0.2">
      <c r="B3" s="134" t="s">
        <v>486</v>
      </c>
      <c r="C3" s="134" t="s">
        <v>332</v>
      </c>
    </row>
    <row r="4" spans="1:4" x14ac:dyDescent="0.2">
      <c r="B4" s="134" t="s">
        <v>159</v>
      </c>
      <c r="C4" s="134" t="s">
        <v>207</v>
      </c>
    </row>
    <row r="5" spans="1:4" x14ac:dyDescent="0.2">
      <c r="B5" s="134" t="s">
        <v>495</v>
      </c>
      <c r="C5" s="134" t="s">
        <v>170</v>
      </c>
    </row>
    <row r="6" spans="1:4" x14ac:dyDescent="0.2">
      <c r="B6" s="134" t="s">
        <v>489</v>
      </c>
      <c r="C6" s="134" t="s">
        <v>743</v>
      </c>
    </row>
    <row r="7" spans="1:4" x14ac:dyDescent="0.2">
      <c r="B7" s="134" t="s">
        <v>768</v>
      </c>
      <c r="C7" s="134" t="s">
        <v>744</v>
      </c>
    </row>
    <row r="8" spans="1:4" x14ac:dyDescent="0.2">
      <c r="B8" s="134" t="s">
        <v>901</v>
      </c>
      <c r="C8" s="134" t="s">
        <v>1500</v>
      </c>
    </row>
    <row r="9" spans="1:4" x14ac:dyDescent="0.2">
      <c r="C9" s="134" t="s">
        <v>1502</v>
      </c>
    </row>
    <row r="10" spans="1:4" x14ac:dyDescent="0.2">
      <c r="B10" s="134" t="s">
        <v>773</v>
      </c>
    </row>
    <row r="11" spans="1:4" x14ac:dyDescent="0.2">
      <c r="C11" s="134" t="s">
        <v>745</v>
      </c>
    </row>
    <row r="12" spans="1:4" x14ac:dyDescent="0.2">
      <c r="C12" s="111" t="s">
        <v>746</v>
      </c>
    </row>
    <row r="13" spans="1:4" x14ac:dyDescent="0.2">
      <c r="C13" s="134" t="s">
        <v>747</v>
      </c>
    </row>
    <row r="14" spans="1:4" x14ac:dyDescent="0.2">
      <c r="C14" s="134" t="s">
        <v>536</v>
      </c>
      <c r="D14" s="134" t="s">
        <v>748</v>
      </c>
    </row>
    <row r="15" spans="1:4" x14ac:dyDescent="0.2">
      <c r="D15" s="134" t="s">
        <v>749</v>
      </c>
    </row>
    <row r="16" spans="1:4" x14ac:dyDescent="0.2">
      <c r="D16" s="134" t="s">
        <v>750</v>
      </c>
    </row>
    <row r="17" spans="2:4" x14ac:dyDescent="0.2">
      <c r="C17" s="134" t="s">
        <v>751</v>
      </c>
    </row>
    <row r="18" spans="2:4" x14ac:dyDescent="0.2">
      <c r="D18" s="134" t="s">
        <v>752</v>
      </c>
    </row>
    <row r="19" spans="2:4" x14ac:dyDescent="0.2">
      <c r="D19" s="134" t="s">
        <v>753</v>
      </c>
    </row>
    <row r="21" spans="2:4" x14ac:dyDescent="0.2">
      <c r="B21" s="135" t="s">
        <v>754</v>
      </c>
    </row>
    <row r="22" spans="2:4" x14ac:dyDescent="0.2">
      <c r="B22" s="135" t="s">
        <v>755</v>
      </c>
    </row>
  </sheetData>
  <phoneticPr fontId="11" type="noConversion"/>
  <hyperlinks>
    <hyperlink ref="A1" location="Main!A1" display="Main" xr:uid="{00000000-0004-0000-1C00-000000000000}"/>
  </hyperlinks>
  <pageMargins left="0.75" right="0.75" top="1" bottom="1" header="0.5" footer="0.5"/>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60"/>
  <sheetViews>
    <sheetView zoomScale="130" zoomScaleNormal="130"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154</v>
      </c>
    </row>
    <row r="2" spans="1:3" x14ac:dyDescent="0.2">
      <c r="B2" s="4" t="s">
        <v>485</v>
      </c>
      <c r="C2" s="4" t="s">
        <v>840</v>
      </c>
    </row>
    <row r="3" spans="1:3" x14ac:dyDescent="0.2">
      <c r="B3" s="4" t="s">
        <v>951</v>
      </c>
      <c r="C3" s="4" t="s">
        <v>846</v>
      </c>
    </row>
    <row r="4" spans="1:3" x14ac:dyDescent="0.2">
      <c r="B4" s="4" t="s">
        <v>159</v>
      </c>
      <c r="C4" s="4" t="s">
        <v>952</v>
      </c>
    </row>
    <row r="5" spans="1:3" x14ac:dyDescent="0.2">
      <c r="B5" s="4" t="s">
        <v>489</v>
      </c>
      <c r="C5" s="4" t="s">
        <v>857</v>
      </c>
    </row>
    <row r="6" spans="1:3" x14ac:dyDescent="0.2">
      <c r="B6" s="4" t="s">
        <v>163</v>
      </c>
    </row>
    <row r="7" spans="1:3" x14ac:dyDescent="0.2">
      <c r="B7" s="4" t="s">
        <v>768</v>
      </c>
      <c r="C7" s="4" t="s">
        <v>842</v>
      </c>
    </row>
    <row r="8" spans="1:3" x14ac:dyDescent="0.2">
      <c r="B8" s="4" t="s">
        <v>901</v>
      </c>
      <c r="C8" s="4" t="s">
        <v>1023</v>
      </c>
    </row>
    <row r="9" spans="1:3" x14ac:dyDescent="0.2">
      <c r="B9" s="4" t="s">
        <v>527</v>
      </c>
      <c r="C9" s="4" t="s">
        <v>870</v>
      </c>
    </row>
    <row r="10" spans="1:3" x14ac:dyDescent="0.2">
      <c r="B10" s="4" t="s">
        <v>493</v>
      </c>
      <c r="C10" s="4" t="s">
        <v>866</v>
      </c>
    </row>
    <row r="11" spans="1:3" x14ac:dyDescent="0.2">
      <c r="B11" s="4" t="s">
        <v>106</v>
      </c>
      <c r="C11" s="4" t="s">
        <v>841</v>
      </c>
    </row>
    <row r="12" spans="1:3" x14ac:dyDescent="0.2">
      <c r="B12" s="4" t="s">
        <v>165</v>
      </c>
      <c r="C12" s="4" t="s">
        <v>869</v>
      </c>
    </row>
    <row r="13" spans="1:3" x14ac:dyDescent="0.2">
      <c r="B13" s="4" t="s">
        <v>531</v>
      </c>
    </row>
    <row r="14" spans="1:3" x14ac:dyDescent="0.2">
      <c r="C14" s="30" t="s">
        <v>864</v>
      </c>
    </row>
    <row r="15" spans="1:3" x14ac:dyDescent="0.2">
      <c r="C15" s="4" t="s">
        <v>865</v>
      </c>
    </row>
    <row r="17" spans="3:3" x14ac:dyDescent="0.2">
      <c r="C17" s="30" t="s">
        <v>863</v>
      </c>
    </row>
    <row r="18" spans="3:3" x14ac:dyDescent="0.2">
      <c r="C18" s="4" t="s">
        <v>843</v>
      </c>
    </row>
    <row r="19" spans="3:3" x14ac:dyDescent="0.2">
      <c r="C19" s="4" t="s">
        <v>849</v>
      </c>
    </row>
    <row r="20" spans="3:3" x14ac:dyDescent="0.2">
      <c r="C20" s="4" t="s">
        <v>850</v>
      </c>
    </row>
    <row r="21" spans="3:3" x14ac:dyDescent="0.2">
      <c r="C21" s="4" t="s">
        <v>851</v>
      </c>
    </row>
    <row r="22" spans="3:3" x14ac:dyDescent="0.2">
      <c r="C22" s="4" t="s">
        <v>852</v>
      </c>
    </row>
    <row r="23" spans="3:3" x14ac:dyDescent="0.2">
      <c r="C23" s="4" t="s">
        <v>853</v>
      </c>
    </row>
    <row r="24" spans="3:3" x14ac:dyDescent="0.2">
      <c r="C24" s="4" t="s">
        <v>862</v>
      </c>
    </row>
    <row r="26" spans="3:3" x14ac:dyDescent="0.2">
      <c r="C26" s="30" t="s">
        <v>868</v>
      </c>
    </row>
    <row r="27" spans="3:3" x14ac:dyDescent="0.2">
      <c r="C27" s="30"/>
    </row>
    <row r="28" spans="3:3" x14ac:dyDescent="0.2">
      <c r="C28" s="30" t="s">
        <v>867</v>
      </c>
    </row>
    <row r="30" spans="3:3" x14ac:dyDescent="0.2">
      <c r="C30" s="30" t="s">
        <v>856</v>
      </c>
    </row>
    <row r="31" spans="3:3" x14ac:dyDescent="0.2">
      <c r="C31" s="4" t="s">
        <v>844</v>
      </c>
    </row>
    <row r="32" spans="3:3" x14ac:dyDescent="0.2">
      <c r="C32" s="4" t="s">
        <v>845</v>
      </c>
    </row>
    <row r="34" spans="3:3" x14ac:dyDescent="0.2">
      <c r="C34" s="30" t="s">
        <v>855</v>
      </c>
    </row>
    <row r="55" spans="3:3" x14ac:dyDescent="0.2">
      <c r="C55" s="4" t="s">
        <v>1026</v>
      </c>
    </row>
    <row r="57" spans="3:3" x14ac:dyDescent="0.2">
      <c r="C57" s="4" t="s">
        <v>854</v>
      </c>
    </row>
    <row r="59" spans="3:3" x14ac:dyDescent="0.2">
      <c r="C59" s="30" t="s">
        <v>858</v>
      </c>
    </row>
    <row r="60" spans="3:3" x14ac:dyDescent="0.2">
      <c r="C60" s="4" t="s">
        <v>859</v>
      </c>
    </row>
  </sheetData>
  <phoneticPr fontId="11" type="noConversion"/>
  <hyperlinks>
    <hyperlink ref="A1" location="Main!A1" display="Main" xr:uid="{00000000-0004-0000-22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20"/>
  <sheetViews>
    <sheetView zoomScale="130" zoomScaleNormal="130" workbookViewId="0">
      <selection activeCell="B3" sqref="B3:C5"/>
    </sheetView>
  </sheetViews>
  <sheetFormatPr defaultColWidth="9.140625" defaultRowHeight="12.75" x14ac:dyDescent="0.2"/>
  <cols>
    <col min="1" max="1" width="5" style="4" customWidth="1"/>
    <col min="2" max="2" width="16" style="4" bestFit="1" customWidth="1"/>
    <col min="3" max="3" width="5.42578125" style="115" customWidth="1"/>
    <col min="4" max="6" width="5.42578125" style="6" customWidth="1"/>
    <col min="7" max="9" width="3.42578125" style="6" customWidth="1"/>
    <col min="10" max="10" width="4.42578125" style="6" customWidth="1"/>
    <col min="11" max="11" width="5.42578125" style="6" customWidth="1"/>
    <col min="12" max="12" width="4.42578125" style="6" customWidth="1"/>
    <col min="13" max="15" width="3.42578125" style="6" customWidth="1"/>
    <col min="16" max="16" width="5.42578125" style="6" customWidth="1"/>
    <col min="17" max="16384" width="9.140625" style="4"/>
  </cols>
  <sheetData>
    <row r="1" spans="1:3" x14ac:dyDescent="0.2">
      <c r="A1" s="5" t="s">
        <v>154</v>
      </c>
    </row>
    <row r="2" spans="1:3" x14ac:dyDescent="0.2">
      <c r="B2" s="93" t="s">
        <v>485</v>
      </c>
      <c r="C2" s="115" t="s">
        <v>206</v>
      </c>
    </row>
    <row r="3" spans="1:3" x14ac:dyDescent="0.2">
      <c r="B3" s="93" t="s">
        <v>486</v>
      </c>
      <c r="C3" s="115" t="s">
        <v>1160</v>
      </c>
    </row>
    <row r="4" spans="1:3" x14ac:dyDescent="0.2">
      <c r="B4" s="93" t="s">
        <v>489</v>
      </c>
      <c r="C4" s="115" t="s">
        <v>1161</v>
      </c>
    </row>
    <row r="5" spans="1:3" x14ac:dyDescent="0.2">
      <c r="B5" s="93" t="s">
        <v>642</v>
      </c>
      <c r="C5" s="115" t="s">
        <v>1162</v>
      </c>
    </row>
    <row r="6" spans="1:3" x14ac:dyDescent="0.2">
      <c r="B6" s="93" t="s">
        <v>495</v>
      </c>
      <c r="C6" s="115" t="s">
        <v>168</v>
      </c>
    </row>
    <row r="7" spans="1:3" x14ac:dyDescent="0.2">
      <c r="B7" s="93" t="s">
        <v>488</v>
      </c>
      <c r="C7" s="115" t="s">
        <v>702</v>
      </c>
    </row>
    <row r="8" spans="1:3" x14ac:dyDescent="0.2">
      <c r="B8" s="93" t="s">
        <v>159</v>
      </c>
      <c r="C8" s="115" t="s">
        <v>703</v>
      </c>
    </row>
    <row r="9" spans="1:3" x14ac:dyDescent="0.2">
      <c r="B9" s="93" t="s">
        <v>163</v>
      </c>
      <c r="C9" s="115" t="s">
        <v>704</v>
      </c>
    </row>
    <row r="10" spans="1:3" x14ac:dyDescent="0.2">
      <c r="B10" s="93" t="s">
        <v>536</v>
      </c>
      <c r="C10" s="116" t="s">
        <v>707</v>
      </c>
    </row>
    <row r="11" spans="1:3" x14ac:dyDescent="0.2">
      <c r="B11" s="93" t="s">
        <v>165</v>
      </c>
      <c r="C11" s="115" t="s">
        <v>708</v>
      </c>
    </row>
    <row r="12" spans="1:3" x14ac:dyDescent="0.2">
      <c r="B12" s="93" t="s">
        <v>768</v>
      </c>
      <c r="C12" s="115" t="s">
        <v>709</v>
      </c>
    </row>
    <row r="13" spans="1:3" x14ac:dyDescent="0.2">
      <c r="B13" s="93" t="s">
        <v>531</v>
      </c>
    </row>
    <row r="14" spans="1:3" x14ac:dyDescent="0.2">
      <c r="C14" s="115" t="s">
        <v>710</v>
      </c>
    </row>
    <row r="17" spans="3:16" x14ac:dyDescent="0.2">
      <c r="C17" s="115" t="s">
        <v>290</v>
      </c>
      <c r="D17" s="6" t="s">
        <v>291</v>
      </c>
      <c r="E17" s="6" t="s">
        <v>292</v>
      </c>
      <c r="F17" s="6" t="s">
        <v>893</v>
      </c>
      <c r="K17" s="6" t="s">
        <v>894</v>
      </c>
      <c r="P17" s="6" t="s">
        <v>895</v>
      </c>
    </row>
    <row r="18" spans="3:16" x14ac:dyDescent="0.2">
      <c r="C18" s="117">
        <v>30</v>
      </c>
      <c r="D18" s="40">
        <v>50</v>
      </c>
      <c r="E18" s="40">
        <v>72</v>
      </c>
      <c r="F18" s="40">
        <f>SUM(C18:E18)</f>
        <v>152</v>
      </c>
      <c r="G18" s="41">
        <v>82</v>
      </c>
      <c r="H18" s="40">
        <v>92</v>
      </c>
      <c r="I18" s="40">
        <v>92</v>
      </c>
      <c r="J18" s="40">
        <v>125</v>
      </c>
      <c r="K18" s="40">
        <f>G18+H18+I18+J18</f>
        <v>391</v>
      </c>
      <c r="L18" s="41">
        <v>110</v>
      </c>
      <c r="M18" s="40">
        <v>74</v>
      </c>
      <c r="N18" s="40">
        <v>35</v>
      </c>
      <c r="O18" s="42">
        <v>30</v>
      </c>
      <c r="P18" s="40">
        <f>L18+M18+N18+O18</f>
        <v>249</v>
      </c>
    </row>
    <row r="20" spans="3:16" x14ac:dyDescent="0.2">
      <c r="C20" s="115" t="s">
        <v>896</v>
      </c>
    </row>
  </sheetData>
  <phoneticPr fontId="11" type="noConversion"/>
  <hyperlinks>
    <hyperlink ref="A1" location="Main!A1" display="Main" xr:uid="{00000000-0004-0000-1500-000000000000}"/>
    <hyperlink ref="C10" r:id="rId1" display="http://www.drug-injury.com/druginjurycom/2005/05/natrecor_linked.html" xr:uid="{00000000-0004-0000-15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E19"/>
  <sheetViews>
    <sheetView workbookViewId="0"/>
  </sheetViews>
  <sheetFormatPr defaultColWidth="9.140625" defaultRowHeight="12.75" customHeight="1" x14ac:dyDescent="0.2"/>
  <cols>
    <col min="1" max="1" width="5" style="110" bestFit="1" customWidth="1"/>
    <col min="2" max="2" width="24.42578125" style="110" customWidth="1"/>
    <col min="3" max="16384" width="9.140625" style="110"/>
  </cols>
  <sheetData>
    <row r="1" spans="1:31" ht="12.75" customHeight="1" x14ac:dyDescent="0.2">
      <c r="A1" s="116" t="s">
        <v>154</v>
      </c>
    </row>
    <row r="2" spans="1:31" ht="12.75" customHeight="1" x14ac:dyDescent="0.2">
      <c r="B2" s="110" t="s">
        <v>1081</v>
      </c>
    </row>
    <row r="3" spans="1:31" ht="12.75" customHeight="1" x14ac:dyDescent="0.2">
      <c r="B3" t="s">
        <v>1271</v>
      </c>
    </row>
    <row r="7" spans="1:31" ht="12.75" customHeight="1" x14ac:dyDescent="0.2">
      <c r="C7" s="110">
        <v>1995</v>
      </c>
      <c r="D7" s="110">
        <f t="shared" ref="D7:Q7" si="0">C7+1</f>
        <v>1996</v>
      </c>
      <c r="E7" s="110">
        <f t="shared" si="0"/>
        <v>1997</v>
      </c>
      <c r="F7" s="110">
        <f t="shared" si="0"/>
        <v>1998</v>
      </c>
      <c r="G7" s="110">
        <f t="shared" si="0"/>
        <v>1999</v>
      </c>
      <c r="H7" s="110">
        <f t="shared" si="0"/>
        <v>2000</v>
      </c>
      <c r="I7" s="110">
        <f t="shared" si="0"/>
        <v>2001</v>
      </c>
      <c r="J7" s="110">
        <f t="shared" si="0"/>
        <v>2002</v>
      </c>
      <c r="K7" s="110">
        <f t="shared" si="0"/>
        <v>2003</v>
      </c>
      <c r="L7" s="110">
        <f t="shared" si="0"/>
        <v>2004</v>
      </c>
      <c r="M7" s="110">
        <f t="shared" si="0"/>
        <v>2005</v>
      </c>
      <c r="N7" s="110">
        <f t="shared" si="0"/>
        <v>2006</v>
      </c>
      <c r="O7" s="110">
        <f t="shared" si="0"/>
        <v>2007</v>
      </c>
      <c r="P7" s="110">
        <f t="shared" si="0"/>
        <v>2008</v>
      </c>
      <c r="Q7" s="110">
        <f t="shared" si="0"/>
        <v>2009</v>
      </c>
      <c r="R7" s="197"/>
      <c r="S7" s="197"/>
      <c r="T7" s="197"/>
      <c r="U7" s="197"/>
      <c r="V7" s="197"/>
      <c r="W7" s="197"/>
      <c r="X7" s="197"/>
      <c r="Y7" s="197"/>
      <c r="Z7" s="197"/>
      <c r="AA7" s="197"/>
      <c r="AB7" s="197"/>
      <c r="AC7" s="197"/>
      <c r="AD7" s="197"/>
      <c r="AE7" s="197"/>
    </row>
    <row r="8" spans="1:31" ht="12.75" customHeight="1" x14ac:dyDescent="0.2">
      <c r="B8" s="1" t="s">
        <v>232</v>
      </c>
      <c r="C8" s="198">
        <f t="shared" ref="C8:F8" si="1">C9+C10</f>
        <v>1043</v>
      </c>
      <c r="D8" s="198">
        <f t="shared" si="1"/>
        <v>1080</v>
      </c>
      <c r="E8" s="198">
        <f t="shared" si="1"/>
        <v>1040.1500000000001</v>
      </c>
      <c r="F8" s="198">
        <f t="shared" si="1"/>
        <v>988.39299999999992</v>
      </c>
      <c r="G8" s="198"/>
      <c r="H8" s="198"/>
      <c r="I8" s="198"/>
      <c r="J8" s="198"/>
      <c r="K8" s="198"/>
      <c r="L8" s="198"/>
      <c r="M8" s="198"/>
      <c r="N8" s="198"/>
      <c r="O8" s="198"/>
      <c r="P8" s="198"/>
      <c r="Q8" s="198"/>
      <c r="R8" s="197"/>
      <c r="S8" s="197"/>
      <c r="T8" s="197"/>
      <c r="U8" s="197"/>
      <c r="V8" s="197"/>
      <c r="W8" s="197"/>
      <c r="X8" s="197"/>
      <c r="Y8" s="197"/>
      <c r="Z8" s="197"/>
      <c r="AA8" s="197"/>
      <c r="AB8" s="197"/>
      <c r="AC8" s="197"/>
      <c r="AD8" s="197"/>
      <c r="AE8" s="197"/>
    </row>
    <row r="9" spans="1:31" ht="12.75" customHeight="1" x14ac:dyDescent="0.2">
      <c r="B9" s="110" t="s">
        <v>77</v>
      </c>
      <c r="C9" s="199">
        <v>485</v>
      </c>
      <c r="D9" s="199">
        <v>497</v>
      </c>
      <c r="E9" s="199">
        <v>506</v>
      </c>
      <c r="F9" s="199">
        <v>486.29199999999997</v>
      </c>
      <c r="G9" s="199"/>
      <c r="H9" s="199"/>
      <c r="I9" s="199"/>
      <c r="J9" s="199"/>
      <c r="K9" s="199"/>
      <c r="L9" s="199"/>
      <c r="M9" s="198"/>
      <c r="N9" s="198"/>
      <c r="O9" s="198"/>
      <c r="P9" s="198"/>
      <c r="Q9" s="198"/>
      <c r="R9" s="197"/>
      <c r="S9" s="197"/>
      <c r="T9" s="197"/>
      <c r="U9" s="197"/>
      <c r="V9" s="197"/>
      <c r="W9" s="197"/>
      <c r="X9" s="197"/>
      <c r="Y9" s="197"/>
      <c r="Z9" s="197"/>
      <c r="AA9" s="197"/>
      <c r="AB9" s="197"/>
      <c r="AC9" s="197"/>
      <c r="AD9" s="197"/>
      <c r="AE9" s="197"/>
    </row>
    <row r="10" spans="1:31" ht="12.75" customHeight="1" x14ac:dyDescent="0.2">
      <c r="B10" s="110" t="s">
        <v>78</v>
      </c>
      <c r="C10" s="199">
        <v>558</v>
      </c>
      <c r="D10" s="199">
        <v>583</v>
      </c>
      <c r="E10" s="199">
        <v>534.15</v>
      </c>
      <c r="F10" s="199">
        <v>502.10099999999994</v>
      </c>
      <c r="G10" s="199"/>
      <c r="H10" s="199"/>
      <c r="I10" s="199"/>
      <c r="J10" s="199"/>
      <c r="K10" s="199"/>
      <c r="L10" s="199"/>
      <c r="M10" s="198"/>
      <c r="N10" s="198"/>
      <c r="O10" s="198"/>
      <c r="P10" s="198"/>
      <c r="Q10" s="198"/>
      <c r="R10" s="197"/>
      <c r="S10" s="197"/>
      <c r="T10" s="197"/>
      <c r="U10" s="197"/>
      <c r="V10" s="197"/>
      <c r="W10" s="197"/>
      <c r="X10" s="197"/>
      <c r="Y10" s="197"/>
      <c r="Z10" s="197"/>
      <c r="AA10" s="197"/>
      <c r="AB10" s="197"/>
      <c r="AC10" s="197"/>
      <c r="AD10" s="197"/>
      <c r="AE10" s="197"/>
    </row>
    <row r="11" spans="1:31" ht="12.75" customHeight="1" x14ac:dyDescent="0.2">
      <c r="B11" s="199"/>
      <c r="C11" s="199"/>
      <c r="D11" s="199"/>
      <c r="E11" s="199"/>
      <c r="F11" s="199"/>
      <c r="G11" s="199"/>
      <c r="H11" s="199"/>
      <c r="I11" s="219"/>
      <c r="J11" s="220"/>
      <c r="K11" s="199"/>
      <c r="L11" s="199"/>
      <c r="M11" s="199"/>
      <c r="N11" s="199"/>
      <c r="O11" s="199"/>
      <c r="P11" s="199"/>
      <c r="Q11" s="198"/>
      <c r="R11" s="197"/>
      <c r="S11" s="197"/>
      <c r="T11" s="197"/>
      <c r="U11" s="197"/>
      <c r="V11" s="197"/>
      <c r="W11" s="197"/>
      <c r="X11" s="197"/>
      <c r="Y11" s="197"/>
      <c r="Z11" s="197"/>
      <c r="AA11" s="197"/>
      <c r="AB11" s="197"/>
      <c r="AC11" s="197"/>
      <c r="AD11" s="197"/>
      <c r="AE11" s="197"/>
    </row>
    <row r="12" spans="1:31" ht="12.75" customHeight="1" x14ac:dyDescent="0.2">
      <c r="B12" s="212" t="s">
        <v>230</v>
      </c>
      <c r="D12" s="54">
        <v>2002</v>
      </c>
      <c r="E12" s="54">
        <v>2003</v>
      </c>
      <c r="F12" s="54">
        <v>2004</v>
      </c>
      <c r="G12" s="195" t="s">
        <v>764</v>
      </c>
      <c r="H12" s="195" t="s">
        <v>765</v>
      </c>
      <c r="I12" s="195" t="s">
        <v>766</v>
      </c>
      <c r="J12" s="196" t="s">
        <v>510</v>
      </c>
    </row>
    <row r="13" spans="1:31" ht="12.75" customHeight="1" x14ac:dyDescent="0.2">
      <c r="B13" s="201" t="s">
        <v>1088</v>
      </c>
      <c r="C13" s="200">
        <v>388</v>
      </c>
      <c r="D13" s="200">
        <v>405</v>
      </c>
      <c r="E13" s="200">
        <v>420</v>
      </c>
      <c r="F13" s="200">
        <v>440</v>
      </c>
      <c r="G13" s="202">
        <v>468</v>
      </c>
      <c r="H13" s="202">
        <v>490</v>
      </c>
      <c r="I13" s="202">
        <v>514</v>
      </c>
      <c r="J13" s="203">
        <v>542</v>
      </c>
      <c r="L13" t="s">
        <v>1273</v>
      </c>
    </row>
    <row r="14" spans="1:31" ht="12.75" customHeight="1" x14ac:dyDescent="0.2">
      <c r="B14" s="201" t="s">
        <v>1089</v>
      </c>
      <c r="C14" s="204"/>
      <c r="D14" s="204"/>
      <c r="E14" s="204"/>
      <c r="F14" s="204"/>
      <c r="G14" s="205">
        <v>638</v>
      </c>
      <c r="H14" s="205">
        <v>710</v>
      </c>
      <c r="I14" s="205">
        <v>774</v>
      </c>
      <c r="J14" s="206">
        <v>836</v>
      </c>
    </row>
    <row r="15" spans="1:31" ht="12.75" customHeight="1" x14ac:dyDescent="0.2">
      <c r="B15" s="201" t="s">
        <v>1090</v>
      </c>
      <c r="C15" s="204">
        <v>129</v>
      </c>
      <c r="D15" s="204">
        <v>152</v>
      </c>
      <c r="E15" s="204">
        <v>174</v>
      </c>
      <c r="F15" s="207">
        <v>198</v>
      </c>
      <c r="G15" s="205">
        <v>236</v>
      </c>
      <c r="H15" s="205">
        <v>268</v>
      </c>
      <c r="I15" s="205">
        <v>300</v>
      </c>
      <c r="J15" s="206">
        <v>336</v>
      </c>
    </row>
    <row r="16" spans="1:31" ht="12.75" customHeight="1" x14ac:dyDescent="0.2">
      <c r="B16" s="201" t="s">
        <v>379</v>
      </c>
      <c r="C16" s="208">
        <v>70</v>
      </c>
      <c r="D16" s="208">
        <v>74</v>
      </c>
      <c r="E16" s="208">
        <v>80</v>
      </c>
      <c r="F16" s="209">
        <v>86</v>
      </c>
      <c r="G16" s="210">
        <v>93</v>
      </c>
      <c r="H16" s="210">
        <v>98</v>
      </c>
      <c r="I16" s="210">
        <v>102</v>
      </c>
      <c r="J16" s="211">
        <v>106</v>
      </c>
    </row>
    <row r="17" spans="2:10" ht="12.75" customHeight="1" x14ac:dyDescent="0.2">
      <c r="B17" s="212" t="s">
        <v>1091</v>
      </c>
      <c r="C17" s="213"/>
      <c r="D17" s="213"/>
      <c r="E17" s="213"/>
      <c r="F17" s="213"/>
      <c r="G17" s="213"/>
      <c r="H17" s="213"/>
      <c r="I17" s="213"/>
      <c r="J17" s="214"/>
    </row>
    <row r="18" spans="2:10" ht="12.75" customHeight="1" x14ac:dyDescent="0.2">
      <c r="B18" s="215" t="s">
        <v>1092</v>
      </c>
      <c r="C18" s="216"/>
      <c r="D18" s="216"/>
      <c r="E18" s="216"/>
      <c r="F18" s="216"/>
      <c r="G18" s="216"/>
      <c r="H18" s="216"/>
      <c r="I18" s="216"/>
      <c r="J18" s="217"/>
    </row>
    <row r="19" spans="2:10" ht="12.75" customHeight="1" x14ac:dyDescent="0.2">
      <c r="B19" s="218"/>
      <c r="C19" s="213"/>
      <c r="D19" s="213"/>
      <c r="E19" s="213"/>
      <c r="F19" s="213"/>
      <c r="G19" s="213"/>
      <c r="H19" s="213"/>
      <c r="I19" s="213"/>
      <c r="J19" s="213"/>
    </row>
  </sheetData>
  <phoneticPr fontId="11" type="noConversion"/>
  <hyperlinks>
    <hyperlink ref="A1" location="Main!A1" display="Main" xr:uid="{00000000-0004-0000-2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53"/>
  <sheetViews>
    <sheetView zoomScaleNormal="130" workbookViewId="0">
      <selection activeCell="A2" sqref="A2"/>
    </sheetView>
  </sheetViews>
  <sheetFormatPr defaultColWidth="9.140625" defaultRowHeight="12.75" x14ac:dyDescent="0.2"/>
  <cols>
    <col min="1" max="1" width="5.28515625" style="4" customWidth="1"/>
    <col min="2" max="2" width="14.140625" style="4" customWidth="1"/>
    <col min="3" max="3" width="10.7109375" style="4" customWidth="1"/>
    <col min="4" max="5" width="9.42578125" style="4" customWidth="1"/>
    <col min="6" max="13" width="5.28515625" style="4" customWidth="1"/>
    <col min="14" max="23" width="5.28515625" style="6" customWidth="1"/>
    <col min="24" max="30" width="5.28515625" style="4" customWidth="1"/>
    <col min="31" max="34" width="5.42578125" style="4" customWidth="1"/>
    <col min="35" max="16384" width="9.140625" style="4"/>
  </cols>
  <sheetData>
    <row r="1" spans="1:3" x14ac:dyDescent="0.2">
      <c r="A1" s="5" t="s">
        <v>154</v>
      </c>
    </row>
    <row r="2" spans="1:3" x14ac:dyDescent="0.2">
      <c r="B2" s="4" t="s">
        <v>485</v>
      </c>
      <c r="C2" s="4" t="s">
        <v>524</v>
      </c>
    </row>
    <row r="3" spans="1:3" x14ac:dyDescent="0.2">
      <c r="B3" s="4" t="s">
        <v>486</v>
      </c>
      <c r="C3" s="4" t="s">
        <v>525</v>
      </c>
    </row>
    <row r="4" spans="1:3" x14ac:dyDescent="0.2">
      <c r="B4" s="4" t="s">
        <v>489</v>
      </c>
      <c r="C4" s="4" t="s">
        <v>1155</v>
      </c>
    </row>
    <row r="5" spans="1:3" x14ac:dyDescent="0.2">
      <c r="C5" s="4" t="s">
        <v>1156</v>
      </c>
    </row>
    <row r="6" spans="1:3" x14ac:dyDescent="0.2">
      <c r="C6" s="4" t="s">
        <v>526</v>
      </c>
    </row>
    <row r="7" spans="1:3" x14ac:dyDescent="0.2">
      <c r="B7" s="4" t="s">
        <v>527</v>
      </c>
      <c r="C7" s="4" t="s">
        <v>528</v>
      </c>
    </row>
    <row r="8" spans="1:3" x14ac:dyDescent="0.2">
      <c r="B8" s="4" t="s">
        <v>495</v>
      </c>
      <c r="C8" s="4" t="s">
        <v>170</v>
      </c>
    </row>
    <row r="9" spans="1:3" x14ac:dyDescent="0.2">
      <c r="B9" s="4" t="s">
        <v>488</v>
      </c>
      <c r="C9" s="4" t="s">
        <v>529</v>
      </c>
    </row>
    <row r="10" spans="1:3" x14ac:dyDescent="0.2">
      <c r="B10" s="4" t="s">
        <v>531</v>
      </c>
      <c r="C10" s="4" t="s">
        <v>532</v>
      </c>
    </row>
    <row r="11" spans="1:3" x14ac:dyDescent="0.2">
      <c r="B11" s="4" t="s">
        <v>163</v>
      </c>
      <c r="C11" s="24" t="s">
        <v>533</v>
      </c>
    </row>
    <row r="12" spans="1:3" x14ac:dyDescent="0.2">
      <c r="C12" s="24" t="s">
        <v>534</v>
      </c>
    </row>
    <row r="13" spans="1:3" x14ac:dyDescent="0.2">
      <c r="C13" s="24" t="s">
        <v>535</v>
      </c>
    </row>
    <row r="14" spans="1:3" x14ac:dyDescent="0.2">
      <c r="B14" s="4" t="s">
        <v>536</v>
      </c>
      <c r="C14" s="4" t="s">
        <v>537</v>
      </c>
    </row>
    <row r="15" spans="1:3" x14ac:dyDescent="0.2">
      <c r="B15" s="4" t="s">
        <v>165</v>
      </c>
      <c r="C15" s="4" t="s">
        <v>538</v>
      </c>
    </row>
    <row r="17" spans="2:34" x14ac:dyDescent="0.2">
      <c r="C17" s="6" t="s">
        <v>273</v>
      </c>
      <c r="D17" s="6" t="s">
        <v>274</v>
      </c>
      <c r="E17" s="6" t="s">
        <v>275</v>
      </c>
      <c r="F17" s="6" t="s">
        <v>276</v>
      </c>
      <c r="G17" s="6" t="s">
        <v>277</v>
      </c>
      <c r="H17" s="6" t="s">
        <v>278</v>
      </c>
      <c r="I17" s="6" t="s">
        <v>279</v>
      </c>
      <c r="J17" s="6" t="s">
        <v>280</v>
      </c>
      <c r="K17" s="6" t="s">
        <v>281</v>
      </c>
      <c r="L17" s="6" t="s">
        <v>282</v>
      </c>
      <c r="M17" s="6" t="s">
        <v>283</v>
      </c>
      <c r="N17" s="6" t="s">
        <v>284</v>
      </c>
      <c r="O17" s="6" t="s">
        <v>285</v>
      </c>
      <c r="P17" s="6" t="s">
        <v>286</v>
      </c>
      <c r="Q17" s="6" t="s">
        <v>287</v>
      </c>
      <c r="R17" s="6" t="s">
        <v>288</v>
      </c>
      <c r="S17" s="6" t="s">
        <v>289</v>
      </c>
      <c r="T17" s="6" t="s">
        <v>290</v>
      </c>
      <c r="U17" s="6" t="s">
        <v>291</v>
      </c>
      <c r="V17" s="6" t="s">
        <v>292</v>
      </c>
      <c r="W17" s="6" t="s">
        <v>293</v>
      </c>
      <c r="X17" s="6" t="s">
        <v>294</v>
      </c>
      <c r="Y17" s="6" t="s">
        <v>295</v>
      </c>
      <c r="Z17" s="6" t="s">
        <v>296</v>
      </c>
      <c r="AA17" s="6" t="s">
        <v>297</v>
      </c>
      <c r="AB17" s="6" t="s">
        <v>298</v>
      </c>
      <c r="AC17" s="6" t="s">
        <v>299</v>
      </c>
      <c r="AD17" s="6" t="s">
        <v>300</v>
      </c>
      <c r="AE17" s="6" t="s">
        <v>301</v>
      </c>
      <c r="AF17" s="6" t="s">
        <v>302</v>
      </c>
      <c r="AG17" s="6" t="s">
        <v>303</v>
      </c>
      <c r="AH17" s="6" t="s">
        <v>304</v>
      </c>
    </row>
    <row r="18" spans="2:34" x14ac:dyDescent="0.2">
      <c r="B18" s="4" t="s">
        <v>364</v>
      </c>
      <c r="C18" s="25">
        <f>G18/1.25229</f>
        <v>218.00062285892247</v>
      </c>
      <c r="D18" s="25">
        <f>H18/1.41935</f>
        <v>248.00084545742772</v>
      </c>
      <c r="E18" s="25">
        <f>I18/1.26635</f>
        <v>214.00086863821218</v>
      </c>
      <c r="F18" s="6">
        <f>J18*1.1132</f>
        <v>209.2816</v>
      </c>
      <c r="G18" s="6">
        <v>273</v>
      </c>
      <c r="H18" s="6">
        <v>352</v>
      </c>
      <c r="I18" s="6">
        <v>271</v>
      </c>
      <c r="J18" s="6">
        <v>188</v>
      </c>
      <c r="K18" s="6">
        <v>315</v>
      </c>
      <c r="L18" s="6">
        <v>364.4</v>
      </c>
      <c r="M18" s="6">
        <v>265.5</v>
      </c>
      <c r="N18" s="6">
        <v>295</v>
      </c>
      <c r="O18" s="6">
        <v>380</v>
      </c>
      <c r="P18" s="6">
        <v>335</v>
      </c>
      <c r="Q18" s="6">
        <v>337</v>
      </c>
      <c r="R18" s="6">
        <v>352</v>
      </c>
      <c r="S18" s="6">
        <v>377</v>
      </c>
      <c r="T18" s="6">
        <v>390</v>
      </c>
      <c r="U18" s="6">
        <v>335</v>
      </c>
      <c r="V18" s="6">
        <v>352</v>
      </c>
      <c r="W18" s="6">
        <v>421</v>
      </c>
      <c r="X18" s="6">
        <v>399</v>
      </c>
      <c r="Y18" s="6">
        <v>420</v>
      </c>
      <c r="Z18" s="6">
        <v>478</v>
      </c>
      <c r="AA18" s="6">
        <v>462</v>
      </c>
      <c r="AB18" s="6">
        <v>492</v>
      </c>
      <c r="AC18" s="6">
        <v>513</v>
      </c>
      <c r="AD18" s="6">
        <v>478</v>
      </c>
      <c r="AE18" s="6">
        <v>585</v>
      </c>
      <c r="AF18" s="6"/>
      <c r="AG18" s="6"/>
      <c r="AH18" s="6"/>
    </row>
    <row r="19" spans="2:34" x14ac:dyDescent="0.2">
      <c r="B19" s="4" t="s">
        <v>365</v>
      </c>
      <c r="C19" s="7">
        <f>G19/1.18627</f>
        <v>102.00038777006921</v>
      </c>
      <c r="D19" s="7">
        <f>H19/1.21296</f>
        <v>108.00026381743832</v>
      </c>
      <c r="E19" s="7">
        <f>H19/1.1454</f>
        <v>114.37052558058321</v>
      </c>
      <c r="F19" s="7">
        <f>J19/1.21367</f>
        <v>117.0005026077929</v>
      </c>
      <c r="G19" s="7">
        <v>121</v>
      </c>
      <c r="H19" s="7">
        <v>131</v>
      </c>
      <c r="I19" s="7">
        <v>126</v>
      </c>
      <c r="J19" s="7">
        <v>142</v>
      </c>
      <c r="K19" s="7">
        <v>137.4</v>
      </c>
      <c r="L19" s="7">
        <v>153</v>
      </c>
      <c r="M19" s="7">
        <v>149</v>
      </c>
      <c r="N19" s="7">
        <v>165.5</v>
      </c>
      <c r="O19" s="7">
        <v>167</v>
      </c>
      <c r="P19" s="7">
        <v>172</v>
      </c>
      <c r="Q19" s="7">
        <v>187</v>
      </c>
      <c r="R19" s="7">
        <v>215.9</v>
      </c>
      <c r="S19" s="7">
        <v>224</v>
      </c>
      <c r="T19" s="7">
        <v>265</v>
      </c>
      <c r="U19" s="7">
        <v>264</v>
      </c>
      <c r="V19" s="7">
        <v>306</v>
      </c>
      <c r="W19" s="7">
        <v>304</v>
      </c>
      <c r="X19" s="7">
        <v>328</v>
      </c>
      <c r="Y19" s="7">
        <v>326</v>
      </c>
      <c r="Z19" s="7">
        <v>368</v>
      </c>
      <c r="AA19" s="7">
        <v>382</v>
      </c>
      <c r="AB19" s="7">
        <v>402</v>
      </c>
      <c r="AC19" s="7">
        <v>403</v>
      </c>
      <c r="AD19" s="7">
        <v>419</v>
      </c>
      <c r="AE19" s="7">
        <v>433</v>
      </c>
      <c r="AF19" s="6"/>
      <c r="AG19" s="6"/>
      <c r="AH19" s="6"/>
    </row>
    <row r="20" spans="2:34" x14ac:dyDescent="0.2">
      <c r="B20" s="4" t="s">
        <v>539</v>
      </c>
      <c r="C20" s="7">
        <f t="shared" ref="C20:AE20" si="0">C19+C18</f>
        <v>320.00101062899171</v>
      </c>
      <c r="D20" s="7">
        <f t="shared" si="0"/>
        <v>356.00110927486605</v>
      </c>
      <c r="E20" s="7">
        <f t="shared" si="0"/>
        <v>328.37139421879539</v>
      </c>
      <c r="F20" s="7">
        <f t="shared" si="0"/>
        <v>326.28210260779292</v>
      </c>
      <c r="G20" s="7">
        <f t="shared" si="0"/>
        <v>394</v>
      </c>
      <c r="H20" s="7">
        <f t="shared" si="0"/>
        <v>483</v>
      </c>
      <c r="I20" s="7">
        <f t="shared" si="0"/>
        <v>397</v>
      </c>
      <c r="J20" s="7">
        <f t="shared" si="0"/>
        <v>330</v>
      </c>
      <c r="K20" s="7">
        <f t="shared" si="0"/>
        <v>452.4</v>
      </c>
      <c r="L20" s="7">
        <f t="shared" si="0"/>
        <v>517.4</v>
      </c>
      <c r="M20" s="7">
        <f t="shared" si="0"/>
        <v>414.5</v>
      </c>
      <c r="N20" s="7">
        <f t="shared" si="0"/>
        <v>460.5</v>
      </c>
      <c r="O20" s="7">
        <f t="shared" si="0"/>
        <v>547</v>
      </c>
      <c r="P20" s="7">
        <f t="shared" si="0"/>
        <v>507</v>
      </c>
      <c r="Q20" s="7">
        <f t="shared" si="0"/>
        <v>524</v>
      </c>
      <c r="R20" s="7">
        <f t="shared" si="0"/>
        <v>567.9</v>
      </c>
      <c r="S20" s="7">
        <f t="shared" si="0"/>
        <v>601</v>
      </c>
      <c r="T20" s="7">
        <f t="shared" si="0"/>
        <v>655</v>
      </c>
      <c r="U20" s="7">
        <f t="shared" si="0"/>
        <v>599</v>
      </c>
      <c r="V20" s="7">
        <f t="shared" si="0"/>
        <v>658</v>
      </c>
      <c r="W20" s="7">
        <f t="shared" si="0"/>
        <v>725</v>
      </c>
      <c r="X20" s="7">
        <f t="shared" si="0"/>
        <v>727</v>
      </c>
      <c r="Y20" s="7">
        <f t="shared" si="0"/>
        <v>746</v>
      </c>
      <c r="Z20" s="7">
        <f t="shared" si="0"/>
        <v>846</v>
      </c>
      <c r="AA20" s="7">
        <f t="shared" si="0"/>
        <v>844</v>
      </c>
      <c r="AB20" s="7">
        <f t="shared" si="0"/>
        <v>894</v>
      </c>
      <c r="AC20" s="7">
        <f t="shared" si="0"/>
        <v>916</v>
      </c>
      <c r="AD20" s="7">
        <f t="shared" si="0"/>
        <v>897</v>
      </c>
      <c r="AE20" s="7">
        <f t="shared" si="0"/>
        <v>1018</v>
      </c>
      <c r="AF20" s="6"/>
      <c r="AG20" s="6"/>
      <c r="AH20" s="6"/>
    </row>
    <row r="21" spans="2:34" x14ac:dyDescent="0.2">
      <c r="B21" s="4" t="s">
        <v>540</v>
      </c>
      <c r="F21" s="8"/>
      <c r="G21" s="8">
        <f t="shared" ref="G21:AE21" si="1">G20/C20-1</f>
        <v>0.2312461114593245</v>
      </c>
      <c r="H21" s="8">
        <f t="shared" si="1"/>
        <v>0.35673734552068193</v>
      </c>
      <c r="I21" s="8">
        <f t="shared" si="1"/>
        <v>0.20899690712850916</v>
      </c>
      <c r="J21" s="8">
        <f t="shared" si="1"/>
        <v>1.1394732847716638E-2</v>
      </c>
      <c r="K21" s="8">
        <f t="shared" si="1"/>
        <v>0.14822335025380706</v>
      </c>
      <c r="L21" s="8">
        <f t="shared" si="1"/>
        <v>7.1221532091097162E-2</v>
      </c>
      <c r="M21" s="8">
        <f t="shared" si="1"/>
        <v>4.4080604534004975E-2</v>
      </c>
      <c r="N21" s="8">
        <f t="shared" si="1"/>
        <v>0.3954545454545455</v>
      </c>
      <c r="O21" s="8">
        <f t="shared" si="1"/>
        <v>0.20910698496905389</v>
      </c>
      <c r="P21" s="8">
        <f t="shared" si="1"/>
        <v>-2.010050251256279E-2</v>
      </c>
      <c r="Q21" s="8">
        <f t="shared" si="1"/>
        <v>0.26417370325693601</v>
      </c>
      <c r="R21" s="8">
        <f t="shared" si="1"/>
        <v>0.23322475570032575</v>
      </c>
      <c r="S21" s="8">
        <f t="shared" si="1"/>
        <v>9.8720292504570484E-2</v>
      </c>
      <c r="T21" s="8">
        <f t="shared" si="1"/>
        <v>0.291913214990138</v>
      </c>
      <c r="U21" s="8">
        <f t="shared" si="1"/>
        <v>0.14312977099236646</v>
      </c>
      <c r="V21" s="8">
        <f t="shared" si="1"/>
        <v>0.15865469272759292</v>
      </c>
      <c r="W21" s="8">
        <f t="shared" si="1"/>
        <v>0.20632279534109821</v>
      </c>
      <c r="X21" s="8">
        <f t="shared" si="1"/>
        <v>0.1099236641221375</v>
      </c>
      <c r="Y21" s="8">
        <f t="shared" si="1"/>
        <v>0.24540901502504164</v>
      </c>
      <c r="Z21" s="8">
        <f t="shared" si="1"/>
        <v>0.28571428571428581</v>
      </c>
      <c r="AA21" s="8">
        <f t="shared" si="1"/>
        <v>0.16413793103448282</v>
      </c>
      <c r="AB21" s="8">
        <f t="shared" si="1"/>
        <v>0.22971114167812923</v>
      </c>
      <c r="AC21" s="8">
        <f t="shared" si="1"/>
        <v>0.22788203753351199</v>
      </c>
      <c r="AD21" s="8">
        <f t="shared" si="1"/>
        <v>6.0283687943262443E-2</v>
      </c>
      <c r="AE21" s="8">
        <f t="shared" si="1"/>
        <v>0.20616113744075837</v>
      </c>
      <c r="AF21" s="8"/>
      <c r="AG21" s="8"/>
      <c r="AH21" s="8"/>
    </row>
    <row r="22" spans="2:34" x14ac:dyDescent="0.2">
      <c r="N22" s="4"/>
      <c r="O22" s="4"/>
      <c r="P22" s="4"/>
      <c r="Q22" s="4"/>
      <c r="X22" s="6"/>
      <c r="Y22" s="6"/>
      <c r="Z22" s="6"/>
      <c r="AA22" s="6"/>
    </row>
    <row r="24" spans="2:34" x14ac:dyDescent="0.2">
      <c r="C24" s="6">
        <v>1999</v>
      </c>
      <c r="D24" s="6">
        <v>2000</v>
      </c>
      <c r="E24" s="6">
        <v>2001</v>
      </c>
      <c r="F24" s="6">
        <v>2002</v>
      </c>
      <c r="G24" s="6">
        <v>2003</v>
      </c>
      <c r="H24" s="6">
        <v>2004</v>
      </c>
      <c r="I24" s="6">
        <v>2005</v>
      </c>
      <c r="J24" s="6">
        <v>2006</v>
      </c>
      <c r="K24" s="6">
        <v>2007</v>
      </c>
      <c r="L24" s="6">
        <v>2008</v>
      </c>
      <c r="M24" s="6">
        <v>2009</v>
      </c>
      <c r="N24" s="6">
        <v>2010</v>
      </c>
    </row>
    <row r="25" spans="2:34" x14ac:dyDescent="0.2">
      <c r="B25" s="4" t="s">
        <v>364</v>
      </c>
      <c r="C25" s="7">
        <f>D25/1.2152</f>
        <v>892.0342330480579</v>
      </c>
      <c r="D25" s="19">
        <v>1084</v>
      </c>
      <c r="E25" s="19">
        <v>1239.9000000000001</v>
      </c>
      <c r="F25" s="19">
        <v>1404</v>
      </c>
      <c r="G25" s="19">
        <v>1454</v>
      </c>
      <c r="H25" s="19">
        <v>1711</v>
      </c>
      <c r="I25" s="19">
        <v>1946</v>
      </c>
      <c r="J25" s="19"/>
      <c r="K25" s="19"/>
      <c r="L25" s="19"/>
      <c r="M25" s="19"/>
      <c r="N25" s="19"/>
    </row>
    <row r="26" spans="2:34" x14ac:dyDescent="0.2">
      <c r="B26" s="4" t="s">
        <v>365</v>
      </c>
      <c r="C26" s="7">
        <f>D26/1.1899</f>
        <v>437.01151357256913</v>
      </c>
      <c r="D26" s="19">
        <v>520</v>
      </c>
      <c r="E26" s="19">
        <v>604.9</v>
      </c>
      <c r="F26" s="19">
        <v>741.9</v>
      </c>
      <c r="G26" s="19">
        <v>1059</v>
      </c>
      <c r="H26" s="19">
        <v>1339</v>
      </c>
      <c r="I26" s="19">
        <v>1606</v>
      </c>
      <c r="J26" s="19"/>
      <c r="K26" s="19"/>
      <c r="L26" s="19"/>
      <c r="M26" s="19"/>
      <c r="N26" s="19"/>
    </row>
    <row r="27" spans="2:34" x14ac:dyDescent="0.2">
      <c r="B27" s="4" t="s">
        <v>539</v>
      </c>
      <c r="C27" s="7">
        <f>D27/(1.2069)</f>
        <v>1329.0247742149306</v>
      </c>
      <c r="D27" s="7">
        <f t="shared" ref="D27:I27" si="2">D26+D25</f>
        <v>1604</v>
      </c>
      <c r="E27" s="19">
        <f t="shared" si="2"/>
        <v>1844.8000000000002</v>
      </c>
      <c r="F27" s="19">
        <f t="shared" si="2"/>
        <v>2145.9</v>
      </c>
      <c r="G27" s="19">
        <f t="shared" si="2"/>
        <v>2513</v>
      </c>
      <c r="H27" s="19">
        <f t="shared" si="2"/>
        <v>3050</v>
      </c>
      <c r="I27" s="19">
        <f t="shared" si="2"/>
        <v>3552</v>
      </c>
      <c r="J27" s="19">
        <f>I27*(1+J28)</f>
        <v>4084.7999999999997</v>
      </c>
      <c r="K27" s="19">
        <f>J27*(1+K28)</f>
        <v>3880.5599999999995</v>
      </c>
      <c r="L27" s="19">
        <f>K27*(1+L28)</f>
        <v>2716.3919999999994</v>
      </c>
      <c r="M27" s="19">
        <f>L27*(1+M28)</f>
        <v>679.09799999999984</v>
      </c>
      <c r="N27" s="19">
        <f>M27*(1+N28)</f>
        <v>67.909799999999976</v>
      </c>
    </row>
    <row r="28" spans="2:34" x14ac:dyDescent="0.2">
      <c r="B28" s="4" t="s">
        <v>540</v>
      </c>
      <c r="D28" s="8">
        <f t="shared" ref="D28:I28" si="3">D27/C27-1</f>
        <v>0.20690000000000008</v>
      </c>
      <c r="E28" s="8">
        <f t="shared" si="3"/>
        <v>0.15012468827930192</v>
      </c>
      <c r="F28" s="8">
        <f t="shared" si="3"/>
        <v>0.16321552471812661</v>
      </c>
      <c r="G28" s="8">
        <f t="shared" si="3"/>
        <v>0.1710704133463814</v>
      </c>
      <c r="H28" s="8">
        <f t="shared" si="3"/>
        <v>0.21368881814564267</v>
      </c>
      <c r="I28" s="8">
        <f t="shared" si="3"/>
        <v>0.16459016393442627</v>
      </c>
      <c r="J28" s="8">
        <v>0.15</v>
      </c>
      <c r="K28" s="8">
        <v>-0.05</v>
      </c>
      <c r="L28" s="8">
        <v>-0.3</v>
      </c>
      <c r="M28" s="8">
        <v>-0.75</v>
      </c>
      <c r="N28" s="8">
        <v>-0.9</v>
      </c>
    </row>
    <row r="31" spans="2:34" x14ac:dyDescent="0.2">
      <c r="B31" s="4" t="s">
        <v>541</v>
      </c>
    </row>
    <row r="33" spans="2:5" x14ac:dyDescent="0.2">
      <c r="B33" s="4" t="s">
        <v>542</v>
      </c>
      <c r="C33" s="6"/>
      <c r="D33" s="6" t="s">
        <v>543</v>
      </c>
      <c r="E33" s="6" t="s">
        <v>544</v>
      </c>
    </row>
    <row r="39" spans="2:5" x14ac:dyDescent="0.2">
      <c r="C39" s="161">
        <f t="shared" ref="C39:C48" si="4">C40+7</f>
        <v>39752</v>
      </c>
      <c r="D39" s="134"/>
    </row>
    <row r="40" spans="2:5" x14ac:dyDescent="0.2">
      <c r="C40" s="161">
        <f t="shared" si="4"/>
        <v>39745</v>
      </c>
      <c r="D40" s="134"/>
    </row>
    <row r="41" spans="2:5" x14ac:dyDescent="0.2">
      <c r="C41" s="161">
        <f t="shared" si="4"/>
        <v>39738</v>
      </c>
      <c r="D41" s="134">
        <v>50890</v>
      </c>
    </row>
    <row r="42" spans="2:5" x14ac:dyDescent="0.2">
      <c r="C42" s="161">
        <f t="shared" si="4"/>
        <v>39731</v>
      </c>
      <c r="D42" s="134">
        <v>54811</v>
      </c>
    </row>
    <row r="43" spans="2:5" x14ac:dyDescent="0.2">
      <c r="C43" s="161">
        <f t="shared" si="4"/>
        <v>39724</v>
      </c>
      <c r="D43" s="134">
        <v>55219</v>
      </c>
    </row>
    <row r="44" spans="2:5" x14ac:dyDescent="0.2">
      <c r="C44" s="161">
        <f t="shared" si="4"/>
        <v>39717</v>
      </c>
      <c r="D44" s="134">
        <v>52380</v>
      </c>
    </row>
    <row r="45" spans="2:5" x14ac:dyDescent="0.2">
      <c r="C45" s="161">
        <f t="shared" si="4"/>
        <v>39710</v>
      </c>
      <c r="D45" s="134">
        <v>52288</v>
      </c>
    </row>
    <row r="46" spans="2:5" x14ac:dyDescent="0.2">
      <c r="C46" s="161">
        <f t="shared" si="4"/>
        <v>39703</v>
      </c>
      <c r="D46" s="134">
        <v>54622</v>
      </c>
    </row>
    <row r="47" spans="2:5" x14ac:dyDescent="0.2">
      <c r="C47" s="161">
        <f t="shared" si="4"/>
        <v>39696</v>
      </c>
      <c r="D47" s="134">
        <v>54712</v>
      </c>
    </row>
    <row r="48" spans="2:5" x14ac:dyDescent="0.2">
      <c r="C48" s="161">
        <f t="shared" si="4"/>
        <v>39689</v>
      </c>
      <c r="D48" s="134">
        <v>58649</v>
      </c>
    </row>
    <row r="49" spans="3:5" x14ac:dyDescent="0.2">
      <c r="C49" s="161">
        <f>C50+7</f>
        <v>39682</v>
      </c>
      <c r="D49" s="134">
        <v>57878</v>
      </c>
    </row>
    <row r="50" spans="3:5" x14ac:dyDescent="0.2">
      <c r="C50" s="170">
        <v>39675</v>
      </c>
      <c r="D50" s="171">
        <v>60819</v>
      </c>
      <c r="E50" s="20"/>
    </row>
    <row r="51" spans="3:5" x14ac:dyDescent="0.2">
      <c r="C51" s="162">
        <v>39234</v>
      </c>
      <c r="D51" s="103">
        <v>224002</v>
      </c>
      <c r="E51" s="103">
        <v>103409</v>
      </c>
    </row>
    <row r="52" spans="3:5" x14ac:dyDescent="0.2">
      <c r="C52" s="162">
        <f>C51-7</f>
        <v>39227</v>
      </c>
      <c r="D52" s="103">
        <v>234486</v>
      </c>
      <c r="E52" s="103">
        <v>112202</v>
      </c>
    </row>
    <row r="53" spans="3:5" x14ac:dyDescent="0.2">
      <c r="C53" s="162">
        <f>C51-365</f>
        <v>38869</v>
      </c>
      <c r="D53" s="103">
        <v>226815</v>
      </c>
      <c r="E53" s="103">
        <v>104003</v>
      </c>
    </row>
  </sheetData>
  <phoneticPr fontId="11" type="noConversion"/>
  <hyperlinks>
    <hyperlink ref="A1" location="Main!A1" display="Main" xr:uid="{00000000-0004-0000-11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7"/>
  <sheetViews>
    <sheetView zoomScaleNormal="100" workbookViewId="0">
      <selection activeCell="B4" sqref="B4"/>
    </sheetView>
  </sheetViews>
  <sheetFormatPr defaultColWidth="9.140625" defaultRowHeight="12.75" x14ac:dyDescent="0.2"/>
  <cols>
    <col min="1" max="1" width="5" style="6" customWidth="1"/>
    <col min="2" max="2" width="12.140625" style="6" customWidth="1"/>
    <col min="3" max="3" width="5.28515625" style="6" customWidth="1"/>
    <col min="4" max="8" width="6.140625" style="6" bestFit="1" customWidth="1"/>
    <col min="9" max="13" width="5.28515625" style="6" customWidth="1"/>
    <col min="14" max="16384" width="9.140625" style="6"/>
  </cols>
  <sheetData>
    <row r="1" spans="1:13" x14ac:dyDescent="0.2">
      <c r="A1" s="5" t="s">
        <v>154</v>
      </c>
    </row>
    <row r="2" spans="1:13" x14ac:dyDescent="0.2">
      <c r="A2" s="5"/>
      <c r="B2" s="4" t="s">
        <v>485</v>
      </c>
      <c r="C2" s="4" t="s">
        <v>185</v>
      </c>
    </row>
    <row r="3" spans="1:13" x14ac:dyDescent="0.2">
      <c r="A3" s="5"/>
      <c r="B3" s="4" t="s">
        <v>486</v>
      </c>
      <c r="C3" s="4" t="s">
        <v>1149</v>
      </c>
    </row>
    <row r="4" spans="1:13" x14ac:dyDescent="0.2">
      <c r="A4" s="5"/>
      <c r="B4" s="4" t="s">
        <v>159</v>
      </c>
      <c r="C4" s="4" t="s">
        <v>1150</v>
      </c>
    </row>
    <row r="5" spans="1:13" x14ac:dyDescent="0.2">
      <c r="A5" s="5"/>
      <c r="B5" s="4" t="s">
        <v>488</v>
      </c>
      <c r="C5" s="4" t="s">
        <v>1151</v>
      </c>
    </row>
    <row r="6" spans="1:13" x14ac:dyDescent="0.2">
      <c r="A6" s="5"/>
      <c r="B6" s="4" t="s">
        <v>489</v>
      </c>
      <c r="C6" s="4" t="s">
        <v>802</v>
      </c>
    </row>
    <row r="7" spans="1:13" x14ac:dyDescent="0.2">
      <c r="A7" s="5"/>
      <c r="B7" s="4"/>
      <c r="C7" s="4" t="s">
        <v>803</v>
      </c>
    </row>
    <row r="8" spans="1:13" x14ac:dyDescent="0.2">
      <c r="A8" s="5"/>
      <c r="B8" s="4"/>
      <c r="C8" s="4" t="s">
        <v>804</v>
      </c>
    </row>
    <row r="9" spans="1:13" x14ac:dyDescent="0.2">
      <c r="A9" s="5"/>
      <c r="B9" s="4" t="s">
        <v>163</v>
      </c>
      <c r="C9" s="4" t="s">
        <v>805</v>
      </c>
    </row>
    <row r="10" spans="1:13" x14ac:dyDescent="0.2">
      <c r="A10" s="5"/>
      <c r="B10" s="4"/>
      <c r="C10" s="4" t="s">
        <v>75</v>
      </c>
    </row>
    <row r="11" spans="1:13" x14ac:dyDescent="0.2">
      <c r="A11" s="5"/>
      <c r="B11" s="4" t="s">
        <v>493</v>
      </c>
      <c r="C11" s="4" t="s">
        <v>806</v>
      </c>
    </row>
    <row r="12" spans="1:13" x14ac:dyDescent="0.2">
      <c r="A12" s="5"/>
      <c r="B12" s="4" t="s">
        <v>495</v>
      </c>
      <c r="C12" s="4" t="s">
        <v>807</v>
      </c>
    </row>
    <row r="13" spans="1:13" x14ac:dyDescent="0.2">
      <c r="A13" s="5"/>
      <c r="B13" s="4" t="s">
        <v>165</v>
      </c>
      <c r="C13" s="4" t="s">
        <v>808</v>
      </c>
    </row>
    <row r="14" spans="1:13" x14ac:dyDescent="0.2">
      <c r="A14" s="5"/>
      <c r="B14" s="4"/>
      <c r="C14" s="4"/>
    </row>
    <row r="15" spans="1:13" x14ac:dyDescent="0.2">
      <c r="C15" s="6">
        <v>2000</v>
      </c>
      <c r="D15" s="6">
        <v>2001</v>
      </c>
      <c r="E15" s="6">
        <v>2002</v>
      </c>
      <c r="F15" s="6">
        <v>2003</v>
      </c>
      <c r="G15" s="6">
        <v>2004</v>
      </c>
      <c r="H15" s="6">
        <v>2005</v>
      </c>
      <c r="I15" s="6">
        <v>2006</v>
      </c>
      <c r="J15" s="6">
        <v>2007</v>
      </c>
      <c r="K15" s="6">
        <v>2008</v>
      </c>
      <c r="L15" s="6">
        <v>2009</v>
      </c>
      <c r="M15" s="6">
        <v>2010</v>
      </c>
    </row>
    <row r="16" spans="1:13" x14ac:dyDescent="0.2">
      <c r="B16" s="20" t="s">
        <v>364</v>
      </c>
      <c r="D16" s="33"/>
      <c r="E16" s="33"/>
      <c r="F16" s="33"/>
      <c r="G16" s="33"/>
      <c r="H16" s="33"/>
      <c r="I16" s="33"/>
      <c r="J16" s="33"/>
      <c r="K16" s="33"/>
    </row>
    <row r="17" spans="2:11" x14ac:dyDescent="0.2">
      <c r="B17" s="20" t="s">
        <v>365</v>
      </c>
      <c r="D17" s="33"/>
      <c r="E17" s="33"/>
      <c r="F17" s="33"/>
      <c r="G17" s="33"/>
      <c r="H17" s="33"/>
      <c r="I17" s="33"/>
      <c r="J17" s="33"/>
      <c r="K17" s="33"/>
    </row>
    <row r="18" spans="2:11" x14ac:dyDescent="0.2">
      <c r="B18" s="20" t="s">
        <v>539</v>
      </c>
      <c r="D18" s="34"/>
      <c r="E18" s="34"/>
      <c r="F18" s="34"/>
      <c r="G18" s="34"/>
      <c r="H18" s="34"/>
      <c r="I18" s="34"/>
      <c r="J18" s="34"/>
      <c r="K18" s="34"/>
    </row>
    <row r="20" spans="2:11" x14ac:dyDescent="0.2">
      <c r="B20" s="4" t="s">
        <v>809</v>
      </c>
    </row>
    <row r="21" spans="2:11" x14ac:dyDescent="0.2">
      <c r="B21" s="4" t="s">
        <v>810</v>
      </c>
    </row>
    <row r="27" spans="2:11" x14ac:dyDescent="0.2">
      <c r="B27" s="4"/>
    </row>
  </sheetData>
  <phoneticPr fontId="11" type="noConversion"/>
  <hyperlinks>
    <hyperlink ref="A1" location="Main!A1" display="Main" xr:uid="{00000000-0004-0000-0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
  <sheetViews>
    <sheetView workbookViewId="0">
      <pane xSplit="2" ySplit="2" topLeftCell="C3" activePane="bottomRight" state="frozen"/>
      <selection pane="topRight" activeCell="C1" sqref="C1"/>
      <selection pane="bottomLeft" activeCell="A11" sqref="A11"/>
      <selection pane="bottomRight" activeCell="F10" sqref="F10"/>
    </sheetView>
  </sheetViews>
  <sheetFormatPr defaultColWidth="9.140625" defaultRowHeight="12.75" x14ac:dyDescent="0.2"/>
  <cols>
    <col min="1" max="1" width="5" bestFit="1" customWidth="1"/>
    <col min="2" max="2" width="18.85546875" customWidth="1"/>
    <col min="3" max="3" width="13.140625" bestFit="1" customWidth="1"/>
    <col min="4" max="4" width="13.42578125" customWidth="1"/>
    <col min="5" max="5" width="22.42578125" customWidth="1"/>
    <col min="6" max="6" width="12.42578125" customWidth="1"/>
  </cols>
  <sheetData>
    <row r="1" spans="1:11" x14ac:dyDescent="0.2">
      <c r="A1" s="172" t="s">
        <v>154</v>
      </c>
    </row>
    <row r="2" spans="1:11" x14ac:dyDescent="0.2">
      <c r="B2" t="s">
        <v>1693</v>
      </c>
      <c r="C2" t="s">
        <v>1274</v>
      </c>
      <c r="D2" t="s">
        <v>1694</v>
      </c>
      <c r="E2" t="s">
        <v>159</v>
      </c>
      <c r="F2" t="s">
        <v>1695</v>
      </c>
      <c r="G2" t="s">
        <v>768</v>
      </c>
      <c r="H2" t="s">
        <v>321</v>
      </c>
      <c r="I2" t="s">
        <v>1775</v>
      </c>
      <c r="J2" t="s">
        <v>495</v>
      </c>
      <c r="K2" t="s">
        <v>316</v>
      </c>
    </row>
    <row r="3" spans="1:11" x14ac:dyDescent="0.2">
      <c r="B3" t="s">
        <v>1761</v>
      </c>
      <c r="C3" t="s">
        <v>1537</v>
      </c>
      <c r="D3" t="s">
        <v>1610</v>
      </c>
      <c r="E3" t="s">
        <v>194</v>
      </c>
      <c r="F3" t="s">
        <v>770</v>
      </c>
      <c r="G3" t="s">
        <v>1700</v>
      </c>
      <c r="J3" t="s">
        <v>168</v>
      </c>
    </row>
    <row r="4" spans="1:11" x14ac:dyDescent="0.2">
      <c r="B4" t="s">
        <v>12</v>
      </c>
      <c r="D4" s="320"/>
      <c r="E4" t="s">
        <v>1750</v>
      </c>
      <c r="F4" t="s">
        <v>14</v>
      </c>
      <c r="G4" t="s">
        <v>17</v>
      </c>
      <c r="H4" s="320" t="s">
        <v>16</v>
      </c>
      <c r="I4" t="s">
        <v>13</v>
      </c>
      <c r="J4" t="s">
        <v>168</v>
      </c>
    </row>
    <row r="5" spans="1:11" x14ac:dyDescent="0.2">
      <c r="B5" t="s">
        <v>1054</v>
      </c>
      <c r="H5" t="s">
        <v>1774</v>
      </c>
      <c r="I5" t="s">
        <v>1056</v>
      </c>
    </row>
    <row r="6" spans="1:11" x14ac:dyDescent="0.2">
      <c r="B6" t="s">
        <v>1733</v>
      </c>
      <c r="C6" t="s">
        <v>1585</v>
      </c>
      <c r="D6" t="s">
        <v>1734</v>
      </c>
      <c r="E6" t="s">
        <v>1736</v>
      </c>
      <c r="G6" t="s">
        <v>1735</v>
      </c>
    </row>
    <row r="7" spans="1:11" x14ac:dyDescent="0.2">
      <c r="B7" t="s">
        <v>184</v>
      </c>
      <c r="C7" t="s">
        <v>1789</v>
      </c>
      <c r="D7" t="s">
        <v>1781</v>
      </c>
      <c r="E7" t="s">
        <v>169</v>
      </c>
      <c r="F7" t="s">
        <v>1274</v>
      </c>
    </row>
    <row r="8" spans="1:11" x14ac:dyDescent="0.2">
      <c r="B8" t="s">
        <v>1616</v>
      </c>
      <c r="C8" t="s">
        <v>836</v>
      </c>
      <c r="D8" t="s">
        <v>837</v>
      </c>
      <c r="E8" t="s">
        <v>1548</v>
      </c>
    </row>
    <row r="9" spans="1:11" x14ac:dyDescent="0.2">
      <c r="B9" t="s">
        <v>1599</v>
      </c>
      <c r="C9" t="s">
        <v>1595</v>
      </c>
      <c r="E9" t="s">
        <v>186</v>
      </c>
      <c r="F9" t="s">
        <v>1776</v>
      </c>
      <c r="H9" s="253"/>
    </row>
    <row r="10" spans="1:11" x14ac:dyDescent="0.2">
      <c r="B10" t="s">
        <v>166</v>
      </c>
      <c r="D10" t="s">
        <v>25</v>
      </c>
      <c r="E10" t="s">
        <v>167</v>
      </c>
      <c r="H10" s="253"/>
    </row>
    <row r="11" spans="1:11" x14ac:dyDescent="0.2">
      <c r="B11" t="s">
        <v>524</v>
      </c>
      <c r="C11" t="s">
        <v>525</v>
      </c>
      <c r="D11" s="320" t="s">
        <v>1781</v>
      </c>
      <c r="E11" t="s">
        <v>547</v>
      </c>
      <c r="F11" t="s">
        <v>1274</v>
      </c>
      <c r="G11" s="3">
        <v>1</v>
      </c>
      <c r="H11">
        <v>1993</v>
      </c>
      <c r="J11" t="s">
        <v>170</v>
      </c>
    </row>
    <row r="12" spans="1:11" x14ac:dyDescent="0.2">
      <c r="B12" t="s">
        <v>1589</v>
      </c>
      <c r="C12" t="s">
        <v>950</v>
      </c>
      <c r="D12" t="s">
        <v>1737</v>
      </c>
      <c r="E12" t="s">
        <v>1619</v>
      </c>
    </row>
    <row r="13" spans="1:11" x14ac:dyDescent="0.2">
      <c r="B13" t="s">
        <v>1745</v>
      </c>
      <c r="C13" t="s">
        <v>1744</v>
      </c>
      <c r="D13" s="254" t="s">
        <v>240</v>
      </c>
      <c r="E13" t="s">
        <v>1742</v>
      </c>
    </row>
    <row r="14" spans="1:11" x14ac:dyDescent="0.2">
      <c r="B14" t="s">
        <v>1592</v>
      </c>
      <c r="C14" t="s">
        <v>1170</v>
      </c>
      <c r="E14" t="s">
        <v>1611</v>
      </c>
    </row>
    <row r="15" spans="1:11" x14ac:dyDescent="0.2">
      <c r="B15" t="s">
        <v>1754</v>
      </c>
      <c r="C15" t="s">
        <v>1580</v>
      </c>
      <c r="D15" t="s">
        <v>1755</v>
      </c>
      <c r="E15" t="s">
        <v>1756</v>
      </c>
      <c r="F15" t="s">
        <v>1777</v>
      </c>
    </row>
    <row r="16" spans="1:11" x14ac:dyDescent="0.2">
      <c r="B16" t="s">
        <v>1858</v>
      </c>
      <c r="C16" t="s">
        <v>1854</v>
      </c>
      <c r="D16" t="s">
        <v>1855</v>
      </c>
      <c r="E16" t="s">
        <v>194</v>
      </c>
    </row>
    <row r="17" spans="2:9" x14ac:dyDescent="0.2">
      <c r="B17" t="s">
        <v>1825</v>
      </c>
      <c r="C17" t="s">
        <v>1574</v>
      </c>
      <c r="D17" t="s">
        <v>1547</v>
      </c>
      <c r="E17" t="s">
        <v>1546</v>
      </c>
    </row>
    <row r="18" spans="2:9" x14ac:dyDescent="0.2">
      <c r="B18" t="s">
        <v>1583</v>
      </c>
      <c r="C18" t="s">
        <v>1265</v>
      </c>
      <c r="E18" t="s">
        <v>1618</v>
      </c>
    </row>
    <row r="19" spans="2:9" x14ac:dyDescent="0.2">
      <c r="B19" t="s">
        <v>1617</v>
      </c>
      <c r="C19" t="s">
        <v>1321</v>
      </c>
      <c r="E19" t="s">
        <v>1586</v>
      </c>
      <c r="F19" t="s">
        <v>1274</v>
      </c>
    </row>
    <row r="20" spans="2:9" x14ac:dyDescent="0.2">
      <c r="B20" t="s">
        <v>1058</v>
      </c>
      <c r="D20" t="s">
        <v>1055</v>
      </c>
      <c r="E20" t="s">
        <v>1057</v>
      </c>
    </row>
    <row r="21" spans="2:9" x14ac:dyDescent="0.2">
      <c r="B21" t="s">
        <v>1059</v>
      </c>
      <c r="D21" t="s">
        <v>1055</v>
      </c>
      <c r="E21" t="s">
        <v>1057</v>
      </c>
    </row>
    <row r="22" spans="2:9" x14ac:dyDescent="0.2">
      <c r="B22" t="s">
        <v>1060</v>
      </c>
      <c r="D22" t="s">
        <v>1055</v>
      </c>
      <c r="E22" t="s">
        <v>1057</v>
      </c>
    </row>
    <row r="23" spans="2:9" x14ac:dyDescent="0.2">
      <c r="C23" t="s">
        <v>545</v>
      </c>
      <c r="D23" s="320" t="s">
        <v>546</v>
      </c>
      <c r="E23" t="s">
        <v>547</v>
      </c>
    </row>
    <row r="24" spans="2:9" x14ac:dyDescent="0.2">
      <c r="C24" t="s">
        <v>548</v>
      </c>
      <c r="D24" s="320" t="s">
        <v>549</v>
      </c>
      <c r="E24" t="s">
        <v>547</v>
      </c>
    </row>
    <row r="25" spans="2:9" x14ac:dyDescent="0.2">
      <c r="C25" t="s">
        <v>550</v>
      </c>
      <c r="D25" s="320" t="s">
        <v>551</v>
      </c>
      <c r="E25" t="s">
        <v>547</v>
      </c>
    </row>
    <row r="26" spans="2:9" x14ac:dyDescent="0.2">
      <c r="C26" t="s">
        <v>552</v>
      </c>
      <c r="D26" s="320" t="s">
        <v>553</v>
      </c>
      <c r="E26" t="s">
        <v>547</v>
      </c>
    </row>
    <row r="27" spans="2:9" x14ac:dyDescent="0.2">
      <c r="C27" t="s">
        <v>554</v>
      </c>
      <c r="D27" s="320" t="s">
        <v>555</v>
      </c>
      <c r="E27" t="s">
        <v>547</v>
      </c>
    </row>
    <row r="28" spans="2:9" x14ac:dyDescent="0.2">
      <c r="B28" t="s">
        <v>246</v>
      </c>
      <c r="C28" t="s">
        <v>19</v>
      </c>
    </row>
    <row r="29" spans="2:9" x14ac:dyDescent="0.2">
      <c r="B29" t="s">
        <v>434</v>
      </c>
    </row>
    <row r="30" spans="2:9" x14ac:dyDescent="0.2">
      <c r="B30" t="s">
        <v>435</v>
      </c>
    </row>
    <row r="31" spans="2:9" x14ac:dyDescent="0.2">
      <c r="B31" s="2" t="s">
        <v>569</v>
      </c>
      <c r="C31" t="s">
        <v>186</v>
      </c>
      <c r="D31" s="254" t="s">
        <v>187</v>
      </c>
      <c r="E31" s="277">
        <v>1</v>
      </c>
      <c r="F31" s="277" t="s">
        <v>205</v>
      </c>
      <c r="G31" t="s">
        <v>571</v>
      </c>
    </row>
    <row r="32" spans="2:9" x14ac:dyDescent="0.2">
      <c r="B32" s="2" t="s">
        <v>199</v>
      </c>
      <c r="C32" t="s">
        <v>200</v>
      </c>
      <c r="D32" s="254" t="s">
        <v>201</v>
      </c>
      <c r="E32" s="277" t="s">
        <v>202</v>
      </c>
      <c r="F32" s="277" t="s">
        <v>170</v>
      </c>
      <c r="G32" t="s">
        <v>24</v>
      </c>
      <c r="I32" s="254">
        <v>2013</v>
      </c>
    </row>
    <row r="33" spans="2:11" x14ac:dyDescent="0.2">
      <c r="B33" s="321" t="s">
        <v>567</v>
      </c>
      <c r="C33" t="s">
        <v>563</v>
      </c>
      <c r="D33" s="254" t="s">
        <v>73</v>
      </c>
      <c r="E33" s="277" t="s">
        <v>564</v>
      </c>
      <c r="F33" s="277" t="s">
        <v>565</v>
      </c>
      <c r="G33" t="s">
        <v>566</v>
      </c>
      <c r="I33" s="254" t="s">
        <v>1181</v>
      </c>
    </row>
    <row r="34" spans="2:11" x14ac:dyDescent="0.2">
      <c r="B34" s="2" t="s">
        <v>568</v>
      </c>
      <c r="C34" t="s">
        <v>182</v>
      </c>
      <c r="D34" s="254" t="s">
        <v>183</v>
      </c>
      <c r="E34" s="277">
        <v>1</v>
      </c>
      <c r="F34" s="277" t="s">
        <v>170</v>
      </c>
      <c r="G34" t="s">
        <v>660</v>
      </c>
      <c r="I34" s="313" t="s">
        <v>22</v>
      </c>
    </row>
    <row r="35" spans="2:11" x14ac:dyDescent="0.2">
      <c r="B35" s="321" t="s">
        <v>1482</v>
      </c>
      <c r="C35" t="s">
        <v>196</v>
      </c>
      <c r="D35" s="254" t="s">
        <v>197</v>
      </c>
      <c r="E35" s="254" t="s">
        <v>198</v>
      </c>
      <c r="F35" s="254" t="s">
        <v>170</v>
      </c>
      <c r="G35" t="s">
        <v>1483</v>
      </c>
      <c r="I35" s="313" t="s">
        <v>23</v>
      </c>
    </row>
    <row r="36" spans="2:11" x14ac:dyDescent="0.2">
      <c r="B36" s="322" t="s">
        <v>241</v>
      </c>
      <c r="C36" t="s">
        <v>1543</v>
      </c>
      <c r="D36" s="254"/>
      <c r="E36" s="277" t="s">
        <v>1341</v>
      </c>
      <c r="F36" s="254" t="s">
        <v>170</v>
      </c>
      <c r="H36" s="254">
        <v>2001</v>
      </c>
      <c r="I36" s="254" t="s">
        <v>22</v>
      </c>
    </row>
    <row r="37" spans="2:11" x14ac:dyDescent="0.2">
      <c r="B37" s="2" t="s">
        <v>1501</v>
      </c>
      <c r="C37" t="s">
        <v>186</v>
      </c>
      <c r="D37" s="254" t="s">
        <v>871</v>
      </c>
      <c r="E37" s="277" t="s">
        <v>629</v>
      </c>
      <c r="F37" s="254" t="s">
        <v>170</v>
      </c>
      <c r="G37" t="s">
        <v>457</v>
      </c>
      <c r="I37" s="254" t="s">
        <v>872</v>
      </c>
    </row>
    <row r="38" spans="2:11" x14ac:dyDescent="0.2">
      <c r="B38" s="2" t="s">
        <v>658</v>
      </c>
      <c r="C38" t="s">
        <v>663</v>
      </c>
      <c r="D38" s="254" t="s">
        <v>664</v>
      </c>
      <c r="E38" s="277">
        <v>1</v>
      </c>
      <c r="F38" s="254" t="s">
        <v>168</v>
      </c>
      <c r="G38" t="s">
        <v>665</v>
      </c>
      <c r="I38" s="254">
        <v>2014</v>
      </c>
    </row>
    <row r="39" spans="2:11" x14ac:dyDescent="0.2">
      <c r="B39" s="2" t="s">
        <v>208</v>
      </c>
      <c r="C39" t="s">
        <v>211</v>
      </c>
      <c r="D39" s="254" t="s">
        <v>666</v>
      </c>
      <c r="E39" s="277">
        <v>1</v>
      </c>
      <c r="F39" s="254" t="s">
        <v>662</v>
      </c>
      <c r="G39" t="s">
        <v>667</v>
      </c>
      <c r="I39" s="254" t="s">
        <v>662</v>
      </c>
    </row>
    <row r="40" spans="2:11" x14ac:dyDescent="0.2">
      <c r="B40" s="2" t="s">
        <v>15</v>
      </c>
      <c r="D40" s="254"/>
      <c r="E40" s="254"/>
      <c r="I40" s="254" t="s">
        <v>22</v>
      </c>
    </row>
    <row r="41" spans="2:11" x14ac:dyDescent="0.2">
      <c r="B41" s="2" t="s">
        <v>575</v>
      </c>
      <c r="C41" t="s">
        <v>186</v>
      </c>
      <c r="D41" s="254"/>
      <c r="E41" s="254" t="s">
        <v>576</v>
      </c>
      <c r="F41" s="254" t="s">
        <v>170</v>
      </c>
      <c r="I41" s="254" t="s">
        <v>577</v>
      </c>
    </row>
    <row r="42" spans="2:11" x14ac:dyDescent="0.2">
      <c r="B42" s="2" t="s">
        <v>574</v>
      </c>
      <c r="C42" t="s">
        <v>222</v>
      </c>
      <c r="D42" s="254" t="s">
        <v>223</v>
      </c>
      <c r="E42" s="277">
        <v>1</v>
      </c>
      <c r="F42" s="254" t="s">
        <v>168</v>
      </c>
      <c r="G42" s="254"/>
      <c r="H42" s="254"/>
      <c r="I42" s="254" t="s">
        <v>23</v>
      </c>
    </row>
    <row r="43" spans="2:11" x14ac:dyDescent="0.2">
      <c r="B43" s="314" t="s">
        <v>1621</v>
      </c>
      <c r="C43" t="s">
        <v>196</v>
      </c>
      <c r="D43" s="254" t="s">
        <v>197</v>
      </c>
      <c r="E43" s="277" t="s">
        <v>259</v>
      </c>
      <c r="F43" s="254" t="s">
        <v>170</v>
      </c>
      <c r="G43" t="s">
        <v>1622</v>
      </c>
      <c r="I43" s="312"/>
    </row>
    <row r="44" spans="2:11" x14ac:dyDescent="0.2">
      <c r="B44" s="311" t="s">
        <v>875</v>
      </c>
      <c r="C44" t="s">
        <v>194</v>
      </c>
      <c r="D44" s="254" t="s">
        <v>195</v>
      </c>
      <c r="E44" s="277" t="s">
        <v>659</v>
      </c>
      <c r="F44" s="277" t="s">
        <v>168</v>
      </c>
      <c r="G44" s="76"/>
      <c r="H44" s="312" t="s">
        <v>661</v>
      </c>
    </row>
    <row r="45" spans="2:11" x14ac:dyDescent="0.2">
      <c r="C45" s="254"/>
      <c r="D45" s="254"/>
      <c r="H45" t="s">
        <v>164</v>
      </c>
      <c r="I45" s="254" t="s">
        <v>1775</v>
      </c>
      <c r="J45" t="s">
        <v>495</v>
      </c>
      <c r="K45" t="s">
        <v>316</v>
      </c>
    </row>
    <row r="46" spans="2:11" x14ac:dyDescent="0.2">
      <c r="B46" t="s">
        <v>1609</v>
      </c>
    </row>
    <row r="47" spans="2:11" x14ac:dyDescent="0.2">
      <c r="B47" t="s">
        <v>1600</v>
      </c>
      <c r="C47" t="s">
        <v>1579</v>
      </c>
      <c r="D47" t="s">
        <v>1605</v>
      </c>
      <c r="E47" t="s">
        <v>1697</v>
      </c>
      <c r="F47" t="s">
        <v>1696</v>
      </c>
      <c r="G47" t="s">
        <v>1541</v>
      </c>
    </row>
    <row r="48" spans="2:11" x14ac:dyDescent="0.2">
      <c r="B48" t="s">
        <v>1591</v>
      </c>
    </row>
    <row r="49" spans="2:11" x14ac:dyDescent="0.2">
      <c r="B49" t="s">
        <v>1597</v>
      </c>
    </row>
    <row r="50" spans="2:11" x14ac:dyDescent="0.2">
      <c r="D50" t="s">
        <v>1605</v>
      </c>
      <c r="E50" t="s">
        <v>194</v>
      </c>
    </row>
    <row r="51" spans="2:11" x14ac:dyDescent="0.2">
      <c r="B51" t="s">
        <v>1590</v>
      </c>
      <c r="E51" t="s">
        <v>1603</v>
      </c>
    </row>
    <row r="52" spans="2:11" x14ac:dyDescent="0.2">
      <c r="B52" t="s">
        <v>1698</v>
      </c>
      <c r="C52" t="s">
        <v>1699</v>
      </c>
      <c r="D52" t="s">
        <v>1747</v>
      </c>
      <c r="E52" t="s">
        <v>1746</v>
      </c>
      <c r="G52" s="321"/>
      <c r="H52" s="254"/>
      <c r="I52" s="254"/>
    </row>
    <row r="53" spans="2:11" x14ac:dyDescent="0.2">
      <c r="B53" t="s">
        <v>1748</v>
      </c>
      <c r="C53" t="s">
        <v>1749</v>
      </c>
      <c r="D53" t="s">
        <v>1751</v>
      </c>
      <c r="E53" t="s">
        <v>1750</v>
      </c>
      <c r="G53" s="321"/>
      <c r="H53" s="254"/>
      <c r="I53" s="254"/>
    </row>
    <row r="54" spans="2:11" x14ac:dyDescent="0.2">
      <c r="B54" t="s">
        <v>1301</v>
      </c>
    </row>
    <row r="55" spans="2:11" x14ac:dyDescent="0.2">
      <c r="B55" t="s">
        <v>242</v>
      </c>
      <c r="D55" t="s">
        <v>1779</v>
      </c>
      <c r="E55" t="s">
        <v>1780</v>
      </c>
      <c r="J55" t="s">
        <v>1561</v>
      </c>
    </row>
    <row r="56" spans="2:11" x14ac:dyDescent="0.2">
      <c r="B56" t="s">
        <v>250</v>
      </c>
      <c r="D56" t="s">
        <v>251</v>
      </c>
      <c r="E56" t="s">
        <v>1823</v>
      </c>
      <c r="H56" t="s">
        <v>212</v>
      </c>
      <c r="J56" t="s">
        <v>170</v>
      </c>
    </row>
    <row r="57" spans="2:11" x14ac:dyDescent="0.2">
      <c r="B57" t="s">
        <v>1564</v>
      </c>
      <c r="E57" t="s">
        <v>1565</v>
      </c>
    </row>
    <row r="58" spans="2:11" x14ac:dyDescent="0.2">
      <c r="B58" t="s">
        <v>317</v>
      </c>
      <c r="D58" t="s">
        <v>1828</v>
      </c>
      <c r="E58" t="s">
        <v>1829</v>
      </c>
    </row>
    <row r="59" spans="2:11" x14ac:dyDescent="0.2">
      <c r="B59" t="s">
        <v>235</v>
      </c>
    </row>
    <row r="60" spans="2:11" x14ac:dyDescent="0.2">
      <c r="B60" t="s">
        <v>1607</v>
      </c>
      <c r="D60" t="s">
        <v>833</v>
      </c>
    </row>
    <row r="61" spans="2:11" x14ac:dyDescent="0.2">
      <c r="B61" t="s">
        <v>1428</v>
      </c>
      <c r="D61" t="s">
        <v>1558</v>
      </c>
      <c r="E61" t="s">
        <v>1783</v>
      </c>
      <c r="F61" t="s">
        <v>1696</v>
      </c>
      <c r="G61" t="s">
        <v>709</v>
      </c>
      <c r="H61" t="s">
        <v>212</v>
      </c>
      <c r="J61" t="s">
        <v>170</v>
      </c>
      <c r="K61" t="s">
        <v>1782</v>
      </c>
    </row>
    <row r="62" spans="2:11" x14ac:dyDescent="0.2">
      <c r="B62" t="s">
        <v>1598</v>
      </c>
    </row>
    <row r="63" spans="2:11" x14ac:dyDescent="0.2">
      <c r="B63" t="s">
        <v>1614</v>
      </c>
    </row>
    <row r="64" spans="2:11" x14ac:dyDescent="0.2">
      <c r="B64" t="s">
        <v>239</v>
      </c>
      <c r="C64" t="s">
        <v>169</v>
      </c>
      <c r="D64" t="s">
        <v>1824</v>
      </c>
      <c r="E64" t="s">
        <v>169</v>
      </c>
    </row>
    <row r="65" spans="2:6" x14ac:dyDescent="0.2">
      <c r="B65" t="s">
        <v>1584</v>
      </c>
      <c r="E65" t="s">
        <v>1588</v>
      </c>
    </row>
    <row r="66" spans="2:6" x14ac:dyDescent="0.2">
      <c r="B66" t="s">
        <v>1431</v>
      </c>
    </row>
    <row r="67" spans="2:6" x14ac:dyDescent="0.2">
      <c r="B67" t="s">
        <v>1571</v>
      </c>
      <c r="E67" t="s">
        <v>1572</v>
      </c>
    </row>
    <row r="68" spans="2:6" x14ac:dyDescent="0.2">
      <c r="B68" t="s">
        <v>1320</v>
      </c>
      <c r="D68" t="s">
        <v>1770</v>
      </c>
      <c r="E68" t="s">
        <v>1769</v>
      </c>
    </row>
    <row r="69" spans="2:6" x14ac:dyDescent="0.2">
      <c r="B69" t="s">
        <v>1566</v>
      </c>
    </row>
    <row r="70" spans="2:6" x14ac:dyDescent="0.2">
      <c r="B70" t="s">
        <v>1329</v>
      </c>
      <c r="E70" t="s">
        <v>1596</v>
      </c>
    </row>
    <row r="71" spans="2:6" x14ac:dyDescent="0.2">
      <c r="B71" t="s">
        <v>1429</v>
      </c>
      <c r="D71" t="s">
        <v>1573</v>
      </c>
      <c r="E71" t="s">
        <v>1582</v>
      </c>
    </row>
    <row r="72" spans="2:6" x14ac:dyDescent="0.2">
      <c r="B72" t="s">
        <v>1604</v>
      </c>
      <c r="E72" t="s">
        <v>1613</v>
      </c>
    </row>
    <row r="73" spans="2:6" x14ac:dyDescent="0.2">
      <c r="B73" t="s">
        <v>1570</v>
      </c>
    </row>
    <row r="74" spans="2:6" x14ac:dyDescent="0.2">
      <c r="B74" t="s">
        <v>1594</v>
      </c>
      <c r="E74" t="s">
        <v>237</v>
      </c>
    </row>
    <row r="75" spans="2:6" x14ac:dyDescent="0.2">
      <c r="B75" t="s">
        <v>1615</v>
      </c>
      <c r="E75" t="s">
        <v>318</v>
      </c>
    </row>
    <row r="76" spans="2:6" x14ac:dyDescent="0.2">
      <c r="B76" t="s">
        <v>1606</v>
      </c>
      <c r="E76" t="s">
        <v>1603</v>
      </c>
    </row>
    <row r="77" spans="2:6" x14ac:dyDescent="0.2">
      <c r="B77" t="s">
        <v>1602</v>
      </c>
      <c r="E77" t="s">
        <v>1427</v>
      </c>
    </row>
    <row r="78" spans="2:6" x14ac:dyDescent="0.2">
      <c r="B78" t="s">
        <v>1763</v>
      </c>
      <c r="C78" t="s">
        <v>1760</v>
      </c>
      <c r="D78" t="s">
        <v>1764</v>
      </c>
      <c r="E78" t="s">
        <v>1612</v>
      </c>
      <c r="F78" t="s">
        <v>1765</v>
      </c>
    </row>
    <row r="79" spans="2:6" x14ac:dyDescent="0.2">
      <c r="B79" t="s">
        <v>1552</v>
      </c>
      <c r="C79" t="s">
        <v>1826</v>
      </c>
      <c r="D79" t="s">
        <v>1827</v>
      </c>
      <c r="E79" t="s">
        <v>1543</v>
      </c>
    </row>
    <row r="80" spans="2:6" x14ac:dyDescent="0.2">
      <c r="B80" t="s">
        <v>1608</v>
      </c>
    </row>
    <row r="81" spans="2:7" x14ac:dyDescent="0.2">
      <c r="B81" t="s">
        <v>1762</v>
      </c>
      <c r="C81" t="s">
        <v>1601</v>
      </c>
    </row>
    <row r="82" spans="2:7" x14ac:dyDescent="0.2">
      <c r="B82" t="s">
        <v>1575</v>
      </c>
      <c r="C82" t="s">
        <v>1576</v>
      </c>
    </row>
    <row r="83" spans="2:7" x14ac:dyDescent="0.2">
      <c r="B83" t="s">
        <v>1577</v>
      </c>
      <c r="D83" t="s">
        <v>1578</v>
      </c>
    </row>
    <row r="84" spans="2:7" x14ac:dyDescent="0.2">
      <c r="B84" t="s">
        <v>224</v>
      </c>
      <c r="E84" t="s">
        <v>214</v>
      </c>
    </row>
    <row r="85" spans="2:7" x14ac:dyDescent="0.2">
      <c r="B85" t="s">
        <v>1587</v>
      </c>
    </row>
    <row r="86" spans="2:7" x14ac:dyDescent="0.2">
      <c r="B86" t="s">
        <v>244</v>
      </c>
      <c r="E86" t="s">
        <v>245</v>
      </c>
    </row>
    <row r="87" spans="2:7" x14ac:dyDescent="0.2">
      <c r="C87" t="s">
        <v>1542</v>
      </c>
      <c r="E87" t="s">
        <v>1543</v>
      </c>
      <c r="G87" t="s">
        <v>172</v>
      </c>
    </row>
    <row r="88" spans="2:7" x14ac:dyDescent="0.2">
      <c r="C88" t="s">
        <v>1580</v>
      </c>
      <c r="E88" t="s">
        <v>1581</v>
      </c>
    </row>
    <row r="89" spans="2:7" x14ac:dyDescent="0.2">
      <c r="C89" t="s">
        <v>1593</v>
      </c>
      <c r="E89" t="s">
        <v>1620</v>
      </c>
    </row>
    <row r="91" spans="2:7" x14ac:dyDescent="0.2">
      <c r="B91" t="s">
        <v>1231</v>
      </c>
    </row>
    <row r="92" spans="2:7" x14ac:dyDescent="0.2">
      <c r="B92" t="s">
        <v>1232</v>
      </c>
    </row>
    <row r="93" spans="2:7" x14ac:dyDescent="0.2">
      <c r="B93" t="s">
        <v>1233</v>
      </c>
    </row>
    <row r="94" spans="2:7" x14ac:dyDescent="0.2">
      <c r="B94" t="s">
        <v>1301</v>
      </c>
    </row>
    <row r="95" spans="2:7" x14ac:dyDescent="0.2">
      <c r="B95" t="s">
        <v>1334</v>
      </c>
    </row>
    <row r="96" spans="2:7" x14ac:dyDescent="0.2">
      <c r="B96" t="s">
        <v>1335</v>
      </c>
    </row>
    <row r="97" spans="2:7" x14ac:dyDescent="0.2">
      <c r="B97" t="s">
        <v>1336</v>
      </c>
    </row>
    <row r="98" spans="2:7" x14ac:dyDescent="0.2">
      <c r="B98" t="s">
        <v>1337</v>
      </c>
    </row>
    <row r="99" spans="2:7" x14ac:dyDescent="0.2">
      <c r="B99" s="310" t="s">
        <v>1757</v>
      </c>
      <c r="C99" s="254"/>
      <c r="D99" s="254" t="s">
        <v>1758</v>
      </c>
      <c r="E99" s="254" t="s">
        <v>1759</v>
      </c>
      <c r="F99" s="254" t="s">
        <v>170</v>
      </c>
      <c r="G99" s="329" t="s">
        <v>709</v>
      </c>
    </row>
    <row r="100" spans="2:7" x14ac:dyDescent="0.2">
      <c r="B100" s="310" t="s">
        <v>1766</v>
      </c>
      <c r="C100" s="254" t="s">
        <v>1767</v>
      </c>
      <c r="D100" s="254"/>
      <c r="E100" s="254" t="s">
        <v>212</v>
      </c>
      <c r="F100" s="254"/>
      <c r="G100" s="329" t="s">
        <v>1768</v>
      </c>
    </row>
  </sheetData>
  <sortState xmlns:xlrd2="http://schemas.microsoft.com/office/spreadsheetml/2017/richdata2" ref="B46:E89">
    <sortCondition ref="B46:B89"/>
  </sortState>
  <hyperlinks>
    <hyperlink ref="A1" location="Main!A1" display="Main" xr:uid="{F54B6BB6-F7A2-4FF6-9B6A-07DD022BF6E6}"/>
    <hyperlink ref="B31" location="Duragesic!A1" display="Duragesic" xr:uid="{A97E01D1-AC0C-404E-964A-81B455910D08}"/>
    <hyperlink ref="B32" location="Aciphex!A1" display="Aciphex (rabeprazole)" xr:uid="{00000000-0004-0000-0600-000004000000}"/>
    <hyperlink ref="B33" location="Levaquin!A1" display="Levaquin" xr:uid="{00000000-0004-0000-0600-00000F000000}"/>
    <hyperlink ref="B34" location="Topamax!A1" display="Topamax" xr:uid="{00000000-0004-0000-0600-000001000000}"/>
    <hyperlink ref="B35" location="telaprevir!A1" display="Incivo (telaprevir)" xr:uid="{00000000-0004-0000-0600-000021000000}"/>
    <hyperlink ref="B37" location="Tapentadol!A1" display="tapentadol" xr:uid="{00000000-0004-0000-0600-000015000000}"/>
    <hyperlink ref="B39" location="Contraceptives!A1" display="Contraceptives" xr:uid="{00000000-0004-0000-0600-000005000000}"/>
    <hyperlink ref="B40" location="Sporanox!A1" display="Sporanox" xr:uid="{00000000-0004-0000-0600-000006000000}"/>
    <hyperlink ref="B38" location="Natrecor!A1" display="Natrecor" xr:uid="{00000000-0004-0000-0600-000011000000}"/>
    <hyperlink ref="B41" location="Ultram!A1" display="Ultram" xr:uid="{00000000-0004-0000-0600-000007000000}"/>
    <hyperlink ref="B42" location="Doripenem!A1" display="Doripenem" xr:uid="{00000000-0004-0000-0600-00000A000000}"/>
    <hyperlink ref="B44" location="Velcade!A1" display="Velcade (bortezimib)" xr:uid="{00000000-0004-0000-0600-000012000000}"/>
  </hyperlinks>
  <pageMargins left="0.7" right="0.7" top="0.75" bottom="0.75" header="0.3" footer="0.3"/>
  <pageSetup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pageSetUpPr fitToPage="1"/>
  </sheetPr>
  <dimension ref="B1:V108"/>
  <sheetViews>
    <sheetView zoomScale="130" zoomScaleNormal="130" workbookViewId="0">
      <selection activeCell="R2" sqref="R2"/>
    </sheetView>
  </sheetViews>
  <sheetFormatPr defaultColWidth="9.140625" defaultRowHeight="12.75" x14ac:dyDescent="0.2"/>
  <cols>
    <col min="1" max="1" width="2" customWidth="1"/>
    <col min="2" max="2" width="24" customWidth="1"/>
    <col min="3" max="3" width="17.140625" customWidth="1"/>
    <col min="4" max="4" width="12.28515625" style="254" customWidth="1"/>
    <col min="5" max="5" width="10.7109375" bestFit="1" customWidth="1"/>
    <col min="6" max="6" width="8" customWidth="1"/>
    <col min="7" max="7" width="10.42578125" customWidth="1"/>
    <col min="8" max="8" width="18.7109375" customWidth="1"/>
    <col min="9" max="11" width="2.5703125" customWidth="1"/>
    <col min="12" max="15" width="2.7109375" customWidth="1"/>
    <col min="16" max="16" width="2.85546875" customWidth="1"/>
    <col min="17" max="17" width="7.28515625" customWidth="1"/>
    <col min="19" max="19" width="6.42578125" customWidth="1"/>
  </cols>
  <sheetData>
    <row r="1" spans="2:22" ht="10.5" customHeight="1" x14ac:dyDescent="0.2"/>
    <row r="2" spans="2:22" x14ac:dyDescent="0.2">
      <c r="B2" s="306" t="s">
        <v>158</v>
      </c>
      <c r="C2" s="323" t="s">
        <v>159</v>
      </c>
      <c r="D2" s="307" t="s">
        <v>160</v>
      </c>
      <c r="E2" s="307" t="s">
        <v>161</v>
      </c>
      <c r="F2" s="307" t="s">
        <v>162</v>
      </c>
      <c r="G2" s="332" t="s">
        <v>770</v>
      </c>
      <c r="H2" s="327" t="s">
        <v>163</v>
      </c>
      <c r="Q2" t="s">
        <v>155</v>
      </c>
      <c r="R2" s="292">
        <v>153.94999999999999</v>
      </c>
      <c r="S2" s="254"/>
    </row>
    <row r="3" spans="2:22" x14ac:dyDescent="0.2">
      <c r="B3" s="308" t="s">
        <v>530</v>
      </c>
      <c r="C3" t="s">
        <v>177</v>
      </c>
      <c r="D3" s="254" t="s">
        <v>1786</v>
      </c>
      <c r="E3" s="254" t="s">
        <v>1419</v>
      </c>
      <c r="F3" s="254" t="s">
        <v>398</v>
      </c>
      <c r="G3" s="163">
        <v>40081</v>
      </c>
      <c r="H3" s="324" t="s">
        <v>1940</v>
      </c>
      <c r="Q3" t="s">
        <v>260</v>
      </c>
      <c r="R3" s="79">
        <v>2407</v>
      </c>
      <c r="S3" s="76" t="s">
        <v>1895</v>
      </c>
    </row>
    <row r="4" spans="2:22" x14ac:dyDescent="0.2">
      <c r="B4" s="311" t="s">
        <v>1674</v>
      </c>
      <c r="C4" t="s">
        <v>194</v>
      </c>
      <c r="D4" s="254" t="s">
        <v>1787</v>
      </c>
      <c r="E4" s="277" t="s">
        <v>1778</v>
      </c>
      <c r="F4" s="254" t="s">
        <v>168</v>
      </c>
      <c r="G4" s="163">
        <v>42324</v>
      </c>
      <c r="H4" s="312" t="s">
        <v>957</v>
      </c>
      <c r="Q4" t="s">
        <v>262</v>
      </c>
      <c r="R4" s="79">
        <f>R3*R2</f>
        <v>370557.64999999997</v>
      </c>
      <c r="S4" s="254"/>
    </row>
    <row r="5" spans="2:22" x14ac:dyDescent="0.2">
      <c r="B5" s="308" t="s">
        <v>1856</v>
      </c>
      <c r="C5" t="s">
        <v>194</v>
      </c>
      <c r="D5" s="254" t="s">
        <v>1857</v>
      </c>
      <c r="E5" s="277" t="s">
        <v>1778</v>
      </c>
      <c r="F5" s="254" t="s">
        <v>398</v>
      </c>
      <c r="G5" s="305">
        <v>44856</v>
      </c>
      <c r="H5" s="312" t="s">
        <v>957</v>
      </c>
      <c r="Q5" t="s">
        <v>157</v>
      </c>
      <c r="R5" s="79">
        <v>24522</v>
      </c>
      <c r="S5" s="76" t="s">
        <v>1895</v>
      </c>
    </row>
    <row r="6" spans="2:22" x14ac:dyDescent="0.2">
      <c r="B6" s="311" t="s">
        <v>1905</v>
      </c>
      <c r="C6" t="s">
        <v>194</v>
      </c>
      <c r="D6" s="254" t="s">
        <v>1903</v>
      </c>
      <c r="E6" s="277" t="s">
        <v>1902</v>
      </c>
      <c r="F6" s="254" t="s">
        <v>168</v>
      </c>
      <c r="G6" s="163">
        <v>44620</v>
      </c>
      <c r="H6" s="312"/>
      <c r="Q6" t="s">
        <v>263</v>
      </c>
      <c r="R6" s="79">
        <f>5983+30651</f>
        <v>36634</v>
      </c>
      <c r="S6" s="76" t="s">
        <v>1895</v>
      </c>
    </row>
    <row r="7" spans="2:22" x14ac:dyDescent="0.2">
      <c r="B7" s="311" t="s">
        <v>838</v>
      </c>
      <c r="C7" t="s">
        <v>169</v>
      </c>
      <c r="D7" s="254" t="s">
        <v>1781</v>
      </c>
      <c r="E7" s="277" t="s">
        <v>172</v>
      </c>
      <c r="F7" s="277" t="s">
        <v>1270</v>
      </c>
      <c r="G7" s="163">
        <v>40025</v>
      </c>
      <c r="H7" s="312"/>
      <c r="Q7" t="s">
        <v>264</v>
      </c>
      <c r="R7" s="79">
        <f>R4-R5+R6</f>
        <v>382669.64999999997</v>
      </c>
      <c r="S7" s="254"/>
    </row>
    <row r="8" spans="2:22" x14ac:dyDescent="0.2">
      <c r="B8" s="311" t="s">
        <v>191</v>
      </c>
      <c r="C8" t="s">
        <v>1418</v>
      </c>
      <c r="D8" s="254" t="s">
        <v>192</v>
      </c>
      <c r="E8" s="277" t="s">
        <v>1481</v>
      </c>
      <c r="F8" s="254" t="s">
        <v>170</v>
      </c>
      <c r="G8" s="76">
        <v>2011</v>
      </c>
      <c r="H8" s="312"/>
      <c r="S8" s="254"/>
    </row>
    <row r="9" spans="2:22" x14ac:dyDescent="0.2">
      <c r="B9" s="311" t="s">
        <v>1560</v>
      </c>
      <c r="C9" t="s">
        <v>1842</v>
      </c>
      <c r="D9" s="254" t="s">
        <v>1734</v>
      </c>
      <c r="E9" s="277" t="s">
        <v>1790</v>
      </c>
      <c r="F9" s="277" t="s">
        <v>170</v>
      </c>
      <c r="G9" s="76">
        <v>2013</v>
      </c>
      <c r="H9" s="312"/>
      <c r="R9" s="292"/>
      <c r="S9" s="254"/>
    </row>
    <row r="10" spans="2:22" x14ac:dyDescent="0.2">
      <c r="B10" s="311" t="s">
        <v>178</v>
      </c>
      <c r="C10" t="s">
        <v>179</v>
      </c>
      <c r="D10" s="254" t="s">
        <v>1788</v>
      </c>
      <c r="E10" s="277" t="s">
        <v>1477</v>
      </c>
      <c r="F10" s="277" t="s">
        <v>168</v>
      </c>
      <c r="G10" s="163">
        <v>36031</v>
      </c>
      <c r="H10" s="312" t="s">
        <v>957</v>
      </c>
      <c r="Q10" t="s">
        <v>1863</v>
      </c>
      <c r="R10" s="3"/>
      <c r="S10" s="254"/>
    </row>
    <row r="11" spans="2:22" x14ac:dyDescent="0.2">
      <c r="B11" s="311" t="s">
        <v>729</v>
      </c>
      <c r="C11" t="s">
        <v>623</v>
      </c>
      <c r="D11" s="254" t="s">
        <v>1788</v>
      </c>
      <c r="E11" s="277" t="s">
        <v>1478</v>
      </c>
      <c r="F11" s="254" t="s">
        <v>398</v>
      </c>
      <c r="G11" s="163">
        <v>39927</v>
      </c>
      <c r="H11" s="312" t="s">
        <v>957</v>
      </c>
      <c r="Q11" t="s">
        <v>1866</v>
      </c>
      <c r="S11" s="254"/>
      <c r="T11" s="254"/>
      <c r="U11" s="254"/>
      <c r="V11" s="254"/>
    </row>
    <row r="12" spans="2:22" x14ac:dyDescent="0.2">
      <c r="B12" s="311" t="s">
        <v>1684</v>
      </c>
      <c r="C12" t="s">
        <v>2073</v>
      </c>
      <c r="D12" s="254" t="s">
        <v>1547</v>
      </c>
      <c r="E12" s="277">
        <v>1</v>
      </c>
      <c r="F12" s="254" t="s">
        <v>398</v>
      </c>
      <c r="G12" s="163">
        <v>42929</v>
      </c>
      <c r="H12" s="312" t="s">
        <v>957</v>
      </c>
      <c r="Q12" t="s">
        <v>1989</v>
      </c>
    </row>
    <row r="13" spans="2:22" x14ac:dyDescent="0.2">
      <c r="B13" s="311" t="s">
        <v>570</v>
      </c>
      <c r="C13" t="s">
        <v>188</v>
      </c>
      <c r="D13" s="254" t="s">
        <v>189</v>
      </c>
      <c r="E13" s="277">
        <v>1</v>
      </c>
      <c r="F13" s="277" t="s">
        <v>170</v>
      </c>
      <c r="G13" s="76"/>
      <c r="H13" s="312" t="s">
        <v>190</v>
      </c>
      <c r="Q13" t="s">
        <v>1971</v>
      </c>
    </row>
    <row r="14" spans="2:22" x14ac:dyDescent="0.2">
      <c r="B14" s="311" t="s">
        <v>1551</v>
      </c>
      <c r="C14" t="s">
        <v>225</v>
      </c>
      <c r="D14" s="254" t="s">
        <v>837</v>
      </c>
      <c r="E14" s="277" t="s">
        <v>226</v>
      </c>
      <c r="F14" s="277" t="s">
        <v>170</v>
      </c>
      <c r="G14" s="76"/>
      <c r="H14" s="312"/>
      <c r="Q14" t="s">
        <v>1984</v>
      </c>
    </row>
    <row r="15" spans="2:22" x14ac:dyDescent="0.2">
      <c r="B15" s="311" t="s">
        <v>1811</v>
      </c>
      <c r="C15" t="s">
        <v>1812</v>
      </c>
      <c r="D15" s="254" t="s">
        <v>1813</v>
      </c>
      <c r="E15" s="277" t="s">
        <v>1822</v>
      </c>
      <c r="F15" s="277" t="s">
        <v>170</v>
      </c>
      <c r="G15" s="163">
        <v>44273</v>
      </c>
      <c r="H15" s="312"/>
    </row>
    <row r="16" spans="2:22" x14ac:dyDescent="0.2">
      <c r="B16" s="328" t="s">
        <v>1876</v>
      </c>
      <c r="C16" t="s">
        <v>1877</v>
      </c>
      <c r="D16" s="254" t="s">
        <v>1758</v>
      </c>
      <c r="E16" s="277"/>
      <c r="F16" s="277" t="s">
        <v>170</v>
      </c>
      <c r="G16" s="76"/>
      <c r="H16" s="312"/>
      <c r="Q16" t="s">
        <v>1993</v>
      </c>
    </row>
    <row r="17" spans="2:17" x14ac:dyDescent="0.2">
      <c r="B17" s="308" t="s">
        <v>176</v>
      </c>
      <c r="C17" t="s">
        <v>169</v>
      </c>
      <c r="D17" s="254" t="s">
        <v>1781</v>
      </c>
      <c r="E17" s="277" t="s">
        <v>1275</v>
      </c>
      <c r="F17" s="277" t="s">
        <v>1270</v>
      </c>
      <c r="G17" s="76"/>
      <c r="H17" s="312" t="s">
        <v>1276</v>
      </c>
      <c r="Q17" t="s">
        <v>2014</v>
      </c>
    </row>
    <row r="18" spans="2:17" x14ac:dyDescent="0.2">
      <c r="B18" s="308" t="s">
        <v>1480</v>
      </c>
      <c r="C18" t="s">
        <v>214</v>
      </c>
      <c r="D18" s="254" t="s">
        <v>217</v>
      </c>
      <c r="E18" s="277">
        <v>1</v>
      </c>
      <c r="F18" s="254" t="s">
        <v>170</v>
      </c>
      <c r="G18" s="76"/>
      <c r="H18" s="309" t="s">
        <v>1425</v>
      </c>
      <c r="Q18" t="s">
        <v>2041</v>
      </c>
    </row>
    <row r="19" spans="2:17" x14ac:dyDescent="0.2">
      <c r="B19" s="311" t="s">
        <v>213</v>
      </c>
      <c r="C19" t="s">
        <v>214</v>
      </c>
      <c r="D19" s="254" t="s">
        <v>197</v>
      </c>
      <c r="E19" s="277">
        <v>1</v>
      </c>
      <c r="F19" s="254" t="s">
        <v>170</v>
      </c>
      <c r="G19" s="76"/>
      <c r="H19" s="312">
        <v>2015</v>
      </c>
      <c r="Q19" t="s">
        <v>2078</v>
      </c>
    </row>
    <row r="20" spans="2:17" x14ac:dyDescent="0.2">
      <c r="B20" s="311" t="s">
        <v>216</v>
      </c>
      <c r="C20" t="s">
        <v>214</v>
      </c>
      <c r="D20" s="254" t="s">
        <v>217</v>
      </c>
      <c r="E20" s="277">
        <v>1</v>
      </c>
      <c r="F20" s="254" t="s">
        <v>170</v>
      </c>
      <c r="G20" s="76"/>
      <c r="H20" s="312" t="s">
        <v>23</v>
      </c>
      <c r="Q20" t="s">
        <v>2084</v>
      </c>
    </row>
    <row r="21" spans="2:17" x14ac:dyDescent="0.2">
      <c r="B21" s="308" t="s">
        <v>1479</v>
      </c>
      <c r="C21" t="s">
        <v>839</v>
      </c>
      <c r="D21" s="254" t="s">
        <v>874</v>
      </c>
      <c r="E21" s="277">
        <v>1</v>
      </c>
      <c r="F21" s="254" t="s">
        <v>170</v>
      </c>
      <c r="G21" s="76">
        <v>2011</v>
      </c>
      <c r="H21" s="312" t="s">
        <v>873</v>
      </c>
    </row>
    <row r="22" spans="2:17" x14ac:dyDescent="0.2">
      <c r="B22" s="325" t="s">
        <v>1878</v>
      </c>
      <c r="C22" t="s">
        <v>839</v>
      </c>
      <c r="E22" s="277">
        <v>1</v>
      </c>
      <c r="F22" s="254" t="s">
        <v>170</v>
      </c>
      <c r="G22" s="76"/>
      <c r="H22" s="312"/>
      <c r="Q22" t="s">
        <v>2165</v>
      </c>
    </row>
    <row r="23" spans="2:17" x14ac:dyDescent="0.2">
      <c r="B23" s="325" t="s">
        <v>1900</v>
      </c>
      <c r="C23" t="s">
        <v>1901</v>
      </c>
      <c r="D23" s="254" t="s">
        <v>1904</v>
      </c>
      <c r="E23" s="277">
        <v>1</v>
      </c>
      <c r="F23" s="254" t="s">
        <v>1561</v>
      </c>
      <c r="G23" s="76"/>
      <c r="H23" s="312"/>
      <c r="Q23" t="s">
        <v>2164</v>
      </c>
    </row>
    <row r="24" spans="2:17" x14ac:dyDescent="0.2">
      <c r="B24" s="343" t="s">
        <v>1963</v>
      </c>
      <c r="C24" s="256" t="s">
        <v>194</v>
      </c>
      <c r="D24" s="254" t="s">
        <v>1906</v>
      </c>
      <c r="E24" s="277"/>
      <c r="F24" s="254"/>
      <c r="G24" s="163">
        <v>45147</v>
      </c>
      <c r="H24" s="312"/>
    </row>
    <row r="25" spans="2:17" x14ac:dyDescent="0.2">
      <c r="B25" s="325" t="s">
        <v>1907</v>
      </c>
      <c r="E25" s="277"/>
      <c r="F25" s="254"/>
      <c r="G25" s="76"/>
      <c r="H25" s="312"/>
    </row>
    <row r="26" spans="2:17" x14ac:dyDescent="0.2">
      <c r="B26" s="310" t="s">
        <v>1741</v>
      </c>
      <c r="C26" t="s">
        <v>1742</v>
      </c>
      <c r="D26" s="254" t="s">
        <v>1743</v>
      </c>
      <c r="E26" s="254" t="s">
        <v>709</v>
      </c>
      <c r="F26" s="254" t="s">
        <v>170</v>
      </c>
      <c r="G26" s="163">
        <v>41261</v>
      </c>
      <c r="H26" s="309"/>
    </row>
    <row r="27" spans="2:17" x14ac:dyDescent="0.2">
      <c r="B27" s="350" t="s">
        <v>1898</v>
      </c>
      <c r="C27" s="315" t="s">
        <v>1930</v>
      </c>
      <c r="D27" s="316" t="s">
        <v>2155</v>
      </c>
      <c r="E27" s="317"/>
      <c r="F27" s="316"/>
      <c r="G27" s="333"/>
      <c r="H27" s="326"/>
    </row>
    <row r="28" spans="2:17" x14ac:dyDescent="0.2">
      <c r="B28" s="306" t="s">
        <v>158</v>
      </c>
      <c r="C28" s="307" t="s">
        <v>159</v>
      </c>
      <c r="D28" s="307" t="s">
        <v>160</v>
      </c>
      <c r="E28" s="307" t="s">
        <v>164</v>
      </c>
      <c r="F28" s="307" t="s">
        <v>162</v>
      </c>
      <c r="G28" s="307" t="s">
        <v>165</v>
      </c>
      <c r="H28" s="327" t="s">
        <v>161</v>
      </c>
    </row>
    <row r="29" spans="2:17" x14ac:dyDescent="0.2">
      <c r="B29" s="343" t="s">
        <v>1969</v>
      </c>
      <c r="C29" s="254" t="s">
        <v>1965</v>
      </c>
      <c r="D29" s="254" t="s">
        <v>1970</v>
      </c>
      <c r="E29" s="254" t="s">
        <v>1966</v>
      </c>
      <c r="F29" s="254"/>
      <c r="G29" s="254" t="s">
        <v>1967</v>
      </c>
      <c r="H29" s="312" t="s">
        <v>1968</v>
      </c>
    </row>
    <row r="30" spans="2:17" x14ac:dyDescent="0.2">
      <c r="B30" s="343" t="s">
        <v>1897</v>
      </c>
      <c r="C30" s="254" t="s">
        <v>1955</v>
      </c>
      <c r="D30" s="254" t="s">
        <v>1899</v>
      </c>
      <c r="E30" s="254" t="s">
        <v>2000</v>
      </c>
      <c r="F30" s="254"/>
      <c r="G30" s="254" t="s">
        <v>1998</v>
      </c>
      <c r="H30" s="329"/>
    </row>
    <row r="31" spans="2:17" x14ac:dyDescent="0.2">
      <c r="B31" s="343" t="s">
        <v>2146</v>
      </c>
      <c r="C31" s="254" t="s">
        <v>177</v>
      </c>
      <c r="D31" s="254" t="s">
        <v>1547</v>
      </c>
      <c r="E31" s="254" t="s">
        <v>1759</v>
      </c>
      <c r="F31" s="254" t="s">
        <v>170</v>
      </c>
      <c r="G31" s="254"/>
      <c r="H31" s="312" t="s">
        <v>1919</v>
      </c>
    </row>
    <row r="32" spans="2:17" x14ac:dyDescent="0.2">
      <c r="B32" s="310" t="s">
        <v>1752</v>
      </c>
      <c r="C32" s="254" t="s">
        <v>1753</v>
      </c>
      <c r="E32" s="254"/>
      <c r="F32" s="254"/>
      <c r="G32" t="s">
        <v>1962</v>
      </c>
      <c r="H32" s="329" t="s">
        <v>1768</v>
      </c>
    </row>
    <row r="33" spans="2:8" x14ac:dyDescent="0.2">
      <c r="B33" s="310" t="s">
        <v>1915</v>
      </c>
      <c r="C33" s="254" t="s">
        <v>1916</v>
      </c>
      <c r="E33" s="254" t="s">
        <v>212</v>
      </c>
      <c r="F33" s="254"/>
      <c r="G33" s="254"/>
      <c r="H33" s="329"/>
    </row>
    <row r="34" spans="2:8" x14ac:dyDescent="0.2">
      <c r="B34" s="310" t="s">
        <v>1883</v>
      </c>
      <c r="C34" s="254" t="s">
        <v>255</v>
      </c>
      <c r="D34" s="254" t="s">
        <v>1884</v>
      </c>
      <c r="E34" s="254" t="s">
        <v>212</v>
      </c>
      <c r="F34" s="254" t="s">
        <v>170</v>
      </c>
      <c r="G34" s="254"/>
      <c r="H34" s="329"/>
    </row>
    <row r="35" spans="2:8" x14ac:dyDescent="0.2">
      <c r="B35" s="310" t="s">
        <v>1908</v>
      </c>
      <c r="C35" s="254" t="s">
        <v>245</v>
      </c>
      <c r="D35" s="254" t="s">
        <v>1909</v>
      </c>
      <c r="E35" s="336"/>
      <c r="F35" s="336"/>
      <c r="G35" s="336"/>
      <c r="H35" s="330"/>
    </row>
    <row r="36" spans="2:8" x14ac:dyDescent="0.2">
      <c r="B36" s="310" t="s">
        <v>1910</v>
      </c>
      <c r="C36" s="254" t="s">
        <v>1586</v>
      </c>
      <c r="D36" s="254" t="s">
        <v>1911</v>
      </c>
      <c r="E36" s="254" t="s">
        <v>238</v>
      </c>
      <c r="F36" s="337"/>
      <c r="G36" s="337"/>
      <c r="H36" s="331"/>
    </row>
    <row r="37" spans="2:8" x14ac:dyDescent="0.2">
      <c r="B37" s="310" t="s">
        <v>1912</v>
      </c>
      <c r="C37" s="254" t="s">
        <v>1586</v>
      </c>
      <c r="D37" s="254" t="s">
        <v>1913</v>
      </c>
      <c r="E37" s="254"/>
      <c r="F37" s="254"/>
      <c r="G37" s="254"/>
      <c r="H37" s="329"/>
    </row>
    <row r="38" spans="2:8" x14ac:dyDescent="0.2">
      <c r="B38" s="310" t="s">
        <v>1914</v>
      </c>
      <c r="C38" s="254" t="s">
        <v>1917</v>
      </c>
      <c r="D38"/>
      <c r="E38" s="254" t="s">
        <v>1759</v>
      </c>
      <c r="H38" s="309"/>
    </row>
    <row r="39" spans="2:8" x14ac:dyDescent="0.2">
      <c r="B39" s="310" t="s">
        <v>1918</v>
      </c>
      <c r="C39" s="254" t="s">
        <v>1930</v>
      </c>
      <c r="D39" s="254" t="s">
        <v>1929</v>
      </c>
      <c r="H39" s="309"/>
    </row>
    <row r="40" spans="2:8" x14ac:dyDescent="0.2">
      <c r="B40" s="310" t="s">
        <v>1544</v>
      </c>
      <c r="C40" s="254" t="s">
        <v>1327</v>
      </c>
      <c r="D40" s="254" t="s">
        <v>1545</v>
      </c>
      <c r="E40" s="254" t="s">
        <v>212</v>
      </c>
      <c r="F40" s="254" t="s">
        <v>398</v>
      </c>
      <c r="G40" s="254"/>
      <c r="H40" s="329">
        <v>1</v>
      </c>
    </row>
    <row r="41" spans="2:8" x14ac:dyDescent="0.2">
      <c r="B41" s="310" t="s">
        <v>1931</v>
      </c>
      <c r="C41" s="254" t="s">
        <v>1932</v>
      </c>
      <c r="D41" s="254" t="s">
        <v>1933</v>
      </c>
      <c r="E41" s="254"/>
      <c r="F41" s="254"/>
      <c r="G41" s="254"/>
      <c r="H41" s="329"/>
    </row>
    <row r="42" spans="2:8" x14ac:dyDescent="0.2">
      <c r="B42" s="310" t="s">
        <v>1426</v>
      </c>
      <c r="C42" s="254" t="s">
        <v>1427</v>
      </c>
      <c r="E42" s="254" t="s">
        <v>212</v>
      </c>
      <c r="F42" s="254"/>
      <c r="G42" s="254"/>
      <c r="H42" s="309"/>
    </row>
    <row r="43" spans="2:8" x14ac:dyDescent="0.2">
      <c r="B43" s="310" t="s">
        <v>1328</v>
      </c>
      <c r="C43" s="254" t="s">
        <v>243</v>
      </c>
      <c r="E43" s="254" t="s">
        <v>212</v>
      </c>
      <c r="F43" s="254"/>
      <c r="G43" s="254"/>
      <c r="H43" s="309"/>
    </row>
    <row r="44" spans="2:8" x14ac:dyDescent="0.2">
      <c r="B44" s="310" t="s">
        <v>319</v>
      </c>
      <c r="C44" s="254" t="s">
        <v>320</v>
      </c>
      <c r="D44" s="254" t="s">
        <v>1430</v>
      </c>
      <c r="E44" s="254" t="s">
        <v>212</v>
      </c>
      <c r="F44" s="254"/>
      <c r="G44" s="254"/>
      <c r="H44" s="309"/>
    </row>
    <row r="45" spans="2:8" x14ac:dyDescent="0.2">
      <c r="B45" s="310" t="s">
        <v>1923</v>
      </c>
      <c r="C45" s="254" t="s">
        <v>1924</v>
      </c>
      <c r="E45" s="254"/>
      <c r="F45" s="254"/>
      <c r="G45" s="254"/>
      <c r="H45" s="309"/>
    </row>
    <row r="46" spans="2:8" x14ac:dyDescent="0.2">
      <c r="B46" s="310" t="s">
        <v>1952</v>
      </c>
      <c r="C46" s="254" t="s">
        <v>1954</v>
      </c>
      <c r="D46" s="254" t="s">
        <v>1953</v>
      </c>
      <c r="E46" s="254" t="s">
        <v>1759</v>
      </c>
      <c r="F46" s="254"/>
      <c r="G46" s="254"/>
      <c r="H46" s="309"/>
    </row>
    <row r="47" spans="2:8" x14ac:dyDescent="0.2">
      <c r="B47" s="310" t="s">
        <v>1925</v>
      </c>
      <c r="C47" s="254" t="s">
        <v>839</v>
      </c>
      <c r="E47" s="254"/>
      <c r="F47" s="254"/>
      <c r="G47" s="254"/>
      <c r="H47" s="309"/>
    </row>
    <row r="48" spans="2:8" x14ac:dyDescent="0.2">
      <c r="B48" s="310" t="s">
        <v>1926</v>
      </c>
      <c r="C48" s="254" t="s">
        <v>1928</v>
      </c>
      <c r="D48" s="254" t="s">
        <v>1927</v>
      </c>
      <c r="E48" s="254"/>
      <c r="F48" s="254"/>
      <c r="G48" s="254"/>
      <c r="H48" s="309"/>
    </row>
    <row r="49" spans="2:8" x14ac:dyDescent="0.2">
      <c r="B49" s="310" t="s">
        <v>1921</v>
      </c>
      <c r="C49" s="254" t="s">
        <v>1922</v>
      </c>
      <c r="E49" s="254"/>
      <c r="F49" s="254"/>
      <c r="G49" s="254"/>
      <c r="H49" s="309"/>
    </row>
    <row r="50" spans="2:8" x14ac:dyDescent="0.2">
      <c r="B50" s="310" t="s">
        <v>1920</v>
      </c>
      <c r="C50" s="254"/>
      <c r="E50" s="254"/>
      <c r="F50" s="254"/>
      <c r="G50" s="254"/>
      <c r="H50" s="309"/>
    </row>
    <row r="51" spans="2:8" x14ac:dyDescent="0.2">
      <c r="B51" s="310" t="s">
        <v>1431</v>
      </c>
      <c r="C51" s="254" t="s">
        <v>169</v>
      </c>
      <c r="D51" s="254" t="s">
        <v>1559</v>
      </c>
      <c r="E51" s="254" t="s">
        <v>212</v>
      </c>
      <c r="F51" s="254"/>
      <c r="G51" s="254"/>
      <c r="H51" s="312"/>
    </row>
    <row r="52" spans="2:8" x14ac:dyDescent="0.2">
      <c r="B52" s="310" t="s">
        <v>1533</v>
      </c>
      <c r="C52" s="254" t="s">
        <v>1534</v>
      </c>
      <c r="D52" s="254" t="s">
        <v>1535</v>
      </c>
      <c r="E52" s="254" t="s">
        <v>212</v>
      </c>
      <c r="F52" s="254" t="s">
        <v>170</v>
      </c>
      <c r="G52" s="254"/>
      <c r="H52" s="312" t="s">
        <v>1536</v>
      </c>
    </row>
    <row r="53" spans="2:8" x14ac:dyDescent="0.2">
      <c r="B53" s="310" t="s">
        <v>1429</v>
      </c>
      <c r="C53" s="254" t="s">
        <v>169</v>
      </c>
      <c r="E53" s="254" t="s">
        <v>212</v>
      </c>
      <c r="F53" s="254"/>
      <c r="G53" s="254"/>
      <c r="H53" s="309"/>
    </row>
    <row r="54" spans="2:8" x14ac:dyDescent="0.2">
      <c r="B54" s="310" t="s">
        <v>2100</v>
      </c>
      <c r="C54" s="254" t="s">
        <v>2101</v>
      </c>
      <c r="D54" s="254" t="s">
        <v>2102</v>
      </c>
      <c r="E54" s="254" t="s">
        <v>238</v>
      </c>
      <c r="F54" s="254"/>
      <c r="G54" s="254"/>
      <c r="H54" s="309"/>
    </row>
    <row r="55" spans="2:8" x14ac:dyDescent="0.2">
      <c r="B55" s="310" t="s">
        <v>1330</v>
      </c>
      <c r="C55" s="254" t="s">
        <v>1331</v>
      </c>
      <c r="E55" s="254" t="s">
        <v>238</v>
      </c>
      <c r="F55" s="254"/>
      <c r="G55" s="254"/>
      <c r="H55" s="309"/>
    </row>
    <row r="56" spans="2:8" x14ac:dyDescent="0.2">
      <c r="B56" s="310" t="s">
        <v>830</v>
      </c>
      <c r="C56" s="254" t="s">
        <v>237</v>
      </c>
      <c r="D56" s="254" t="s">
        <v>831</v>
      </c>
      <c r="E56" s="254" t="s">
        <v>238</v>
      </c>
      <c r="F56" s="254"/>
      <c r="G56" s="254"/>
      <c r="H56" s="329">
        <v>1</v>
      </c>
    </row>
    <row r="57" spans="2:8" x14ac:dyDescent="0.2">
      <c r="B57" s="310" t="s">
        <v>1329</v>
      </c>
      <c r="C57" s="254"/>
      <c r="E57" s="254" t="s">
        <v>238</v>
      </c>
      <c r="F57" s="254"/>
      <c r="G57" s="254"/>
      <c r="H57" s="329"/>
    </row>
    <row r="58" spans="2:8" x14ac:dyDescent="0.2">
      <c r="B58" s="310" t="s">
        <v>1402</v>
      </c>
      <c r="C58" s="254" t="s">
        <v>236</v>
      </c>
      <c r="D58" s="254" t="s">
        <v>1404</v>
      </c>
      <c r="E58" s="254" t="s">
        <v>238</v>
      </c>
      <c r="F58" s="254" t="s">
        <v>1405</v>
      </c>
      <c r="G58" s="254"/>
      <c r="H58" s="329">
        <v>1</v>
      </c>
    </row>
    <row r="59" spans="2:8" x14ac:dyDescent="0.2">
      <c r="B59" s="310" t="s">
        <v>1403</v>
      </c>
      <c r="C59" s="254" t="s">
        <v>236</v>
      </c>
      <c r="D59" s="254" t="s">
        <v>1404</v>
      </c>
      <c r="E59" s="254" t="s">
        <v>238</v>
      </c>
      <c r="F59" s="254" t="s">
        <v>1405</v>
      </c>
      <c r="G59" s="254"/>
      <c r="H59" s="329">
        <v>1</v>
      </c>
    </row>
    <row r="60" spans="2:8" x14ac:dyDescent="0.2">
      <c r="B60" s="310" t="s">
        <v>1338</v>
      </c>
      <c r="C60" s="254"/>
      <c r="E60" s="254" t="s">
        <v>238</v>
      </c>
      <c r="F60" s="254" t="s">
        <v>1339</v>
      </c>
      <c r="G60" s="254"/>
      <c r="H60" s="329">
        <v>1</v>
      </c>
    </row>
    <row r="61" spans="2:8" x14ac:dyDescent="0.2">
      <c r="B61" s="310" t="s">
        <v>1980</v>
      </c>
      <c r="C61" s="254" t="s">
        <v>1543</v>
      </c>
      <c r="D61" s="254" t="s">
        <v>1981</v>
      </c>
      <c r="E61" s="254" t="s">
        <v>212</v>
      </c>
      <c r="F61" s="254"/>
      <c r="G61" s="254"/>
      <c r="H61" s="329"/>
    </row>
    <row r="62" spans="2:8" x14ac:dyDescent="0.2">
      <c r="B62" s="310" t="s">
        <v>832</v>
      </c>
      <c r="C62" s="254" t="s">
        <v>237</v>
      </c>
      <c r="D62" s="254" t="s">
        <v>833</v>
      </c>
      <c r="E62" s="254" t="s">
        <v>238</v>
      </c>
      <c r="F62" s="254"/>
      <c r="G62" s="254"/>
      <c r="H62" s="309"/>
    </row>
    <row r="63" spans="2:8" x14ac:dyDescent="0.2">
      <c r="B63" s="310" t="s">
        <v>834</v>
      </c>
      <c r="C63" s="254" t="s">
        <v>237</v>
      </c>
      <c r="D63" s="254" t="s">
        <v>835</v>
      </c>
      <c r="E63" s="254" t="s">
        <v>238</v>
      </c>
      <c r="F63" s="254"/>
      <c r="G63" s="254"/>
      <c r="H63" s="309"/>
    </row>
    <row r="64" spans="2:8" x14ac:dyDescent="0.2">
      <c r="B64" s="310" t="s">
        <v>1982</v>
      </c>
      <c r="C64" s="254" t="s">
        <v>1543</v>
      </c>
      <c r="D64" s="254" t="s">
        <v>1983</v>
      </c>
      <c r="E64" s="254" t="s">
        <v>238</v>
      </c>
      <c r="F64" s="254"/>
      <c r="G64" s="254"/>
      <c r="H64" s="309"/>
    </row>
    <row r="65" spans="2:8" x14ac:dyDescent="0.2">
      <c r="B65" s="310" t="s">
        <v>1881</v>
      </c>
      <c r="C65" s="254" t="s">
        <v>194</v>
      </c>
      <c r="D65" s="254" t="s">
        <v>1882</v>
      </c>
      <c r="E65" s="254"/>
      <c r="F65" s="254"/>
      <c r="G65" s="254"/>
      <c r="H65" s="309"/>
    </row>
    <row r="66" spans="2:8" x14ac:dyDescent="0.2">
      <c r="B66" s="310" t="s">
        <v>1879</v>
      </c>
      <c r="C66" s="254" t="s">
        <v>1880</v>
      </c>
      <c r="E66" s="254" t="s">
        <v>238</v>
      </c>
      <c r="F66" s="254"/>
      <c r="G66" s="254"/>
      <c r="H66" s="309"/>
    </row>
    <row r="67" spans="2:8" x14ac:dyDescent="0.2">
      <c r="B67" s="310" t="s">
        <v>248</v>
      </c>
      <c r="C67" s="254" t="s">
        <v>169</v>
      </c>
      <c r="D67" s="254" t="s">
        <v>249</v>
      </c>
      <c r="E67" s="254" t="s">
        <v>238</v>
      </c>
      <c r="F67" s="254"/>
      <c r="G67" s="254"/>
      <c r="H67" s="309"/>
    </row>
    <row r="68" spans="2:8" x14ac:dyDescent="0.2">
      <c r="B68" s="310" t="s">
        <v>20</v>
      </c>
      <c r="C68" s="254" t="s">
        <v>225</v>
      </c>
      <c r="D68" s="254" t="s">
        <v>1335</v>
      </c>
      <c r="E68" s="254" t="s">
        <v>238</v>
      </c>
      <c r="F68" s="254" t="s">
        <v>398</v>
      </c>
      <c r="G68" s="254"/>
      <c r="H68" s="329">
        <v>1</v>
      </c>
    </row>
    <row r="69" spans="2:8" x14ac:dyDescent="0.2">
      <c r="B69" s="310" t="s">
        <v>252</v>
      </c>
      <c r="C69" s="254" t="s">
        <v>225</v>
      </c>
      <c r="E69" s="254" t="s">
        <v>238</v>
      </c>
      <c r="F69" s="254" t="s">
        <v>170</v>
      </c>
      <c r="G69" s="254"/>
      <c r="H69" s="312" t="s">
        <v>253</v>
      </c>
    </row>
    <row r="70" spans="2:8" x14ac:dyDescent="0.2">
      <c r="B70" s="310" t="s">
        <v>254</v>
      </c>
      <c r="C70" s="254" t="s">
        <v>255</v>
      </c>
      <c r="D70" s="254" t="s">
        <v>256</v>
      </c>
      <c r="E70" s="254" t="s">
        <v>238</v>
      </c>
      <c r="F70" s="254"/>
      <c r="G70" s="254"/>
      <c r="H70" s="309"/>
    </row>
    <row r="71" spans="2:8" x14ac:dyDescent="0.2">
      <c r="B71" s="318" t="s">
        <v>257</v>
      </c>
      <c r="C71" s="316" t="s">
        <v>258</v>
      </c>
      <c r="D71" s="316"/>
      <c r="E71" s="316" t="s">
        <v>238</v>
      </c>
      <c r="F71" s="316" t="s">
        <v>170</v>
      </c>
      <c r="G71" s="316"/>
      <c r="H71" s="319"/>
    </row>
    <row r="73" spans="2:8" x14ac:dyDescent="0.2">
      <c r="B73" s="2" t="s">
        <v>1990</v>
      </c>
      <c r="C73" s="2" t="s">
        <v>228</v>
      </c>
      <c r="D73" s="172" t="s">
        <v>229</v>
      </c>
      <c r="E73" s="172" t="s">
        <v>234</v>
      </c>
      <c r="F73" s="172" t="s">
        <v>233</v>
      </c>
    </row>
    <row r="74" spans="2:8" x14ac:dyDescent="0.2">
      <c r="B74" s="2" t="s">
        <v>231</v>
      </c>
      <c r="C74" s="2" t="s">
        <v>247</v>
      </c>
      <c r="D74" s="172" t="s">
        <v>1333</v>
      </c>
    </row>
    <row r="75" spans="2:8" x14ac:dyDescent="0.2">
      <c r="B75" t="s">
        <v>1112</v>
      </c>
      <c r="H75" s="248" t="s">
        <v>1979</v>
      </c>
    </row>
    <row r="76" spans="2:8" x14ac:dyDescent="0.2">
      <c r="H76" s="248" t="s">
        <v>1978</v>
      </c>
    </row>
    <row r="77" spans="2:8" x14ac:dyDescent="0.2">
      <c r="H77" s="248" t="s">
        <v>1994</v>
      </c>
    </row>
    <row r="78" spans="2:8" x14ac:dyDescent="0.2">
      <c r="H78" s="248" t="s">
        <v>1999</v>
      </c>
    </row>
    <row r="79" spans="2:8" x14ac:dyDescent="0.2">
      <c r="H79" s="248" t="s">
        <v>2001</v>
      </c>
    </row>
    <row r="80" spans="2:8" x14ac:dyDescent="0.2">
      <c r="H80" s="248" t="s">
        <v>2002</v>
      </c>
    </row>
    <row r="81" spans="8:8" x14ac:dyDescent="0.2">
      <c r="H81" s="248" t="s">
        <v>2011</v>
      </c>
    </row>
    <row r="82" spans="8:8" x14ac:dyDescent="0.2">
      <c r="H82" s="248" t="s">
        <v>2012</v>
      </c>
    </row>
    <row r="83" spans="8:8" x14ac:dyDescent="0.2">
      <c r="H83" s="248" t="s">
        <v>2013</v>
      </c>
    </row>
    <row r="84" spans="8:8" x14ac:dyDescent="0.2">
      <c r="H84" s="248" t="s">
        <v>2016</v>
      </c>
    </row>
    <row r="85" spans="8:8" x14ac:dyDescent="0.2">
      <c r="H85" s="248" t="s">
        <v>2017</v>
      </c>
    </row>
    <row r="86" spans="8:8" x14ac:dyDescent="0.2">
      <c r="H86" s="248" t="s">
        <v>2021</v>
      </c>
    </row>
    <row r="87" spans="8:8" x14ac:dyDescent="0.2">
      <c r="H87" s="248" t="s">
        <v>2022</v>
      </c>
    </row>
    <row r="88" spans="8:8" x14ac:dyDescent="0.2">
      <c r="H88" s="248" t="s">
        <v>2045</v>
      </c>
    </row>
    <row r="89" spans="8:8" x14ac:dyDescent="0.2">
      <c r="H89" s="248" t="s">
        <v>2046</v>
      </c>
    </row>
    <row r="90" spans="8:8" x14ac:dyDescent="0.2">
      <c r="H90" s="248" t="s">
        <v>2059</v>
      </c>
    </row>
    <row r="91" spans="8:8" x14ac:dyDescent="0.2">
      <c r="H91" s="248" t="s">
        <v>2060</v>
      </c>
    </row>
    <row r="92" spans="8:8" x14ac:dyDescent="0.2">
      <c r="H92" s="248" t="s">
        <v>2079</v>
      </c>
    </row>
    <row r="93" spans="8:8" x14ac:dyDescent="0.2">
      <c r="H93" s="248" t="s">
        <v>2085</v>
      </c>
    </row>
    <row r="94" spans="8:8" x14ac:dyDescent="0.2">
      <c r="H94" s="248" t="s">
        <v>2158</v>
      </c>
    </row>
    <row r="95" spans="8:8" x14ac:dyDescent="0.2">
      <c r="H95" s="248" t="s">
        <v>2154</v>
      </c>
    </row>
    <row r="96" spans="8:8" x14ac:dyDescent="0.2">
      <c r="H96" s="248" t="s">
        <v>2159</v>
      </c>
    </row>
    <row r="97" spans="8:8" x14ac:dyDescent="0.2">
      <c r="H97" t="s">
        <v>1958</v>
      </c>
    </row>
    <row r="98" spans="8:8" x14ac:dyDescent="0.2">
      <c r="H98" t="s">
        <v>1864</v>
      </c>
    </row>
    <row r="99" spans="8:8" x14ac:dyDescent="0.2">
      <c r="H99" t="s">
        <v>1865</v>
      </c>
    </row>
    <row r="100" spans="8:8" x14ac:dyDescent="0.2">
      <c r="H100" t="s">
        <v>1868</v>
      </c>
    </row>
    <row r="101" spans="8:8" x14ac:dyDescent="0.2">
      <c r="H101" t="s">
        <v>1836</v>
      </c>
    </row>
    <row r="102" spans="8:8" x14ac:dyDescent="0.2">
      <c r="H102" t="s">
        <v>1852</v>
      </c>
    </row>
    <row r="103" spans="8:8" x14ac:dyDescent="0.2">
      <c r="H103" t="s">
        <v>1853</v>
      </c>
    </row>
    <row r="104" spans="8:8" x14ac:dyDescent="0.2">
      <c r="H104" t="s">
        <v>1870</v>
      </c>
    </row>
    <row r="105" spans="8:8" x14ac:dyDescent="0.2">
      <c r="H105" t="s">
        <v>1871</v>
      </c>
    </row>
    <row r="106" spans="8:8" x14ac:dyDescent="0.2">
      <c r="H106" s="1" t="s">
        <v>1869</v>
      </c>
    </row>
    <row r="107" spans="8:8" x14ac:dyDescent="0.2">
      <c r="H107" t="s">
        <v>1785</v>
      </c>
    </row>
    <row r="108" spans="8:8" x14ac:dyDescent="0.2">
      <c r="H108" t="s">
        <v>1810</v>
      </c>
    </row>
  </sheetData>
  <phoneticPr fontId="11" type="noConversion"/>
  <hyperlinks>
    <hyperlink ref="B10" location="Remicade!A1" display="Remicade (infliximab)" xr:uid="{00000000-0004-0000-0600-000000000000}"/>
    <hyperlink ref="B13" location="Concerta!A1" display="Concerta" xr:uid="{00000000-0004-0000-0600-000003000000}"/>
    <hyperlink ref="B19" location="Prezista!A1" display="Prezista (darunavir)" xr:uid="{00000000-0004-0000-0600-000008000000}"/>
    <hyperlink ref="B20" location="Intelence!A1" display="Intelence (etravirine)" xr:uid="{00000000-0004-0000-0600-000009000000}"/>
    <hyperlink ref="B73" location="Cardiovascular!A1" display="Cardiovascular" xr:uid="{00000000-0004-0000-0600-00000B000000}"/>
    <hyperlink ref="C73" location="Vision!A1" display="Vision" xr:uid="{00000000-0004-0000-0600-00000C000000}"/>
    <hyperlink ref="B74" location="Consumer!A1" display="Consumer" xr:uid="{00000000-0004-0000-0600-00000D000000}"/>
    <hyperlink ref="C74" location="Acquisitions!A1" display="Acquisitions" xr:uid="{00000000-0004-0000-0600-00000E000000}"/>
    <hyperlink ref="F73" location="EndoSurgery!A1" display="EndoSurgery" xr:uid="{00000000-0004-0000-0600-000013000000}"/>
    <hyperlink ref="E73" location="DePuy!A1" display="DePuy" xr:uid="{00000000-0004-0000-0600-000014000000}"/>
    <hyperlink ref="B3" location="Stelara!A1" display="Stelara (ustekinumab)" xr:uid="{00000000-0004-0000-0600-000016000000}"/>
    <hyperlink ref="B11" location="Simponi!A1" display="Simponi (golimumab)" xr:uid="{00000000-0004-0000-0600-000017000000}"/>
    <hyperlink ref="D73" location="Ethicon!A1" display="Ethicon" xr:uid="{00000000-0004-0000-0600-000019000000}"/>
    <hyperlink ref="B7" location="Sustenna!A1" display="Invega Sustenna (paliperidone palmitate)" xr:uid="{00000000-0004-0000-0600-00001B000000}"/>
    <hyperlink ref="B21" location="abiraterone!A1" display="abiraterone" xr:uid="{00000000-0004-0000-0600-00001D000000}"/>
    <hyperlink ref="D74" location="'Old Drugs'!A1" display="Failures" xr:uid="{00000000-0004-0000-0600-00001E000000}"/>
    <hyperlink ref="B18" location="riplivirine!A1" display="TMC278 (riplivirine)" xr:uid="{00000000-0004-0000-0600-00001F000000}"/>
    <hyperlink ref="B8" location="Xarelto!A1" display="Xarelto (rivaroxaban)" xr:uid="{00000000-0004-0000-0600-000020000000}"/>
    <hyperlink ref="B15" location="Ponvory!A1" display="Ponvory (ponesimod)" xr:uid="{407ACF57-583F-4BF0-B1BC-8349ACAF637D}"/>
    <hyperlink ref="B4" location="Darzalex!A1" display="Darzalex (daratumumab)" xr:uid="{8B650D6A-0948-44EB-8F18-3E9D1C24E169}"/>
    <hyperlink ref="B9" location="Imbruvica!A1" display="Imbruvica (ibrutinib)" xr:uid="{268527F9-59A2-4733-BAD5-F7029900B2FE}"/>
    <hyperlink ref="B5" location="Tecvayli!A1" display="Tecvayli (teclistamab)" xr:uid="{007DB709-BE65-41AD-8981-25F783498942}"/>
    <hyperlink ref="B29" location="'TAR-200'!A1" display="TAR-200 (gemcitabine)" xr:uid="{B67D77E6-DEE4-4E3E-A5DD-06C87A647AA6}"/>
    <hyperlink ref="B30" location="nipocalimab!A1" display="nipocalimab" xr:uid="{00CC5BB5-ACD6-436C-BC44-3B88BA7E9DD0}"/>
    <hyperlink ref="B6" location="Carvykti!A1" display="Carvykti (cilta-cel)" xr:uid="{73915719-312C-4210-855F-19EAA8AD3541}"/>
    <hyperlink ref="B12" location="Tremfya!A1" display="Tremfya (guselkumab)" xr:uid="{953F5A99-30CD-47F8-B1E1-38F5B8591CCE}"/>
    <hyperlink ref="B24" location="Talvey!A1" display="Talvey (talquetamab)" xr:uid="{6AC8F79B-49B8-4309-B8BC-7668EA4015A2}"/>
    <hyperlink ref="B31" location="icotrokinra!A1" display="icotrokinra (JNJ-2113, fka JNJ-77242113/PN-235)" xr:uid="{D2619E8D-B06E-4BC9-8687-A3816615451C}"/>
    <hyperlink ref="B27" location="Rybrevant!A1" display="Rybrevant (amivantamab)" xr:uid="{A3FEA67A-842C-45E3-882B-2661E4FFB7FC}"/>
  </hyperlinks>
  <pageMargins left="0.17" right="0.05" top="0.98402777777777795" bottom="0.98402777777777795" header="0.51180555555555596" footer="0.51180555555555596"/>
  <pageSetup scale="54" firstPageNumber="0" orientation="landscape"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pageSetUpPr fitToPage="1"/>
  </sheetPr>
  <dimension ref="A1:JJ265"/>
  <sheetViews>
    <sheetView tabSelected="1" zoomScale="160" zoomScaleNormal="160" workbookViewId="0">
      <pane xSplit="2" ySplit="2" topLeftCell="DD3" activePane="bottomRight" state="frozen"/>
      <selection pane="topRight" activeCell="Q1" sqref="Q1"/>
      <selection pane="bottomLeft" activeCell="A3" sqref="A3"/>
      <selection pane="bottomRight" activeCell="DJ31" sqref="DJ31"/>
    </sheetView>
  </sheetViews>
  <sheetFormatPr defaultColWidth="9.140625" defaultRowHeight="12.75" customHeight="1" x14ac:dyDescent="0.2"/>
  <cols>
    <col min="1" max="1" width="5.28515625" customWidth="1"/>
    <col min="2" max="2" width="28.28515625" customWidth="1"/>
    <col min="3" max="27" width="6.28515625" style="76" bestFit="1" customWidth="1"/>
    <col min="28" max="29" width="6.42578125" style="76" bestFit="1" customWidth="1"/>
    <col min="30" max="30" width="6.85546875" style="76" bestFit="1" customWidth="1"/>
    <col min="31" max="31" width="6.42578125" style="76" bestFit="1" customWidth="1"/>
    <col min="32" max="102" width="7.42578125" style="76" customWidth="1"/>
    <col min="103" max="112" width="7.85546875" style="76" customWidth="1"/>
    <col min="113" max="118" width="8" style="76" customWidth="1"/>
    <col min="120" max="124" width="1.28515625" style="76" customWidth="1"/>
    <col min="125" max="141" width="0.42578125" style="76" customWidth="1"/>
    <col min="142" max="151" width="7.85546875" style="76" customWidth="1"/>
    <col min="152" max="166" width="8.42578125" customWidth="1"/>
    <col min="167" max="167" width="11.28515625" bestFit="1" customWidth="1"/>
    <col min="168" max="168" width="10.7109375" customWidth="1"/>
    <col min="169" max="169" width="10.42578125" customWidth="1"/>
    <col min="170" max="170" width="8.42578125" customWidth="1"/>
  </cols>
  <sheetData>
    <row r="1" spans="1:169" ht="12.75" customHeight="1" x14ac:dyDescent="0.2">
      <c r="A1" s="2" t="s">
        <v>154</v>
      </c>
      <c r="EV1" s="254"/>
      <c r="EW1" s="254"/>
      <c r="EX1" s="254"/>
      <c r="EY1" s="254"/>
      <c r="EZ1" s="254"/>
      <c r="FA1" s="254"/>
      <c r="FB1" s="254"/>
      <c r="FC1" s="254"/>
      <c r="FD1" s="254"/>
      <c r="FE1" s="254"/>
      <c r="FF1" s="254"/>
      <c r="FG1" s="254"/>
      <c r="FH1" s="254"/>
      <c r="FI1" s="254"/>
      <c r="FJ1" s="254"/>
    </row>
    <row r="2" spans="1:169" ht="12.75" customHeight="1" x14ac:dyDescent="0.2">
      <c r="B2" s="266"/>
      <c r="C2" s="76" t="s">
        <v>265</v>
      </c>
      <c r="D2" s="76" t="s">
        <v>266</v>
      </c>
      <c r="E2" s="76" t="s">
        <v>267</v>
      </c>
      <c r="F2" s="76" t="s">
        <v>268</v>
      </c>
      <c r="G2" s="76" t="s">
        <v>269</v>
      </c>
      <c r="H2" s="76" t="s">
        <v>270</v>
      </c>
      <c r="I2" s="76" t="s">
        <v>271</v>
      </c>
      <c r="J2" s="76" t="s">
        <v>272</v>
      </c>
      <c r="K2" s="76" t="s">
        <v>273</v>
      </c>
      <c r="L2" s="76" t="s">
        <v>274</v>
      </c>
      <c r="M2" s="76" t="s">
        <v>275</v>
      </c>
      <c r="N2" s="76" t="s">
        <v>276</v>
      </c>
      <c r="O2" s="76" t="s">
        <v>277</v>
      </c>
      <c r="P2" s="76" t="s">
        <v>278</v>
      </c>
      <c r="Q2" s="76" t="s">
        <v>279</v>
      </c>
      <c r="R2" s="76" t="s">
        <v>280</v>
      </c>
      <c r="S2" s="76" t="s">
        <v>281</v>
      </c>
      <c r="T2" s="76" t="s">
        <v>282</v>
      </c>
      <c r="U2" s="76" t="s">
        <v>283</v>
      </c>
      <c r="V2" s="76" t="s">
        <v>284</v>
      </c>
      <c r="W2" s="76" t="s">
        <v>285</v>
      </c>
      <c r="X2" s="76" t="s">
        <v>286</v>
      </c>
      <c r="Y2" s="76" t="s">
        <v>287</v>
      </c>
      <c r="Z2" s="76" t="s">
        <v>288</v>
      </c>
      <c r="AA2" s="76" t="s">
        <v>289</v>
      </c>
      <c r="AB2" s="76" t="s">
        <v>290</v>
      </c>
      <c r="AC2" s="76" t="s">
        <v>291</v>
      </c>
      <c r="AD2" s="76" t="s">
        <v>292</v>
      </c>
      <c r="AE2" s="76" t="s">
        <v>293</v>
      </c>
      <c r="AF2" s="76" t="s">
        <v>294</v>
      </c>
      <c r="AG2" s="76" t="s">
        <v>295</v>
      </c>
      <c r="AH2" s="76" t="s">
        <v>296</v>
      </c>
      <c r="AI2" s="76" t="s">
        <v>297</v>
      </c>
      <c r="AJ2" s="76" t="s">
        <v>298</v>
      </c>
      <c r="AK2" s="76" t="s">
        <v>299</v>
      </c>
      <c r="AL2" s="76" t="s">
        <v>300</v>
      </c>
      <c r="AM2" s="76" t="s">
        <v>301</v>
      </c>
      <c r="AN2" s="76" t="s">
        <v>302</v>
      </c>
      <c r="AO2" s="76" t="s">
        <v>303</v>
      </c>
      <c r="AP2" s="76" t="s">
        <v>304</v>
      </c>
      <c r="AQ2" s="76" t="s">
        <v>305</v>
      </c>
      <c r="AR2" s="76" t="s">
        <v>306</v>
      </c>
      <c r="AS2" s="76" t="s">
        <v>307</v>
      </c>
      <c r="AT2" s="76" t="s">
        <v>308</v>
      </c>
      <c r="AU2" s="76" t="s">
        <v>261</v>
      </c>
      <c r="AV2" s="76" t="s">
        <v>309</v>
      </c>
      <c r="AW2" s="76" t="s">
        <v>310</v>
      </c>
      <c r="AX2" s="76" t="s">
        <v>311</v>
      </c>
      <c r="AY2" s="76" t="s">
        <v>312</v>
      </c>
      <c r="AZ2" s="76" t="s">
        <v>313</v>
      </c>
      <c r="BA2" s="76" t="s">
        <v>314</v>
      </c>
      <c r="BB2" s="76" t="s">
        <v>315</v>
      </c>
      <c r="BC2" s="76" t="s">
        <v>1297</v>
      </c>
      <c r="BD2" s="76" t="s">
        <v>1298</v>
      </c>
      <c r="BE2" s="76" t="s">
        <v>1299</v>
      </c>
      <c r="BF2" s="76" t="s">
        <v>1300</v>
      </c>
      <c r="BG2" s="76" t="s">
        <v>1440</v>
      </c>
      <c r="BH2" s="76" t="s">
        <v>1441</v>
      </c>
      <c r="BI2" s="76" t="s">
        <v>1442</v>
      </c>
      <c r="BJ2" s="76" t="s">
        <v>1443</v>
      </c>
      <c r="BK2" s="76" t="s">
        <v>1484</v>
      </c>
      <c r="BL2" s="76" t="s">
        <v>1485</v>
      </c>
      <c r="BM2" s="76" t="s">
        <v>1486</v>
      </c>
      <c r="BN2" s="76" t="s">
        <v>1487</v>
      </c>
      <c r="BO2" s="76" t="s">
        <v>1527</v>
      </c>
      <c r="BP2" s="76" t="s">
        <v>1528</v>
      </c>
      <c r="BQ2" s="76" t="s">
        <v>1529</v>
      </c>
      <c r="BR2" s="76" t="s">
        <v>1530</v>
      </c>
      <c r="BS2" s="76" t="s">
        <v>1554</v>
      </c>
      <c r="BT2" s="76" t="s">
        <v>1555</v>
      </c>
      <c r="BU2" s="76" t="s">
        <v>1556</v>
      </c>
      <c r="BV2" s="76" t="s">
        <v>1557</v>
      </c>
      <c r="BW2" s="76" t="s">
        <v>1627</v>
      </c>
      <c r="BX2" s="76" t="s">
        <v>1628</v>
      </c>
      <c r="BY2" s="76" t="s">
        <v>1629</v>
      </c>
      <c r="BZ2" s="76" t="s">
        <v>1630</v>
      </c>
      <c r="CA2" s="76" t="s">
        <v>1642</v>
      </c>
      <c r="CB2" s="76" t="s">
        <v>1643</v>
      </c>
      <c r="CC2" s="76" t="s">
        <v>1644</v>
      </c>
      <c r="CD2" s="76" t="s">
        <v>1645</v>
      </c>
      <c r="CE2" s="76" t="s">
        <v>1646</v>
      </c>
      <c r="CF2" s="76" t="s">
        <v>1647</v>
      </c>
      <c r="CG2" s="76" t="s">
        <v>1648</v>
      </c>
      <c r="CH2" s="76" t="s">
        <v>1649</v>
      </c>
      <c r="CI2" s="76" t="s">
        <v>1651</v>
      </c>
      <c r="CJ2" s="76" t="s">
        <v>1652</v>
      </c>
      <c r="CK2" s="76" t="s">
        <v>1653</v>
      </c>
      <c r="CL2" s="76" t="s">
        <v>1654</v>
      </c>
      <c r="CM2" s="76" t="s">
        <v>1650</v>
      </c>
      <c r="CN2" s="76" t="s">
        <v>1655</v>
      </c>
      <c r="CO2" s="76" t="s">
        <v>1656</v>
      </c>
      <c r="CP2" s="76" t="s">
        <v>1657</v>
      </c>
      <c r="CQ2" s="76" t="s">
        <v>1658</v>
      </c>
      <c r="CR2" s="76" t="s">
        <v>1659</v>
      </c>
      <c r="CS2" s="76" t="s">
        <v>1660</v>
      </c>
      <c r="CT2" s="76" t="s">
        <v>1661</v>
      </c>
      <c r="CU2" s="76" t="s">
        <v>1662</v>
      </c>
      <c r="CV2" s="76" t="s">
        <v>1663</v>
      </c>
      <c r="CW2" s="76" t="s">
        <v>1664</v>
      </c>
      <c r="CX2" s="76" t="s">
        <v>1665</v>
      </c>
      <c r="CY2" s="76" t="s">
        <v>1666</v>
      </c>
      <c r="CZ2" s="76" t="s">
        <v>1667</v>
      </c>
      <c r="DA2" s="76" t="s">
        <v>1668</v>
      </c>
      <c r="DB2" s="76" t="s">
        <v>1669</v>
      </c>
      <c r="DC2" s="76" t="s">
        <v>1670</v>
      </c>
      <c r="DD2" s="76" t="s">
        <v>1671</v>
      </c>
      <c r="DE2" s="76" t="s">
        <v>1672</v>
      </c>
      <c r="DF2" s="76" t="s">
        <v>1673</v>
      </c>
      <c r="DG2" s="76" t="s">
        <v>1892</v>
      </c>
      <c r="DH2" s="76" t="s">
        <v>1893</v>
      </c>
      <c r="DI2" s="76" t="s">
        <v>1894</v>
      </c>
      <c r="DJ2" s="76" t="s">
        <v>1895</v>
      </c>
      <c r="DK2" s="76" t="s">
        <v>1948</v>
      </c>
      <c r="DL2" s="76" t="s">
        <v>1949</v>
      </c>
      <c r="DM2" s="76" t="s">
        <v>1950</v>
      </c>
      <c r="DN2" s="76" t="s">
        <v>1951</v>
      </c>
      <c r="DP2" s="267">
        <f t="shared" ref="DP2:DZ2" si="0">+DQ2-1</f>
        <v>1989</v>
      </c>
      <c r="DQ2" s="267">
        <f t="shared" si="0"/>
        <v>1990</v>
      </c>
      <c r="DR2" s="267">
        <f t="shared" si="0"/>
        <v>1991</v>
      </c>
      <c r="DS2" s="267">
        <f t="shared" si="0"/>
        <v>1992</v>
      </c>
      <c r="DT2" s="267">
        <f t="shared" si="0"/>
        <v>1993</v>
      </c>
      <c r="DU2" s="267">
        <f t="shared" si="0"/>
        <v>1994</v>
      </c>
      <c r="DV2" s="267">
        <f t="shared" si="0"/>
        <v>1995</v>
      </c>
      <c r="DW2" s="267">
        <f t="shared" si="0"/>
        <v>1996</v>
      </c>
      <c r="DX2" s="267">
        <f t="shared" si="0"/>
        <v>1997</v>
      </c>
      <c r="DY2" s="267">
        <f t="shared" si="0"/>
        <v>1998</v>
      </c>
      <c r="DZ2" s="267">
        <f t="shared" si="0"/>
        <v>1999</v>
      </c>
      <c r="EA2" s="267">
        <v>2000</v>
      </c>
      <c r="EB2" s="267">
        <v>2001</v>
      </c>
      <c r="EC2" s="267">
        <v>2002</v>
      </c>
      <c r="ED2" s="267">
        <v>2003</v>
      </c>
      <c r="EE2" s="267">
        <v>2004</v>
      </c>
      <c r="EF2" s="267">
        <v>2005</v>
      </c>
      <c r="EG2" s="267">
        <v>2006</v>
      </c>
      <c r="EH2" s="267">
        <v>2007</v>
      </c>
      <c r="EI2" s="267">
        <v>2008</v>
      </c>
      <c r="EJ2" s="267">
        <v>2009</v>
      </c>
      <c r="EK2" s="267">
        <v>2010</v>
      </c>
      <c r="EL2" s="267">
        <v>2011</v>
      </c>
      <c r="EM2" s="267">
        <v>2012</v>
      </c>
      <c r="EN2" s="267">
        <v>2013</v>
      </c>
      <c r="EO2" s="267">
        <v>2014</v>
      </c>
      <c r="EP2" s="267">
        <v>2015</v>
      </c>
      <c r="EQ2" s="166">
        <v>2016</v>
      </c>
      <c r="ER2" s="166">
        <v>2017</v>
      </c>
      <c r="ES2" s="166">
        <v>2018</v>
      </c>
      <c r="ET2" s="166">
        <v>2019</v>
      </c>
      <c r="EU2" s="166">
        <v>2020</v>
      </c>
      <c r="EV2" s="166">
        <f>+EU2+1</f>
        <v>2021</v>
      </c>
      <c r="EW2" s="166">
        <f t="shared" ref="EW2:EY2" si="1">+EV2+1</f>
        <v>2022</v>
      </c>
      <c r="EX2" s="166">
        <f t="shared" si="1"/>
        <v>2023</v>
      </c>
      <c r="EY2" s="166">
        <f t="shared" si="1"/>
        <v>2024</v>
      </c>
      <c r="EZ2" s="166">
        <f t="shared" ref="EZ2" si="2">+EY2+1</f>
        <v>2025</v>
      </c>
      <c r="FA2" s="166">
        <f t="shared" ref="FA2" si="3">+EZ2+1</f>
        <v>2026</v>
      </c>
      <c r="FB2" s="166">
        <f t="shared" ref="FB2" si="4">+FA2+1</f>
        <v>2027</v>
      </c>
      <c r="FC2" s="166">
        <f t="shared" ref="FC2" si="5">+FB2+1</f>
        <v>2028</v>
      </c>
      <c r="FD2" s="166">
        <f t="shared" ref="FD2" si="6">+FC2+1</f>
        <v>2029</v>
      </c>
      <c r="FE2" s="166">
        <f t="shared" ref="FE2:FJ2" si="7">+FD2+1</f>
        <v>2030</v>
      </c>
      <c r="FF2" s="166">
        <f t="shared" si="7"/>
        <v>2031</v>
      </c>
      <c r="FG2" s="166">
        <f t="shared" si="7"/>
        <v>2032</v>
      </c>
      <c r="FH2" s="166">
        <f t="shared" si="7"/>
        <v>2033</v>
      </c>
      <c r="FI2" s="166">
        <f t="shared" si="7"/>
        <v>2034</v>
      </c>
      <c r="FJ2" s="166">
        <f t="shared" si="7"/>
        <v>2035</v>
      </c>
    </row>
    <row r="3" spans="1:169" s="254" customFormat="1" ht="12.75" customHeight="1" x14ac:dyDescent="0.2">
      <c r="B3" t="s">
        <v>178</v>
      </c>
      <c r="C3" s="338"/>
      <c r="D3" s="338"/>
      <c r="E3" s="338"/>
      <c r="F3" s="338"/>
      <c r="G3" s="76"/>
      <c r="H3" s="76"/>
      <c r="I3" s="76"/>
      <c r="J3" s="76"/>
      <c r="K3" s="235">
        <v>21</v>
      </c>
      <c r="L3" s="235">
        <v>26</v>
      </c>
      <c r="M3" s="235">
        <v>27</v>
      </c>
      <c r="N3" s="235">
        <v>41</v>
      </c>
      <c r="O3" s="76">
        <f>45+4</f>
        <v>49</v>
      </c>
      <c r="P3" s="243">
        <f>77.5+13.7</f>
        <v>91.2</v>
      </c>
      <c r="Q3" s="243">
        <f>79.8+11</f>
        <v>90.8</v>
      </c>
      <c r="R3" s="76">
        <f>102+37</f>
        <v>139</v>
      </c>
      <c r="S3" s="76">
        <f>116+15</f>
        <v>131</v>
      </c>
      <c r="T3" s="76">
        <f>166+5</f>
        <v>171</v>
      </c>
      <c r="U3" s="76">
        <f>202+7</f>
        <v>209</v>
      </c>
      <c r="V3" s="76">
        <f>203+7</f>
        <v>210</v>
      </c>
      <c r="W3" s="76">
        <f>236+9</f>
        <v>245</v>
      </c>
      <c r="X3" s="76">
        <f>298+34</f>
        <v>332</v>
      </c>
      <c r="Y3" s="76">
        <f>293+48</f>
        <v>341</v>
      </c>
      <c r="Z3" s="76">
        <f>343+36</f>
        <v>379</v>
      </c>
      <c r="AA3" s="76">
        <f>345+64</f>
        <v>409</v>
      </c>
      <c r="AB3" s="76">
        <f>366+55</f>
        <v>421</v>
      </c>
      <c r="AC3" s="76">
        <f>390+54</f>
        <v>444</v>
      </c>
      <c r="AD3" s="76">
        <f>381+75</f>
        <v>456</v>
      </c>
      <c r="AE3" s="243">
        <f>411+53</f>
        <v>464</v>
      </c>
      <c r="AF3" s="243">
        <f>447+92</f>
        <v>539</v>
      </c>
      <c r="AG3" s="243">
        <f>466+79</f>
        <v>545</v>
      </c>
      <c r="AH3" s="243">
        <f>493+105</f>
        <v>598</v>
      </c>
      <c r="AI3" s="243">
        <f>501+76</f>
        <v>577</v>
      </c>
      <c r="AJ3" s="243">
        <f>506+136</f>
        <v>642</v>
      </c>
      <c r="AK3" s="243">
        <f>524+100</f>
        <v>624</v>
      </c>
      <c r="AL3" s="243">
        <f>535+157</f>
        <v>692</v>
      </c>
      <c r="AM3" s="243">
        <f>566+115</f>
        <v>681</v>
      </c>
      <c r="AN3" s="243">
        <f>595+182</f>
        <v>777</v>
      </c>
      <c r="AO3" s="243">
        <v>776</v>
      </c>
      <c r="AP3" s="243">
        <v>780</v>
      </c>
      <c r="AQ3" s="243">
        <v>731</v>
      </c>
      <c r="AR3" s="243">
        <v>869</v>
      </c>
      <c r="AS3" s="243">
        <v>819</v>
      </c>
      <c r="AT3" s="243">
        <v>908</v>
      </c>
      <c r="AU3" s="243">
        <v>998</v>
      </c>
      <c r="AV3" s="243">
        <v>886</v>
      </c>
      <c r="AW3" s="243">
        <v>978</v>
      </c>
      <c r="AX3" s="243">
        <v>886</v>
      </c>
      <c r="AY3" s="243">
        <v>1028</v>
      </c>
      <c r="AZ3" s="243">
        <v>1102</v>
      </c>
      <c r="BA3" s="243">
        <v>1036</v>
      </c>
      <c r="BB3" s="243">
        <v>1138</v>
      </c>
      <c r="BC3" s="243">
        <v>1186</v>
      </c>
      <c r="BD3" s="243">
        <v>1130</v>
      </c>
      <c r="BE3" s="243">
        <v>1229</v>
      </c>
      <c r="BF3" s="243">
        <v>1065</v>
      </c>
      <c r="BG3" s="243">
        <v>1285</v>
      </c>
      <c r="BH3" s="243">
        <v>1371</v>
      </c>
      <c r="BI3" s="243">
        <v>1408</v>
      </c>
      <c r="BJ3" s="243">
        <v>1428</v>
      </c>
      <c r="BK3" s="243">
        <v>1521</v>
      </c>
      <c r="BL3" s="243">
        <v>1523</v>
      </c>
      <c r="BM3" s="243">
        <v>1591</v>
      </c>
      <c r="BN3" s="243">
        <v>1504</v>
      </c>
      <c r="BO3" s="243">
        <v>1600</v>
      </c>
      <c r="BP3" s="243">
        <v>1672</v>
      </c>
      <c r="BQ3" s="243">
        <v>1689</v>
      </c>
      <c r="BR3" s="243">
        <v>1712</v>
      </c>
      <c r="BS3" s="243">
        <v>1610</v>
      </c>
      <c r="BT3" s="243">
        <v>1804</v>
      </c>
      <c r="BU3" s="243">
        <v>1782</v>
      </c>
      <c r="BV3" s="243">
        <v>1672</v>
      </c>
      <c r="BW3" s="243">
        <v>1600</v>
      </c>
      <c r="BX3" s="243">
        <v>1668</v>
      </c>
      <c r="BY3" s="243">
        <v>1613</v>
      </c>
      <c r="BZ3" s="243">
        <v>1680</v>
      </c>
      <c r="CA3" s="243">
        <v>1779</v>
      </c>
      <c r="CB3" s="243">
        <v>1780</v>
      </c>
      <c r="CC3" s="243">
        <v>1783</v>
      </c>
      <c r="CD3" s="243">
        <v>1624</v>
      </c>
      <c r="CE3" s="243">
        <v>1672</v>
      </c>
      <c r="CF3" s="243">
        <v>1530</v>
      </c>
      <c r="CG3" s="243">
        <v>1647</v>
      </c>
      <c r="CH3" s="243">
        <v>1466</v>
      </c>
      <c r="CI3" s="243">
        <v>1389</v>
      </c>
      <c r="CJ3" s="243">
        <v>1320</v>
      </c>
      <c r="CK3" s="243">
        <v>1379</v>
      </c>
      <c r="CL3" s="243">
        <v>1238</v>
      </c>
      <c r="CM3" s="243">
        <v>1102</v>
      </c>
      <c r="CN3" s="243">
        <v>1107</v>
      </c>
      <c r="CO3" s="243">
        <v>1136</v>
      </c>
      <c r="CP3" s="243">
        <v>1035</v>
      </c>
      <c r="CQ3" s="243">
        <v>990</v>
      </c>
      <c r="CR3" s="243">
        <v>935</v>
      </c>
      <c r="CS3" s="243">
        <v>921</v>
      </c>
      <c r="CT3" s="243">
        <v>901</v>
      </c>
      <c r="CU3" s="243">
        <v>777</v>
      </c>
      <c r="CV3" s="243">
        <v>888</v>
      </c>
      <c r="CW3" s="243">
        <v>761</v>
      </c>
      <c r="CX3" s="243">
        <v>764</v>
      </c>
      <c r="CY3" s="243">
        <v>663</v>
      </c>
      <c r="CZ3" s="243">
        <v>647</v>
      </c>
      <c r="DA3" s="243">
        <v>558</v>
      </c>
      <c r="DB3" s="243">
        <v>475</v>
      </c>
      <c r="DC3" s="243">
        <v>487</v>
      </c>
      <c r="DD3" s="243">
        <v>462</v>
      </c>
      <c r="DE3" s="243">
        <v>461.4</v>
      </c>
      <c r="DF3" s="243">
        <v>429</v>
      </c>
      <c r="DG3" s="243">
        <v>434</v>
      </c>
      <c r="DH3" s="243">
        <v>393</v>
      </c>
      <c r="DI3" s="243">
        <v>419.4</v>
      </c>
      <c r="DJ3" s="243">
        <v>359</v>
      </c>
      <c r="DK3" s="243">
        <f t="shared" ref="DK3" si="8">+DG3*0.8</f>
        <v>347.20000000000005</v>
      </c>
      <c r="DL3" s="243">
        <f t="shared" ref="DL3" si="9">+DH3*0.8</f>
        <v>314.40000000000003</v>
      </c>
      <c r="DM3" s="243">
        <f t="shared" ref="DM3" si="10">+DI3*0.8</f>
        <v>335.52</v>
      </c>
      <c r="DN3" s="243">
        <f t="shared" ref="DN3" si="11">+DJ3*0.8</f>
        <v>287.2</v>
      </c>
      <c r="DP3" s="235"/>
      <c r="DQ3" s="235"/>
      <c r="DR3" s="235"/>
      <c r="DS3" s="235"/>
      <c r="DT3" s="235"/>
      <c r="DU3" s="235"/>
      <c r="DV3" s="235"/>
      <c r="DW3" s="235"/>
      <c r="DX3" s="235"/>
      <c r="DY3" s="235">
        <v>28</v>
      </c>
      <c r="DZ3" s="235">
        <v>116</v>
      </c>
      <c r="EA3" s="235">
        <f>SUM(O3:R3)</f>
        <v>370</v>
      </c>
      <c r="EB3" s="235">
        <v>721</v>
      </c>
      <c r="EC3" s="235">
        <f>SUM(W3:Z3)</f>
        <v>1297</v>
      </c>
      <c r="ED3" s="235">
        <f>SUM(AA3:AD3)</f>
        <v>1730</v>
      </c>
      <c r="EE3" s="235">
        <v>2145</v>
      </c>
      <c r="EF3" s="235">
        <v>2535</v>
      </c>
      <c r="EG3" s="235">
        <f>SUM(AM3:AP3)</f>
        <v>3014</v>
      </c>
      <c r="EH3" s="235">
        <f>SUM(AQ3:AT3)</f>
        <v>3327</v>
      </c>
      <c r="EI3" s="235">
        <f>SUM(AU3:AX3)</f>
        <v>3748</v>
      </c>
      <c r="EJ3" s="235">
        <f>SUM(AY3:BB3)</f>
        <v>4304</v>
      </c>
      <c r="EK3" s="235">
        <f>SUM(BC3:BF3)</f>
        <v>4610</v>
      </c>
      <c r="EL3" s="235">
        <f>SUM(BG3:BJ3)</f>
        <v>5492</v>
      </c>
      <c r="EM3" s="235">
        <f>SUM(BK3:BN3)</f>
        <v>6139</v>
      </c>
      <c r="EN3" s="235">
        <f>SUM(BO3:BR3)</f>
        <v>6673</v>
      </c>
      <c r="EO3" s="235">
        <f>SUM(BS3:BV3)</f>
        <v>6868</v>
      </c>
      <c r="EP3" s="235">
        <f>EO3*1.03</f>
        <v>7074.04</v>
      </c>
      <c r="EQ3" s="235">
        <f>+EP3</f>
        <v>7074.04</v>
      </c>
      <c r="ER3" s="235">
        <f>SUM(CE3:CH3)</f>
        <v>6315</v>
      </c>
      <c r="ES3" s="235">
        <f>SUM(CI3:CL3)</f>
        <v>5326</v>
      </c>
      <c r="ET3" s="235">
        <f>SUM(CM3:CP3)</f>
        <v>4380</v>
      </c>
      <c r="EU3" s="235">
        <f>SUM(CQ3:CT3)</f>
        <v>3747</v>
      </c>
      <c r="EV3" s="235">
        <f>SUM(CU3:CX3)</f>
        <v>3190</v>
      </c>
      <c r="EW3" s="235">
        <f>SUM(CY3:DB3)</f>
        <v>2343</v>
      </c>
      <c r="EX3" s="235">
        <f t="shared" ref="EX3:EX9" si="12">SUM(DC3:DF3)</f>
        <v>1839.4</v>
      </c>
      <c r="EY3" s="235">
        <f>SUM(DG3:DJ3)</f>
        <v>1605.4</v>
      </c>
      <c r="EZ3" s="235">
        <f>SUM(DK3:DN3)</f>
        <v>1284.3200000000002</v>
      </c>
      <c r="FA3" s="235">
        <f t="shared" ref="FA3" si="13">EZ3*0.95</f>
        <v>1220.104</v>
      </c>
      <c r="FB3" s="235">
        <f t="shared" ref="FB3" si="14">FA3*0.95</f>
        <v>1159.0988</v>
      </c>
      <c r="FC3" s="235">
        <f t="shared" ref="FC3" si="15">FB3*0.95</f>
        <v>1101.1438599999999</v>
      </c>
      <c r="FD3" s="235">
        <f t="shared" ref="FD3" si="16">FC3*0.95</f>
        <v>1046.0866669999998</v>
      </c>
      <c r="FE3" s="235">
        <f t="shared" ref="FE3:FJ3" si="17">FD3*0.95</f>
        <v>993.78233364999971</v>
      </c>
      <c r="FF3" s="235">
        <f t="shared" si="17"/>
        <v>944.09321696749964</v>
      </c>
      <c r="FG3" s="235">
        <f t="shared" si="17"/>
        <v>896.88855611912459</v>
      </c>
      <c r="FH3" s="235">
        <f t="shared" si="17"/>
        <v>852.04412831316836</v>
      </c>
      <c r="FI3" s="235">
        <f t="shared" si="17"/>
        <v>809.44192189750993</v>
      </c>
      <c r="FJ3" s="235">
        <f t="shared" si="17"/>
        <v>768.96982580263443</v>
      </c>
      <c r="FL3"/>
      <c r="FM3"/>
    </row>
    <row r="4" spans="1:169" ht="12.75" customHeight="1" x14ac:dyDescent="0.2">
      <c r="B4" t="s">
        <v>729</v>
      </c>
      <c r="C4" s="338"/>
      <c r="D4" s="338"/>
      <c r="E4" s="338"/>
      <c r="F4" s="338"/>
      <c r="G4" s="338"/>
      <c r="H4" s="338"/>
      <c r="I4" s="338"/>
      <c r="J4" s="338"/>
      <c r="K4" s="338"/>
      <c r="L4" s="338"/>
      <c r="M4" s="338"/>
      <c r="N4" s="338"/>
      <c r="O4" s="338"/>
      <c r="P4" s="338"/>
      <c r="Q4" s="338"/>
      <c r="R4" s="338"/>
      <c r="S4" s="338"/>
      <c r="T4" s="338"/>
      <c r="U4" s="338"/>
      <c r="V4" s="338"/>
      <c r="W4" s="338"/>
      <c r="X4" s="338"/>
      <c r="Y4" s="338"/>
      <c r="Z4" s="338"/>
      <c r="AA4" s="338"/>
      <c r="AB4" s="338"/>
      <c r="AC4" s="338"/>
      <c r="AD4" s="338"/>
      <c r="AE4" s="339"/>
      <c r="AF4" s="339"/>
      <c r="AG4" s="339"/>
      <c r="AH4" s="339"/>
      <c r="AI4" s="339"/>
      <c r="AJ4" s="339"/>
      <c r="AK4" s="339"/>
      <c r="AL4" s="339"/>
      <c r="AM4" s="339"/>
      <c r="AN4" s="339"/>
      <c r="AO4" s="339"/>
      <c r="AP4" s="339"/>
      <c r="AQ4" s="339"/>
      <c r="AR4" s="339"/>
      <c r="AS4" s="339"/>
      <c r="AT4" s="339"/>
      <c r="AU4" s="339"/>
      <c r="AV4" s="339"/>
      <c r="AW4" s="339"/>
      <c r="AX4" s="339"/>
      <c r="BD4" s="76">
        <v>59</v>
      </c>
      <c r="BF4" s="76">
        <v>65</v>
      </c>
      <c r="BG4" s="76">
        <v>95</v>
      </c>
      <c r="BH4" s="76">
        <v>67</v>
      </c>
      <c r="BI4" s="76">
        <v>129</v>
      </c>
      <c r="BJ4" s="76">
        <v>119</v>
      </c>
      <c r="BK4" s="76">
        <v>116</v>
      </c>
      <c r="BL4" s="76">
        <v>125</v>
      </c>
      <c r="BM4" s="76">
        <v>185</v>
      </c>
      <c r="BN4" s="76">
        <v>181</v>
      </c>
      <c r="BO4" s="76">
        <v>237</v>
      </c>
      <c r="BP4" s="76">
        <v>175</v>
      </c>
      <c r="BQ4" s="76">
        <v>266</v>
      </c>
      <c r="BR4" s="76">
        <v>254</v>
      </c>
      <c r="BS4" s="243">
        <v>259</v>
      </c>
      <c r="BT4" s="243">
        <v>282</v>
      </c>
      <c r="BU4" s="243">
        <v>300</v>
      </c>
      <c r="BV4" s="243">
        <v>346</v>
      </c>
      <c r="BW4" s="243">
        <v>300</v>
      </c>
      <c r="BX4" s="243">
        <v>308</v>
      </c>
      <c r="BY4" s="243">
        <v>380</v>
      </c>
      <c r="BZ4" s="243">
        <v>340</v>
      </c>
      <c r="CA4" s="243">
        <v>390</v>
      </c>
      <c r="CB4" s="243">
        <v>448</v>
      </c>
      <c r="CC4" s="243">
        <v>481</v>
      </c>
      <c r="CD4" s="243">
        <v>426</v>
      </c>
      <c r="CE4" s="243">
        <v>428</v>
      </c>
      <c r="CF4" s="243">
        <v>439</v>
      </c>
      <c r="CG4" s="243">
        <v>476</v>
      </c>
      <c r="CH4" s="243">
        <v>490</v>
      </c>
      <c r="CI4" s="243">
        <v>518</v>
      </c>
      <c r="CJ4" s="243">
        <v>548</v>
      </c>
      <c r="CK4" s="243">
        <v>536</v>
      </c>
      <c r="CL4" s="243">
        <v>482</v>
      </c>
      <c r="CM4" s="243">
        <v>524</v>
      </c>
      <c r="CN4" s="243">
        <v>563</v>
      </c>
      <c r="CO4" s="243">
        <v>586</v>
      </c>
      <c r="CP4" s="243">
        <v>515</v>
      </c>
      <c r="CQ4" s="243">
        <v>529</v>
      </c>
      <c r="CR4" s="243">
        <v>546</v>
      </c>
      <c r="CS4" s="243">
        <v>592</v>
      </c>
      <c r="CT4" s="243">
        <v>576</v>
      </c>
      <c r="CU4" s="243">
        <v>562</v>
      </c>
      <c r="CV4" s="243">
        <v>584</v>
      </c>
      <c r="CW4" s="243">
        <v>571</v>
      </c>
      <c r="CX4" s="243">
        <v>559</v>
      </c>
      <c r="CY4" s="243">
        <v>571</v>
      </c>
      <c r="CZ4" s="243">
        <v>566</v>
      </c>
      <c r="DA4" s="243">
        <v>545</v>
      </c>
      <c r="DB4" s="243">
        <v>501</v>
      </c>
      <c r="DC4" s="243">
        <v>537</v>
      </c>
      <c r="DD4" s="243">
        <v>529</v>
      </c>
      <c r="DE4" s="243">
        <v>629.4</v>
      </c>
      <c r="DF4" s="243">
        <v>502</v>
      </c>
      <c r="DG4" s="243">
        <v>554</v>
      </c>
      <c r="DH4" s="243">
        <v>537</v>
      </c>
      <c r="DI4" s="243">
        <v>516.29999999999995</v>
      </c>
      <c r="DJ4" s="243">
        <v>583</v>
      </c>
      <c r="DK4" s="243">
        <f t="shared" ref="DK4" si="18">+DF4*0.95</f>
        <v>476.9</v>
      </c>
      <c r="DL4" s="243">
        <f t="shared" ref="DL4" si="19">+DG4*0.95</f>
        <v>526.29999999999995</v>
      </c>
      <c r="DM4" s="243">
        <f t="shared" ref="DM4" si="20">+DH4*0.95</f>
        <v>510.15</v>
      </c>
      <c r="DN4" s="243">
        <f t="shared" ref="DN4" si="21">+DI4*0.95</f>
        <v>490.48499999999996</v>
      </c>
      <c r="DP4" s="235"/>
      <c r="DQ4" s="235"/>
      <c r="DR4" s="235"/>
      <c r="DS4" s="235"/>
      <c r="DT4" s="235"/>
      <c r="DU4" s="235"/>
      <c r="DV4" s="235"/>
      <c r="DW4" s="235"/>
      <c r="DX4" s="235"/>
      <c r="DY4" s="235"/>
      <c r="DZ4" s="235"/>
      <c r="EA4" s="235"/>
      <c r="EB4" s="235"/>
      <c r="EC4" s="235"/>
      <c r="ED4" s="235"/>
      <c r="EE4" s="235"/>
      <c r="EF4" s="235"/>
      <c r="EG4" s="235"/>
      <c r="EH4" s="235"/>
      <c r="EI4" s="235"/>
      <c r="EJ4" s="235"/>
      <c r="EK4" s="235"/>
      <c r="EL4" s="235">
        <f>SUM(BG4:BJ4)</f>
        <v>410</v>
      </c>
      <c r="EM4" s="235">
        <f>SUM(BK4:BN4)</f>
        <v>607</v>
      </c>
      <c r="EN4" s="235">
        <f>SUM(BO4:BR4)</f>
        <v>932</v>
      </c>
      <c r="EO4" s="235">
        <f>SUM(BS4:BV4)</f>
        <v>1187</v>
      </c>
      <c r="EP4" s="235">
        <f>+EO4*1.1</f>
        <v>1305.7</v>
      </c>
      <c r="EQ4" s="235">
        <f t="shared" ref="EQ4" si="22">EP4*1.05</f>
        <v>1370.9850000000001</v>
      </c>
      <c r="ER4" s="235">
        <f t="shared" ref="ER4:ER63" si="23">SUM(CE4:CH4)</f>
        <v>1833</v>
      </c>
      <c r="ES4" s="235">
        <f>SUM(CI4:CL4)</f>
        <v>2084</v>
      </c>
      <c r="ET4" s="235">
        <f>SUM(CM4:CP4)</f>
        <v>2188</v>
      </c>
      <c r="EU4" s="235">
        <f>SUM(CQ4:CT4)</f>
        <v>2243</v>
      </c>
      <c r="EV4" s="235">
        <f t="shared" ref="EV4:EV7" si="24">SUM(CU4:CX4)</f>
        <v>2276</v>
      </c>
      <c r="EW4" s="235">
        <f>SUM(CY4:DB4)</f>
        <v>2183</v>
      </c>
      <c r="EX4" s="235">
        <f t="shared" si="12"/>
        <v>2197.4</v>
      </c>
      <c r="EY4" s="235">
        <f t="shared" ref="EY4:EY49" si="25">SUM(DG4:DJ4)</f>
        <v>2190.3000000000002</v>
      </c>
      <c r="EZ4" s="235">
        <f>SUM(DK4:DN4)</f>
        <v>2003.8349999999998</v>
      </c>
      <c r="FA4" s="235">
        <f t="shared" ref="FA4:FJ4" si="26">EZ4*1.01</f>
        <v>2023.8733499999998</v>
      </c>
      <c r="FB4" s="235">
        <f t="shared" si="26"/>
        <v>2044.1120834999999</v>
      </c>
      <c r="FC4" s="235">
        <f t="shared" si="26"/>
        <v>2064.5532043349999</v>
      </c>
      <c r="FD4" s="235">
        <f t="shared" si="26"/>
        <v>2085.1987363783501</v>
      </c>
      <c r="FE4" s="235">
        <f t="shared" si="26"/>
        <v>2106.0507237421334</v>
      </c>
      <c r="FF4" s="235">
        <f t="shared" si="26"/>
        <v>2127.1112309795549</v>
      </c>
      <c r="FG4" s="235">
        <f t="shared" si="26"/>
        <v>2148.3823432893505</v>
      </c>
      <c r="FH4" s="235">
        <f t="shared" si="26"/>
        <v>2169.8661667222441</v>
      </c>
      <c r="FI4" s="235">
        <f t="shared" si="26"/>
        <v>2191.5648283894666</v>
      </c>
      <c r="FJ4" s="235">
        <f t="shared" si="26"/>
        <v>2213.4804766733614</v>
      </c>
      <c r="FK4" s="254"/>
    </row>
    <row r="5" spans="1:169" ht="12.75" customHeight="1" x14ac:dyDescent="0.2">
      <c r="B5" t="s">
        <v>1684</v>
      </c>
      <c r="C5" s="338"/>
      <c r="D5" s="338"/>
      <c r="E5" s="338"/>
      <c r="F5" s="338"/>
      <c r="G5" s="338"/>
      <c r="H5" s="338"/>
      <c r="I5" s="338"/>
      <c r="J5" s="338"/>
      <c r="K5" s="338"/>
      <c r="L5" s="338"/>
      <c r="M5" s="338"/>
      <c r="N5" s="338"/>
      <c r="O5" s="338"/>
      <c r="P5" s="338"/>
      <c r="Q5" s="338"/>
      <c r="R5" s="338"/>
      <c r="S5" s="338"/>
      <c r="T5" s="338"/>
      <c r="U5" s="338"/>
      <c r="V5" s="338"/>
      <c r="W5" s="338"/>
      <c r="X5" s="338"/>
      <c r="Y5" s="338"/>
      <c r="Z5" s="338"/>
      <c r="AA5" s="338"/>
      <c r="AB5" s="338"/>
      <c r="AC5" s="338"/>
      <c r="AD5" s="338"/>
      <c r="AE5" s="339"/>
      <c r="AF5" s="339"/>
      <c r="AG5" s="339"/>
      <c r="AH5" s="339"/>
      <c r="AI5" s="339"/>
      <c r="AJ5" s="339"/>
      <c r="AK5" s="339"/>
      <c r="AL5" s="339"/>
      <c r="AM5" s="339"/>
      <c r="AN5" s="339"/>
      <c r="AO5" s="339"/>
      <c r="AP5" s="339"/>
      <c r="AQ5" s="339"/>
      <c r="AR5" s="339"/>
      <c r="AS5" s="339"/>
      <c r="AT5" s="339"/>
      <c r="AU5" s="339"/>
      <c r="AV5" s="339"/>
      <c r="AW5" s="339"/>
      <c r="AX5" s="339"/>
      <c r="AY5" s="338"/>
      <c r="AZ5" s="338"/>
      <c r="BA5" s="338"/>
      <c r="BB5" s="338"/>
      <c r="BC5" s="338"/>
      <c r="BD5" s="338"/>
      <c r="BE5" s="338"/>
      <c r="BF5" s="338"/>
      <c r="BG5" s="338"/>
      <c r="BH5" s="338"/>
      <c r="BI5" s="338"/>
      <c r="BJ5" s="338"/>
      <c r="BK5" s="338"/>
      <c r="BL5" s="338"/>
      <c r="BM5" s="338"/>
      <c r="BN5" s="338"/>
      <c r="BO5" s="338"/>
      <c r="BP5" s="338"/>
      <c r="BQ5" s="338"/>
      <c r="BR5" s="338"/>
      <c r="BS5" s="339"/>
      <c r="BT5" s="339"/>
      <c r="BU5" s="339"/>
      <c r="BV5" s="339"/>
      <c r="BW5" s="339"/>
      <c r="BX5" s="339"/>
      <c r="BY5" s="339"/>
      <c r="BZ5" s="339"/>
      <c r="CA5" s="339"/>
      <c r="CB5" s="339"/>
      <c r="CC5" s="339"/>
      <c r="CD5" s="339"/>
      <c r="CE5" s="243"/>
      <c r="CF5" s="243"/>
      <c r="CG5" s="243"/>
      <c r="CH5" s="243">
        <v>47</v>
      </c>
      <c r="CI5" s="243">
        <v>72</v>
      </c>
      <c r="CJ5" s="243">
        <v>126</v>
      </c>
      <c r="CK5" s="243">
        <v>171</v>
      </c>
      <c r="CL5" s="243">
        <v>175</v>
      </c>
      <c r="CM5" s="243">
        <v>217</v>
      </c>
      <c r="CN5" s="243">
        <v>235</v>
      </c>
      <c r="CO5" s="243">
        <v>290</v>
      </c>
      <c r="CP5" s="243">
        <v>270</v>
      </c>
      <c r="CQ5" s="243">
        <v>296</v>
      </c>
      <c r="CR5" s="243">
        <v>342</v>
      </c>
      <c r="CS5" s="243">
        <v>327</v>
      </c>
      <c r="CT5" s="243">
        <v>382</v>
      </c>
      <c r="CU5" s="243">
        <v>418</v>
      </c>
      <c r="CV5" s="243">
        <v>479</v>
      </c>
      <c r="CW5" s="243">
        <v>537</v>
      </c>
      <c r="CX5" s="243">
        <v>693</v>
      </c>
      <c r="CY5" s="243">
        <v>590</v>
      </c>
      <c r="CZ5" s="243">
        <v>597</v>
      </c>
      <c r="DA5" s="243">
        <v>729</v>
      </c>
      <c r="DB5" s="243">
        <v>752</v>
      </c>
      <c r="DC5" s="243">
        <v>640</v>
      </c>
      <c r="DD5" s="243">
        <v>706</v>
      </c>
      <c r="DE5" s="243">
        <v>891.3</v>
      </c>
      <c r="DF5" s="243">
        <v>910</v>
      </c>
      <c r="DG5" s="243">
        <v>808</v>
      </c>
      <c r="DH5" s="243">
        <v>906</v>
      </c>
      <c r="DI5" s="243">
        <v>1007.3</v>
      </c>
      <c r="DJ5" s="243">
        <v>949</v>
      </c>
      <c r="DK5" s="243">
        <f t="shared" ref="DK5" si="27">++DG5*1.25</f>
        <v>1010</v>
      </c>
      <c r="DL5" s="243">
        <f>++DH5*1.25</f>
        <v>1132.5</v>
      </c>
      <c r="DM5" s="243">
        <f t="shared" ref="DM5" si="28">++DI5*1.25</f>
        <v>1259.125</v>
      </c>
      <c r="DN5" s="243">
        <f t="shared" ref="DN5" si="29">++DJ5*1.25</f>
        <v>1186.25</v>
      </c>
      <c r="DP5" s="235"/>
      <c r="DQ5" s="235"/>
      <c r="DR5" s="235"/>
      <c r="DS5" s="235"/>
      <c r="DT5" s="235"/>
      <c r="DU5" s="235"/>
      <c r="DV5" s="235"/>
      <c r="DW5" s="235"/>
      <c r="DX5" s="235"/>
      <c r="DY5" s="235"/>
      <c r="DZ5" s="235"/>
      <c r="EA5" s="235"/>
      <c r="EB5" s="235"/>
      <c r="EC5" s="235"/>
      <c r="ED5" s="235"/>
      <c r="EE5" s="235"/>
      <c r="EF5" s="235"/>
      <c r="EG5" s="235"/>
      <c r="EH5" s="235"/>
      <c r="EI5" s="235"/>
      <c r="EJ5" s="235"/>
      <c r="EK5" s="235"/>
      <c r="EL5" s="235"/>
      <c r="EM5" s="235"/>
      <c r="EN5" s="235"/>
      <c r="EO5" s="235"/>
      <c r="EP5" s="235"/>
      <c r="EQ5" s="235"/>
      <c r="ER5" s="235">
        <f t="shared" si="23"/>
        <v>47</v>
      </c>
      <c r="ES5" s="235">
        <f>SUM(CI5:CL5)</f>
        <v>544</v>
      </c>
      <c r="ET5" s="235">
        <f>SUM(CM5:CP5)</f>
        <v>1012</v>
      </c>
      <c r="EU5" s="235">
        <f>SUM(CQ5:CT5)</f>
        <v>1347</v>
      </c>
      <c r="EV5" s="235">
        <f t="shared" si="24"/>
        <v>2127</v>
      </c>
      <c r="EW5" s="235">
        <f>SUM(CY5:DB5)</f>
        <v>2668</v>
      </c>
      <c r="EX5" s="235">
        <f t="shared" si="12"/>
        <v>3147.3</v>
      </c>
      <c r="EY5" s="235">
        <f t="shared" si="25"/>
        <v>3670.3</v>
      </c>
      <c r="EZ5" s="235">
        <f>SUM(DK5:DN5)</f>
        <v>4587.875</v>
      </c>
      <c r="FA5" s="235">
        <f>+EZ5*1.3</f>
        <v>5964.2375000000002</v>
      </c>
      <c r="FB5" s="235">
        <f>+FA5*1.3</f>
        <v>7753.5087500000009</v>
      </c>
      <c r="FC5" s="235">
        <f>+FB5*1.3</f>
        <v>10079.561375000001</v>
      </c>
      <c r="FD5" s="235">
        <f t="shared" ref="FD5:FJ5" si="30">+FC5*1.05</f>
        <v>10583.539443750002</v>
      </c>
      <c r="FE5" s="235">
        <f t="shared" si="30"/>
        <v>11112.716415937502</v>
      </c>
      <c r="FF5" s="235">
        <f t="shared" si="30"/>
        <v>11668.352236734378</v>
      </c>
      <c r="FG5" s="235">
        <f t="shared" si="30"/>
        <v>12251.769848571097</v>
      </c>
      <c r="FH5" s="235">
        <f t="shared" si="30"/>
        <v>12864.358340999652</v>
      </c>
      <c r="FI5" s="235">
        <f t="shared" si="30"/>
        <v>13507.576258049636</v>
      </c>
      <c r="FJ5" s="235">
        <f t="shared" si="30"/>
        <v>14182.955070952117</v>
      </c>
      <c r="FK5" s="254"/>
    </row>
    <row r="6" spans="1:169" x14ac:dyDescent="0.2">
      <c r="B6" t="s">
        <v>530</v>
      </c>
      <c r="W6" s="268"/>
      <c r="X6" s="268"/>
      <c r="Y6" s="268"/>
      <c r="Z6" s="268"/>
      <c r="AA6" s="268"/>
      <c r="AB6" s="268"/>
      <c r="AC6" s="268"/>
      <c r="AD6" s="268"/>
      <c r="AE6" s="269"/>
      <c r="AF6" s="243"/>
      <c r="AG6" s="243"/>
      <c r="AH6" s="243"/>
      <c r="AI6" s="243"/>
      <c r="AJ6" s="243"/>
      <c r="AK6" s="243"/>
      <c r="AL6" s="243"/>
      <c r="AM6" s="243"/>
      <c r="AN6" s="243"/>
      <c r="AO6" s="243"/>
      <c r="AP6" s="243"/>
      <c r="AQ6" s="243"/>
      <c r="AR6" s="243"/>
      <c r="AS6" s="243"/>
      <c r="AT6" s="243"/>
      <c r="AU6" s="243"/>
      <c r="AV6" s="243"/>
      <c r="AW6" s="243"/>
      <c r="AX6" s="243"/>
      <c r="AZ6" s="243"/>
      <c r="BA6" s="243"/>
      <c r="BB6" s="243"/>
      <c r="BC6" s="243"/>
      <c r="BD6" s="243"/>
      <c r="BE6" s="243"/>
      <c r="BF6" s="243"/>
      <c r="BG6" s="243">
        <v>166</v>
      </c>
      <c r="BH6" s="243">
        <v>176</v>
      </c>
      <c r="BI6" s="243">
        <v>189</v>
      </c>
      <c r="BJ6" s="243">
        <v>207</v>
      </c>
      <c r="BK6" s="243">
        <v>221</v>
      </c>
      <c r="BL6" s="243">
        <v>248</v>
      </c>
      <c r="BM6" s="243">
        <v>287</v>
      </c>
      <c r="BN6" s="243">
        <v>269</v>
      </c>
      <c r="BO6" s="243">
        <v>346</v>
      </c>
      <c r="BP6" s="243">
        <v>371</v>
      </c>
      <c r="BQ6" s="243">
        <v>370</v>
      </c>
      <c r="BR6" s="243">
        <v>417</v>
      </c>
      <c r="BS6" s="243">
        <v>456</v>
      </c>
      <c r="BT6" s="243">
        <v>528</v>
      </c>
      <c r="BU6" s="243">
        <v>543</v>
      </c>
      <c r="BV6" s="243">
        <v>545</v>
      </c>
      <c r="BW6" s="243">
        <v>549</v>
      </c>
      <c r="BX6" s="243">
        <v>570</v>
      </c>
      <c r="BY6" s="243">
        <v>613</v>
      </c>
      <c r="BZ6" s="243">
        <v>742</v>
      </c>
      <c r="CA6" s="243">
        <v>735</v>
      </c>
      <c r="CB6" s="243">
        <v>804</v>
      </c>
      <c r="CC6" s="243">
        <v>814</v>
      </c>
      <c r="CD6" s="243">
        <v>879</v>
      </c>
      <c r="CE6" s="243">
        <v>823</v>
      </c>
      <c r="CF6" s="243">
        <v>983</v>
      </c>
      <c r="CG6" s="243">
        <v>1124</v>
      </c>
      <c r="CH6" s="243">
        <v>1081</v>
      </c>
      <c r="CI6" s="243">
        <v>1061</v>
      </c>
      <c r="CJ6" s="243">
        <v>1341</v>
      </c>
      <c r="CK6" s="243">
        <v>1310</v>
      </c>
      <c r="CL6" s="243">
        <v>1444</v>
      </c>
      <c r="CM6" s="243">
        <v>1405</v>
      </c>
      <c r="CN6" s="243">
        <v>1558</v>
      </c>
      <c r="CO6" s="243">
        <v>1698</v>
      </c>
      <c r="CP6" s="243">
        <v>1700</v>
      </c>
      <c r="CQ6" s="243">
        <v>1819</v>
      </c>
      <c r="CR6" s="243">
        <v>1697</v>
      </c>
      <c r="CS6" s="243">
        <v>1947</v>
      </c>
      <c r="CT6" s="243">
        <v>2244</v>
      </c>
      <c r="CU6" s="243">
        <v>2148</v>
      </c>
      <c r="CV6" s="243">
        <v>2274</v>
      </c>
      <c r="CW6" s="243">
        <v>2378</v>
      </c>
      <c r="CX6" s="243">
        <v>2334</v>
      </c>
      <c r="CY6" s="243">
        <v>2288</v>
      </c>
      <c r="CZ6" s="243">
        <v>2599</v>
      </c>
      <c r="DA6" s="243">
        <v>2449</v>
      </c>
      <c r="DB6" s="243">
        <v>2386</v>
      </c>
      <c r="DC6" s="243">
        <v>2444</v>
      </c>
      <c r="DD6" s="243">
        <v>2797</v>
      </c>
      <c r="DE6" s="243">
        <v>2864.4</v>
      </c>
      <c r="DF6" s="243">
        <v>2753</v>
      </c>
      <c r="DG6" s="243">
        <v>2451</v>
      </c>
      <c r="DH6" s="243">
        <v>2885</v>
      </c>
      <c r="DI6" s="243">
        <v>2676.4</v>
      </c>
      <c r="DJ6" s="243">
        <v>2349</v>
      </c>
      <c r="DK6" s="243">
        <f>+DG6*0.75</f>
        <v>1838.25</v>
      </c>
      <c r="DL6" s="243">
        <f>+DH6*0.6</f>
        <v>1731</v>
      </c>
      <c r="DM6" s="243">
        <f>+DI6*0.6</f>
        <v>1605.84</v>
      </c>
      <c r="DN6" s="243">
        <f>+DJ6*0.5</f>
        <v>1174.5</v>
      </c>
      <c r="EI6" s="235"/>
      <c r="EJ6" s="235"/>
      <c r="EK6" s="235"/>
      <c r="EL6" s="235">
        <f>SUM(BG6:BJ6)</f>
        <v>738</v>
      </c>
      <c r="EM6" s="235">
        <f>SUM(BK6:BN6)</f>
        <v>1025</v>
      </c>
      <c r="EN6" s="235">
        <f>SUM(BO6:BR6)</f>
        <v>1504</v>
      </c>
      <c r="EO6" s="235">
        <f>SUM(BS6:BV6)</f>
        <v>2072</v>
      </c>
      <c r="EP6" s="235">
        <f t="shared" ref="EP6" si="31">EO6*1.15</f>
        <v>2382.7999999999997</v>
      </c>
      <c r="EQ6" s="235"/>
      <c r="ER6" s="235">
        <f t="shared" si="23"/>
        <v>4011</v>
      </c>
      <c r="ES6" s="235">
        <f>SUM(CI6:CL6)</f>
        <v>5156</v>
      </c>
      <c r="ET6" s="235">
        <f>SUM(CM6:CP6)</f>
        <v>6361</v>
      </c>
      <c r="EU6" s="235">
        <f>SUM(CQ6:CT6)</f>
        <v>7707</v>
      </c>
      <c r="EV6" s="235">
        <f t="shared" si="24"/>
        <v>9134</v>
      </c>
      <c r="EW6" s="235">
        <f>SUM(CY6:DB6)</f>
        <v>9722</v>
      </c>
      <c r="EX6" s="235">
        <f t="shared" si="12"/>
        <v>10858.4</v>
      </c>
      <c r="EY6" s="235">
        <f t="shared" si="25"/>
        <v>10361.4</v>
      </c>
      <c r="EZ6" s="235">
        <f>SUM(DK6:DN6)</f>
        <v>6349.59</v>
      </c>
      <c r="FA6" s="235">
        <f>+EZ6*0.5</f>
        <v>3174.7950000000001</v>
      </c>
      <c r="FB6" s="235">
        <f>+FA6*0.5</f>
        <v>1587.3975</v>
      </c>
      <c r="FC6" s="235">
        <f>+FB6*0.5</f>
        <v>793.69875000000002</v>
      </c>
      <c r="FD6" s="235">
        <f t="shared" ref="FD6:FJ6" si="32">+FC6*0.8</f>
        <v>634.95900000000006</v>
      </c>
      <c r="FE6" s="235">
        <f t="shared" si="32"/>
        <v>507.96720000000005</v>
      </c>
      <c r="FF6" s="235">
        <f t="shared" si="32"/>
        <v>406.37376000000006</v>
      </c>
      <c r="FG6" s="235">
        <f t="shared" si="32"/>
        <v>325.09900800000008</v>
      </c>
      <c r="FH6" s="235">
        <f t="shared" si="32"/>
        <v>260.07920640000009</v>
      </c>
      <c r="FI6" s="235">
        <f t="shared" si="32"/>
        <v>208.06336512000007</v>
      </c>
      <c r="FJ6" s="235">
        <f t="shared" si="32"/>
        <v>166.45069209600007</v>
      </c>
    </row>
    <row r="7" spans="1:169" x14ac:dyDescent="0.2">
      <c r="B7" t="s">
        <v>1678</v>
      </c>
      <c r="W7" s="268"/>
      <c r="X7" s="268"/>
      <c r="Y7" s="268"/>
      <c r="Z7" s="268"/>
      <c r="AA7" s="268"/>
      <c r="AB7" s="268"/>
      <c r="AC7" s="268"/>
      <c r="AD7" s="268"/>
      <c r="AE7" s="269"/>
      <c r="AF7" s="243"/>
      <c r="AG7" s="243"/>
      <c r="AH7" s="243"/>
      <c r="AI7" s="243"/>
      <c r="AJ7" s="243"/>
      <c r="AK7" s="243"/>
      <c r="AL7" s="243"/>
      <c r="AM7" s="243"/>
      <c r="AN7" s="243"/>
      <c r="AO7" s="243"/>
      <c r="AP7" s="243"/>
      <c r="AQ7" s="243"/>
      <c r="AR7" s="243"/>
      <c r="AS7" s="243"/>
      <c r="AT7" s="243"/>
      <c r="AU7" s="243"/>
      <c r="AV7" s="243"/>
      <c r="AW7" s="243"/>
      <c r="AX7" s="243"/>
      <c r="AZ7" s="243"/>
      <c r="BA7" s="243"/>
      <c r="BB7" s="243"/>
      <c r="BC7" s="243"/>
      <c r="BD7" s="243"/>
      <c r="BE7" s="243"/>
      <c r="BF7" s="243"/>
      <c r="BG7" s="243"/>
      <c r="BH7" s="243"/>
      <c r="BI7" s="243"/>
      <c r="BJ7" s="243"/>
      <c r="BK7" s="243"/>
      <c r="BL7" s="243"/>
      <c r="BM7" s="243"/>
      <c r="BN7" s="243"/>
      <c r="BO7" s="243"/>
      <c r="BP7" s="243"/>
      <c r="BQ7" s="243"/>
      <c r="BR7" s="243"/>
      <c r="BS7" s="243">
        <v>18</v>
      </c>
      <c r="BT7" s="243">
        <v>17</v>
      </c>
      <c r="BU7" s="243">
        <v>16</v>
      </c>
      <c r="BV7" s="243">
        <v>15</v>
      </c>
      <c r="BW7" s="243">
        <v>14</v>
      </c>
      <c r="BX7" s="243">
        <v>8</v>
      </c>
      <c r="BY7" s="243">
        <v>8</v>
      </c>
      <c r="BZ7" s="243">
        <v>9</v>
      </c>
      <c r="CA7" s="243">
        <v>6</v>
      </c>
      <c r="CB7" s="243">
        <v>6</v>
      </c>
      <c r="CC7" s="243">
        <v>6</v>
      </c>
      <c r="CD7" s="243">
        <v>7</v>
      </c>
      <c r="CE7" s="243">
        <v>7</v>
      </c>
      <c r="CF7" s="243">
        <v>7</v>
      </c>
      <c r="CG7" s="243">
        <v>22</v>
      </c>
      <c r="CH7" s="243">
        <v>2</v>
      </c>
      <c r="CI7" s="243">
        <v>2</v>
      </c>
      <c r="CJ7" s="243">
        <v>3</v>
      </c>
      <c r="CK7" s="243">
        <v>2</v>
      </c>
      <c r="CL7" s="243">
        <v>3</v>
      </c>
      <c r="CM7" s="243">
        <v>3</v>
      </c>
      <c r="CN7" s="243">
        <v>3</v>
      </c>
      <c r="CO7" s="243">
        <v>2</v>
      </c>
      <c r="CP7" s="243">
        <v>2</v>
      </c>
      <c r="CQ7" s="243">
        <v>3</v>
      </c>
      <c r="CR7" s="243">
        <v>3</v>
      </c>
      <c r="CS7" s="243">
        <v>3</v>
      </c>
      <c r="CT7" s="243">
        <v>2</v>
      </c>
      <c r="CU7" s="243">
        <v>9</v>
      </c>
      <c r="CV7" s="243">
        <v>7</v>
      </c>
      <c r="CW7" s="243">
        <v>3</v>
      </c>
      <c r="CX7" s="243">
        <v>6</v>
      </c>
      <c r="CY7" s="243">
        <v>6</v>
      </c>
      <c r="CZ7" s="243">
        <v>3</v>
      </c>
      <c r="DA7" s="243">
        <v>5</v>
      </c>
      <c r="DB7" s="243">
        <v>3</v>
      </c>
      <c r="DC7" s="243">
        <v>3</v>
      </c>
      <c r="DD7" s="243">
        <v>4</v>
      </c>
      <c r="DE7" s="243">
        <v>2</v>
      </c>
      <c r="DF7" s="243">
        <v>2</v>
      </c>
      <c r="DG7" s="243">
        <v>0</v>
      </c>
      <c r="DH7" s="243">
        <v>2</v>
      </c>
      <c r="DI7" s="243">
        <v>1.3</v>
      </c>
      <c r="DJ7" s="243">
        <v>0</v>
      </c>
      <c r="DK7" s="243">
        <f t="shared" ref="DK7" si="33">+DJ7</f>
        <v>0</v>
      </c>
      <c r="DL7" s="243">
        <f t="shared" ref="DL7" si="34">+DK7</f>
        <v>0</v>
      </c>
      <c r="DM7" s="243">
        <f t="shared" ref="DM7" si="35">+DL7</f>
        <v>0</v>
      </c>
      <c r="DN7" s="243">
        <f t="shared" ref="DN7" si="36">+DM7</f>
        <v>0</v>
      </c>
      <c r="EI7" s="235"/>
      <c r="EJ7" s="235"/>
      <c r="EK7" s="235"/>
      <c r="EL7" s="235"/>
      <c r="EM7" s="235"/>
      <c r="EN7" s="235"/>
      <c r="EO7" s="235"/>
      <c r="EP7" s="235"/>
      <c r="EQ7" s="235"/>
      <c r="ER7" s="235">
        <f t="shared" si="23"/>
        <v>38</v>
      </c>
      <c r="ES7" s="235">
        <f>SUM(CI7:CL7)</f>
        <v>10</v>
      </c>
      <c r="ET7" s="235">
        <f>SUM(CM7:CP7)</f>
        <v>10</v>
      </c>
      <c r="EU7" s="235">
        <f>SUM(CQ7:CT7)</f>
        <v>11</v>
      </c>
      <c r="EV7" s="235">
        <f t="shared" si="24"/>
        <v>25</v>
      </c>
      <c r="EW7" s="235">
        <f>SUM(CY7:DB7)</f>
        <v>17</v>
      </c>
      <c r="EX7" s="235">
        <f t="shared" si="12"/>
        <v>11</v>
      </c>
      <c r="EY7" s="235">
        <f t="shared" si="25"/>
        <v>3.3</v>
      </c>
      <c r="EZ7" s="235">
        <f>SUM(DK7:DN7)</f>
        <v>0</v>
      </c>
      <c r="FA7" s="235">
        <f t="shared" ref="FA7:FJ7" si="37">+EZ7</f>
        <v>0</v>
      </c>
      <c r="FB7" s="235">
        <f t="shared" si="37"/>
        <v>0</v>
      </c>
      <c r="FC7" s="235">
        <f t="shared" si="37"/>
        <v>0</v>
      </c>
      <c r="FD7" s="235">
        <f t="shared" si="37"/>
        <v>0</v>
      </c>
      <c r="FE7" s="235">
        <f t="shared" si="37"/>
        <v>0</v>
      </c>
      <c r="FF7" s="235">
        <f t="shared" si="37"/>
        <v>0</v>
      </c>
      <c r="FG7" s="235">
        <f t="shared" si="37"/>
        <v>0</v>
      </c>
      <c r="FH7" s="235">
        <f t="shared" si="37"/>
        <v>0</v>
      </c>
      <c r="FI7" s="235">
        <f t="shared" si="37"/>
        <v>0</v>
      </c>
      <c r="FJ7" s="235">
        <f t="shared" si="37"/>
        <v>0</v>
      </c>
    </row>
    <row r="8" spans="1:169" s="254" customFormat="1" ht="3" customHeight="1" x14ac:dyDescent="0.2">
      <c r="B8" t="s">
        <v>1957</v>
      </c>
      <c r="C8" s="76">
        <f>151+63</f>
        <v>214</v>
      </c>
      <c r="D8" s="76">
        <f>134+68</f>
        <v>202</v>
      </c>
      <c r="E8" s="76">
        <f>159+64</f>
        <v>223</v>
      </c>
      <c r="F8" s="76">
        <f>145+72</f>
        <v>217</v>
      </c>
      <c r="G8" s="76">
        <f>156+72</f>
        <v>228</v>
      </c>
      <c r="H8" s="76">
        <f>185+75</f>
        <v>260</v>
      </c>
      <c r="I8" s="76">
        <f>191+78</f>
        <v>269</v>
      </c>
      <c r="J8" s="76">
        <f>164+93</f>
        <v>257</v>
      </c>
      <c r="K8" s="76">
        <v>320</v>
      </c>
      <c r="L8" s="76">
        <v>355</v>
      </c>
      <c r="M8" s="76">
        <v>324</v>
      </c>
      <c r="N8" s="76">
        <v>329</v>
      </c>
      <c r="O8" s="76">
        <f>273+121</f>
        <v>394</v>
      </c>
      <c r="P8" s="76">
        <f>352+131</f>
        <v>483</v>
      </c>
      <c r="Q8" s="76">
        <f>271+126</f>
        <v>397</v>
      </c>
      <c r="R8" s="76">
        <f>188+142</f>
        <v>330</v>
      </c>
      <c r="S8" s="76">
        <f>315+137</f>
        <v>452</v>
      </c>
      <c r="T8" s="76">
        <f>364+153</f>
        <v>517</v>
      </c>
      <c r="U8" s="76">
        <f>266+149</f>
        <v>415</v>
      </c>
      <c r="V8" s="76">
        <f>295+166</f>
        <v>461</v>
      </c>
      <c r="W8" s="76">
        <f>380+167</f>
        <v>547</v>
      </c>
      <c r="X8" s="76">
        <f>335+172</f>
        <v>507</v>
      </c>
      <c r="Y8" s="76">
        <f>337+187</f>
        <v>524</v>
      </c>
      <c r="Z8" s="76">
        <f>352+216</f>
        <v>568</v>
      </c>
      <c r="AA8" s="76">
        <f>377+224</f>
        <v>601</v>
      </c>
      <c r="AB8" s="76">
        <f>390+265</f>
        <v>655</v>
      </c>
      <c r="AC8" s="76">
        <f>335+264</f>
        <v>599</v>
      </c>
      <c r="AD8" s="76">
        <f>352+306</f>
        <v>658</v>
      </c>
      <c r="AE8" s="243">
        <f>414+317</f>
        <v>731</v>
      </c>
      <c r="AF8" s="243">
        <f>399+328</f>
        <v>727</v>
      </c>
      <c r="AG8" s="243">
        <f>420+326</f>
        <v>746</v>
      </c>
      <c r="AH8" s="243">
        <f>478+368</f>
        <v>846</v>
      </c>
      <c r="AI8" s="243">
        <f>462+382</f>
        <v>844</v>
      </c>
      <c r="AJ8" s="243">
        <f>492+402</f>
        <v>894</v>
      </c>
      <c r="AK8" s="243">
        <f>513+403</f>
        <v>916</v>
      </c>
      <c r="AL8" s="243">
        <f>478+419</f>
        <v>897</v>
      </c>
      <c r="AM8" s="243">
        <f>585+433</f>
        <v>1018</v>
      </c>
      <c r="AN8" s="243">
        <f>568+468</f>
        <v>1036</v>
      </c>
      <c r="AO8" s="243">
        <v>1068</v>
      </c>
      <c r="AP8" s="243">
        <v>1061</v>
      </c>
      <c r="AQ8" s="237" t="s">
        <v>638</v>
      </c>
      <c r="AR8" s="237" t="s">
        <v>637</v>
      </c>
      <c r="AS8" s="237" t="s">
        <v>636</v>
      </c>
      <c r="AT8" s="237" t="s">
        <v>635</v>
      </c>
      <c r="AU8" s="243"/>
      <c r="AV8" s="243"/>
      <c r="AW8" s="243"/>
      <c r="AX8" s="243"/>
      <c r="AY8" s="243"/>
      <c r="AZ8" s="243"/>
      <c r="BA8" s="243"/>
      <c r="BB8" s="243"/>
      <c r="BC8" s="243"/>
      <c r="BD8" s="243"/>
      <c r="BE8" s="243"/>
      <c r="BF8" s="243"/>
      <c r="BG8" s="243"/>
      <c r="BH8" s="243"/>
      <c r="BI8" s="243"/>
      <c r="BJ8" s="243"/>
      <c r="BK8" s="243"/>
      <c r="BL8" s="243"/>
      <c r="BM8" s="243"/>
      <c r="BN8" s="243"/>
      <c r="BO8" s="243"/>
      <c r="BP8" s="243"/>
      <c r="BQ8" s="243"/>
      <c r="BR8" s="243"/>
      <c r="BS8" s="243"/>
      <c r="BT8" s="243"/>
      <c r="BU8" s="243"/>
      <c r="BV8" s="243"/>
      <c r="BW8" s="243"/>
      <c r="BX8" s="243"/>
      <c r="BY8" s="243"/>
      <c r="BZ8" s="243"/>
      <c r="CA8" s="243"/>
      <c r="CB8" s="243"/>
      <c r="CC8" s="243"/>
      <c r="CD8" s="243"/>
      <c r="CE8" s="243"/>
      <c r="CF8" s="243"/>
      <c r="CG8" s="243"/>
      <c r="CH8" s="243"/>
      <c r="CI8" s="243"/>
      <c r="CJ8" s="243"/>
      <c r="CK8" s="243"/>
      <c r="CL8" s="243"/>
      <c r="CM8" s="243"/>
      <c r="CN8" s="243"/>
      <c r="CO8" s="243"/>
      <c r="CP8" s="243"/>
      <c r="CQ8" s="243"/>
      <c r="CR8" s="243"/>
      <c r="CS8" s="243"/>
      <c r="CT8" s="243"/>
      <c r="CU8" s="243"/>
      <c r="CV8" s="243"/>
      <c r="CW8" s="243"/>
      <c r="CX8" s="243"/>
      <c r="CY8" s="243"/>
      <c r="CZ8" s="243"/>
      <c r="DA8" s="243"/>
      <c r="DB8" s="243"/>
      <c r="DC8" s="243"/>
      <c r="DD8" s="243"/>
      <c r="DE8" s="243"/>
      <c r="DF8" s="243"/>
      <c r="DG8" s="243"/>
      <c r="DH8" s="243"/>
      <c r="DI8" s="243"/>
      <c r="DJ8" s="243"/>
      <c r="DK8" s="243"/>
      <c r="DL8" s="243"/>
      <c r="DM8" s="243"/>
      <c r="DN8" s="243"/>
      <c r="DP8" s="270" t="s">
        <v>120</v>
      </c>
      <c r="DQ8" s="271"/>
      <c r="DR8" s="271"/>
      <c r="DS8" s="271"/>
      <c r="DT8" s="271"/>
      <c r="DU8" s="235">
        <v>175</v>
      </c>
      <c r="DV8" s="235">
        <v>445</v>
      </c>
      <c r="DW8" s="235">
        <v>690</v>
      </c>
      <c r="DX8" s="235">
        <f>SUM(C8:F8)</f>
        <v>856</v>
      </c>
      <c r="DY8" s="235">
        <f>SUM(G8:J8)</f>
        <v>1014</v>
      </c>
      <c r="DZ8" s="235">
        <f>SUM(K8:N8)</f>
        <v>1328</v>
      </c>
      <c r="EA8" s="235">
        <f>SUM(O8:R8)</f>
        <v>1604</v>
      </c>
      <c r="EB8" s="235">
        <f>SUM(S8:V8)</f>
        <v>1845</v>
      </c>
      <c r="EC8" s="235">
        <f>SUM(W8:Z8)</f>
        <v>2146</v>
      </c>
      <c r="ED8" s="235">
        <f>SUM(AA8:AD8)</f>
        <v>2513</v>
      </c>
      <c r="EE8" s="235">
        <f>SUM(AE8:AH8)</f>
        <v>3050</v>
      </c>
      <c r="EF8" s="235">
        <f>SUM(AI8:AL8)</f>
        <v>3551</v>
      </c>
      <c r="EG8" s="235">
        <f>SUM(AM8:AP8)</f>
        <v>4183</v>
      </c>
      <c r="EH8" s="272" t="s">
        <v>633</v>
      </c>
      <c r="EI8" s="272" t="s">
        <v>1470</v>
      </c>
      <c r="EJ8" s="272" t="s">
        <v>1471</v>
      </c>
      <c r="EK8" s="237" t="s">
        <v>1472</v>
      </c>
      <c r="EL8" s="236" t="s">
        <v>1473</v>
      </c>
      <c r="EM8" s="76"/>
      <c r="EN8" s="76"/>
      <c r="EO8" s="76"/>
      <c r="EP8" s="76"/>
      <c r="EQ8" s="76"/>
      <c r="ER8" s="235">
        <f t="shared" si="23"/>
        <v>0</v>
      </c>
      <c r="ES8" s="76"/>
      <c r="ET8" s="76"/>
      <c r="EU8" s="76"/>
      <c r="EX8" s="235">
        <f t="shared" si="12"/>
        <v>0</v>
      </c>
      <c r="EY8" s="235">
        <f t="shared" si="25"/>
        <v>0</v>
      </c>
      <c r="EZ8" s="235"/>
    </row>
    <row r="9" spans="1:169" s="254" customFormat="1" ht="3" customHeight="1" x14ac:dyDescent="0.2">
      <c r="B9" t="s">
        <v>322</v>
      </c>
      <c r="C9" s="76"/>
      <c r="D9" s="76"/>
      <c r="E9" s="76"/>
      <c r="F9" s="76"/>
      <c r="G9" s="76"/>
      <c r="H9" s="76"/>
      <c r="I9" s="76"/>
      <c r="J9" s="76"/>
      <c r="K9" s="76"/>
      <c r="L9" s="76"/>
      <c r="M9" s="76"/>
      <c r="N9" s="76"/>
      <c r="O9" s="76"/>
      <c r="P9" s="76"/>
      <c r="Q9" s="76"/>
      <c r="R9" s="76"/>
      <c r="S9" s="76"/>
      <c r="T9" s="76"/>
      <c r="U9" s="76"/>
      <c r="V9" s="76"/>
      <c r="W9" s="76"/>
      <c r="X9" s="76"/>
      <c r="Y9" s="76"/>
      <c r="Z9" s="76"/>
      <c r="AA9" s="236" t="s">
        <v>923</v>
      </c>
      <c r="AB9" s="236" t="s">
        <v>924</v>
      </c>
      <c r="AC9" s="237" t="s">
        <v>925</v>
      </c>
      <c r="AD9" s="237" t="s">
        <v>926</v>
      </c>
      <c r="AE9" s="237" t="s">
        <v>935</v>
      </c>
      <c r="AF9" s="237" t="s">
        <v>936</v>
      </c>
      <c r="AG9" s="238" t="s">
        <v>936</v>
      </c>
      <c r="AH9" s="238" t="s">
        <v>937</v>
      </c>
      <c r="AI9" s="238" t="s">
        <v>940</v>
      </c>
      <c r="AJ9" s="237" t="s">
        <v>941</v>
      </c>
      <c r="AK9" s="237" t="s">
        <v>942</v>
      </c>
      <c r="AL9" s="237" t="s">
        <v>943</v>
      </c>
      <c r="AM9" s="243"/>
      <c r="AN9" s="243"/>
      <c r="AO9" s="243"/>
      <c r="AP9" s="243"/>
      <c r="AQ9" s="243">
        <v>867</v>
      </c>
      <c r="AR9" s="243">
        <v>848</v>
      </c>
      <c r="AS9" s="243">
        <v>831</v>
      </c>
      <c r="AT9" s="243">
        <v>874</v>
      </c>
      <c r="AU9" s="243">
        <v>809</v>
      </c>
      <c r="AV9" s="243">
        <v>712</v>
      </c>
      <c r="AW9" s="243">
        <v>320</v>
      </c>
      <c r="AX9" s="243">
        <v>285</v>
      </c>
      <c r="AY9" s="243">
        <v>275</v>
      </c>
      <c r="AZ9" s="243">
        <v>239</v>
      </c>
      <c r="BA9" s="243">
        <v>192</v>
      </c>
      <c r="BB9" s="243">
        <v>193</v>
      </c>
      <c r="BC9" s="243">
        <v>138</v>
      </c>
      <c r="BD9" s="243">
        <v>117</v>
      </c>
      <c r="BE9" s="243">
        <v>121</v>
      </c>
      <c r="BF9" s="243">
        <v>151</v>
      </c>
      <c r="BG9" s="243">
        <v>127</v>
      </c>
      <c r="BH9" s="243">
        <v>139</v>
      </c>
      <c r="BI9" s="243">
        <v>128</v>
      </c>
      <c r="BJ9" s="243">
        <v>148</v>
      </c>
      <c r="BK9" s="243"/>
      <c r="BL9" s="243"/>
      <c r="BM9" s="243"/>
      <c r="BN9" s="243"/>
      <c r="BO9" s="243"/>
      <c r="BP9" s="243"/>
      <c r="BQ9" s="243"/>
      <c r="BR9" s="243"/>
      <c r="BS9" s="243"/>
      <c r="BT9" s="243"/>
      <c r="BU9" s="243"/>
      <c r="BV9" s="243"/>
      <c r="BW9" s="243"/>
      <c r="BX9" s="243"/>
      <c r="BY9" s="243"/>
      <c r="BZ9" s="243"/>
      <c r="CA9" s="243"/>
      <c r="CB9" s="243"/>
      <c r="CC9" s="243"/>
      <c r="CD9" s="243"/>
      <c r="CE9" s="243"/>
      <c r="CF9" s="243"/>
      <c r="CG9" s="243"/>
      <c r="CH9" s="243"/>
      <c r="CI9" s="243"/>
      <c r="CJ9" s="243"/>
      <c r="CK9" s="243"/>
      <c r="CL9" s="243"/>
      <c r="CM9" s="243"/>
      <c r="CN9" s="243"/>
      <c r="CO9" s="243"/>
      <c r="CP9" s="243"/>
      <c r="CQ9" s="243"/>
      <c r="CR9" s="243"/>
      <c r="CS9" s="243"/>
      <c r="CT9" s="243"/>
      <c r="CU9" s="243"/>
      <c r="CV9" s="243"/>
      <c r="CW9" s="243"/>
      <c r="CX9" s="243"/>
      <c r="CY9" s="243"/>
      <c r="CZ9" s="243"/>
      <c r="DA9" s="243"/>
      <c r="DB9" s="243"/>
      <c r="DC9" s="243"/>
      <c r="DD9" s="243"/>
      <c r="DE9" s="243"/>
      <c r="DF9" s="243"/>
      <c r="DG9" s="243"/>
      <c r="DH9" s="243"/>
      <c r="DI9" s="243"/>
      <c r="DJ9" s="243"/>
      <c r="DK9" s="243"/>
      <c r="DL9" s="243"/>
      <c r="DM9" s="243"/>
      <c r="DN9" s="243"/>
      <c r="DP9" s="235"/>
      <c r="DQ9" s="235"/>
      <c r="DR9" s="235"/>
      <c r="DS9" s="235"/>
      <c r="DT9" s="235"/>
      <c r="DU9" s="235"/>
      <c r="DV9" s="235"/>
      <c r="DW9" s="235"/>
      <c r="DX9" s="235"/>
      <c r="DY9" s="235"/>
      <c r="DZ9" s="235"/>
      <c r="EA9" s="235"/>
      <c r="EB9" s="235"/>
      <c r="EC9" s="235"/>
      <c r="ED9" s="244" t="s">
        <v>928</v>
      </c>
      <c r="EE9" s="244" t="s">
        <v>934</v>
      </c>
      <c r="EF9" s="244" t="s">
        <v>939</v>
      </c>
      <c r="EG9" s="235"/>
      <c r="EH9" s="235">
        <f>SUM(AQ9:AT9)</f>
        <v>3420</v>
      </c>
      <c r="EI9" s="235">
        <f>SUM(AU9:AX9)</f>
        <v>2126</v>
      </c>
      <c r="EJ9" s="235">
        <f>SUM(AY9:BB9)</f>
        <v>899</v>
      </c>
      <c r="EK9" s="235">
        <f t="shared" ref="EK9:EK18" si="38">SUM(BC9:BF9)</f>
        <v>527</v>
      </c>
      <c r="EL9" s="235">
        <f t="shared" ref="EL9" si="39">SUM(BG9:BJ9)</f>
        <v>542</v>
      </c>
      <c r="EM9" s="76"/>
      <c r="EN9" s="76"/>
      <c r="EO9" s="76"/>
      <c r="EP9" s="76"/>
      <c r="EQ9" s="76"/>
      <c r="ER9" s="235">
        <f t="shared" si="23"/>
        <v>0</v>
      </c>
      <c r="ES9" s="76"/>
      <c r="ET9" s="76"/>
      <c r="EU9" s="76"/>
      <c r="EX9" s="235">
        <f t="shared" si="12"/>
        <v>0</v>
      </c>
      <c r="EY9" s="235">
        <f t="shared" si="25"/>
        <v>0</v>
      </c>
      <c r="EZ9" s="235"/>
      <c r="FM9"/>
    </row>
    <row r="10" spans="1:169" s="254" customFormat="1" ht="3" customHeight="1" x14ac:dyDescent="0.2">
      <c r="B10" t="s">
        <v>1268</v>
      </c>
      <c r="C10" s="76"/>
      <c r="D10" s="76"/>
      <c r="E10" s="76"/>
      <c r="F10" s="76"/>
      <c r="G10" s="76"/>
      <c r="H10" s="76"/>
      <c r="I10" s="76"/>
      <c r="J10" s="76"/>
      <c r="K10" s="76"/>
      <c r="L10" s="76"/>
      <c r="M10" s="76"/>
      <c r="N10" s="76"/>
      <c r="O10" s="76"/>
      <c r="P10" s="76"/>
      <c r="Q10" s="76"/>
      <c r="R10" s="76"/>
      <c r="S10" s="76"/>
      <c r="T10" s="76"/>
      <c r="U10" s="76"/>
      <c r="V10" s="76"/>
      <c r="W10" s="76"/>
      <c r="X10" s="76"/>
      <c r="Y10" s="236" t="s">
        <v>984</v>
      </c>
      <c r="Z10" s="236" t="s">
        <v>985</v>
      </c>
      <c r="AA10" s="237" t="s">
        <v>919</v>
      </c>
      <c r="AB10" s="237" t="s">
        <v>920</v>
      </c>
      <c r="AC10" s="237" t="s">
        <v>921</v>
      </c>
      <c r="AD10" s="237" t="s">
        <v>922</v>
      </c>
      <c r="AE10" s="237" t="s">
        <v>929</v>
      </c>
      <c r="AF10" s="237" t="s">
        <v>930</v>
      </c>
      <c r="AG10" s="238" t="s">
        <v>931</v>
      </c>
      <c r="AH10" s="238" t="s">
        <v>932</v>
      </c>
      <c r="AI10" s="237" t="s">
        <v>944</v>
      </c>
      <c r="AJ10" s="237" t="s">
        <v>945</v>
      </c>
      <c r="AK10" s="237" t="s">
        <v>946</v>
      </c>
      <c r="AL10" s="237" t="s">
        <v>947</v>
      </c>
      <c r="AM10" s="237" t="s">
        <v>987</v>
      </c>
      <c r="AN10" s="237" t="s">
        <v>988</v>
      </c>
      <c r="AO10" s="243"/>
      <c r="AP10" s="243"/>
      <c r="AQ10" s="243">
        <v>261</v>
      </c>
      <c r="AR10" s="243">
        <v>278</v>
      </c>
      <c r="AS10" s="243">
        <v>294</v>
      </c>
      <c r="AT10" s="243">
        <v>295</v>
      </c>
      <c r="AU10" s="243">
        <v>309</v>
      </c>
      <c r="AV10" s="243">
        <v>343</v>
      </c>
      <c r="AW10" s="243">
        <v>338</v>
      </c>
      <c r="AX10" s="243">
        <v>319</v>
      </c>
      <c r="AY10" s="243">
        <v>325</v>
      </c>
      <c r="AZ10" s="243">
        <v>348</v>
      </c>
      <c r="BA10" s="243">
        <v>353</v>
      </c>
      <c r="BB10" s="243">
        <v>399</v>
      </c>
      <c r="BC10" s="243">
        <v>379</v>
      </c>
      <c r="BD10" s="243">
        <v>355</v>
      </c>
      <c r="BE10" s="243">
        <v>378</v>
      </c>
      <c r="BF10" s="243">
        <v>388</v>
      </c>
      <c r="BG10" s="243">
        <v>404</v>
      </c>
      <c r="BH10" s="243">
        <v>404</v>
      </c>
      <c r="BI10" s="243">
        <v>390</v>
      </c>
      <c r="BJ10" s="243">
        <v>385</v>
      </c>
      <c r="BK10" s="243">
        <v>361</v>
      </c>
      <c r="BL10" s="243">
        <v>355</v>
      </c>
      <c r="BM10" s="243">
        <v>351</v>
      </c>
      <c r="BN10" s="243">
        <v>358</v>
      </c>
      <c r="BO10" s="243">
        <v>335</v>
      </c>
      <c r="BP10" s="243">
        <v>336</v>
      </c>
      <c r="BQ10" s="243">
        <v>326</v>
      </c>
      <c r="BR10" s="243">
        <v>321</v>
      </c>
      <c r="BS10" s="243">
        <v>310</v>
      </c>
      <c r="BT10" s="243">
        <v>302</v>
      </c>
      <c r="BU10" s="243">
        <v>284</v>
      </c>
      <c r="BV10" s="243">
        <v>294</v>
      </c>
      <c r="BW10" s="243">
        <v>224</v>
      </c>
      <c r="BX10" s="243">
        <v>247</v>
      </c>
      <c r="BY10" s="243">
        <v>235</v>
      </c>
      <c r="BZ10" s="243">
        <v>234</v>
      </c>
      <c r="CA10" s="243">
        <v>231</v>
      </c>
      <c r="CB10" s="243">
        <v>230</v>
      </c>
      <c r="CC10" s="243">
        <v>222</v>
      </c>
      <c r="CD10" s="243">
        <v>210</v>
      </c>
      <c r="CE10" s="243">
        <v>207</v>
      </c>
      <c r="CF10" s="243">
        <v>207</v>
      </c>
      <c r="CG10" s="243">
        <v>194</v>
      </c>
      <c r="CH10" s="243">
        <v>197</v>
      </c>
      <c r="CI10" s="243">
        <v>196</v>
      </c>
      <c r="CJ10" s="243">
        <v>188</v>
      </c>
      <c r="CK10" s="243">
        <v>175</v>
      </c>
      <c r="CL10" s="243">
        <v>178</v>
      </c>
      <c r="CM10" s="243">
        <v>179</v>
      </c>
      <c r="CN10" s="243">
        <v>182</v>
      </c>
      <c r="CO10" s="243">
        <v>167</v>
      </c>
      <c r="CP10" s="243">
        <v>160</v>
      </c>
      <c r="CQ10" s="243">
        <v>170</v>
      </c>
      <c r="CR10" s="243">
        <v>153</v>
      </c>
      <c r="CS10" s="243">
        <v>152</v>
      </c>
      <c r="CT10" s="243">
        <v>167</v>
      </c>
      <c r="CU10" s="243">
        <v>157</v>
      </c>
      <c r="CV10" s="243">
        <v>155</v>
      </c>
      <c r="CW10" s="243">
        <v>140</v>
      </c>
      <c r="CX10" s="243">
        <v>140</v>
      </c>
      <c r="CY10" s="243">
        <v>157</v>
      </c>
      <c r="CZ10" s="243">
        <v>125</v>
      </c>
      <c r="DA10" s="243">
        <v>119</v>
      </c>
      <c r="DB10" s="243">
        <v>112</v>
      </c>
      <c r="DC10" s="243"/>
      <c r="DD10" s="243"/>
      <c r="DE10" s="243"/>
      <c r="DF10" s="243"/>
      <c r="DG10" s="243"/>
      <c r="DH10" s="243"/>
      <c r="DI10" s="243"/>
      <c r="DJ10" s="243"/>
      <c r="DK10" s="243"/>
      <c r="DL10" s="243"/>
      <c r="DM10" s="243"/>
      <c r="DN10" s="243"/>
      <c r="DP10" s="235"/>
      <c r="DQ10" s="235"/>
      <c r="DR10" s="235"/>
      <c r="DS10" s="235"/>
      <c r="DT10" s="235"/>
      <c r="DU10" s="235"/>
      <c r="DV10" s="235"/>
      <c r="DW10" s="235"/>
      <c r="DX10" s="235"/>
      <c r="DY10" s="235"/>
      <c r="DZ10" s="235"/>
      <c r="EA10" s="235"/>
      <c r="EB10" s="235"/>
      <c r="EC10" s="244" t="s">
        <v>986</v>
      </c>
      <c r="ED10" s="244" t="s">
        <v>927</v>
      </c>
      <c r="EE10" s="244" t="s">
        <v>933</v>
      </c>
      <c r="EF10" s="244" t="s">
        <v>938</v>
      </c>
      <c r="EG10" s="235"/>
      <c r="EH10" s="235">
        <f>SUM(AQ10:AT10)</f>
        <v>1128</v>
      </c>
      <c r="EI10" s="235">
        <f>SUM(AU10:AX10)</f>
        <v>1309</v>
      </c>
      <c r="EJ10" s="235">
        <f>SUM(AY10:BB10)</f>
        <v>1425</v>
      </c>
      <c r="EK10" s="235">
        <f t="shared" si="38"/>
        <v>1500</v>
      </c>
      <c r="EL10" s="235">
        <f>SUM(BG10:BJ10)</f>
        <v>1583</v>
      </c>
      <c r="EM10" s="235">
        <f>SUM(BK10:BN10)</f>
        <v>1425</v>
      </c>
      <c r="EN10" s="235">
        <f>SUM(BO10:BR10)</f>
        <v>1318</v>
      </c>
      <c r="EO10" s="235">
        <f>SUM(BS10:BV10)</f>
        <v>1190</v>
      </c>
      <c r="EP10" s="235">
        <f t="shared" ref="EP10:EQ10" si="40">+EO10*0.95</f>
        <v>1130.5</v>
      </c>
      <c r="EQ10" s="235">
        <f t="shared" si="40"/>
        <v>1073.9749999999999</v>
      </c>
      <c r="ER10" s="235">
        <f t="shared" si="23"/>
        <v>805</v>
      </c>
      <c r="ES10" s="235">
        <f>SUM(CI10:CL10)</f>
        <v>737</v>
      </c>
      <c r="ET10" s="235">
        <f>SUM(CM10:CP10)</f>
        <v>688</v>
      </c>
      <c r="EU10" s="235">
        <f>SUM(CQ10:CT10)</f>
        <v>642</v>
      </c>
      <c r="EV10" s="235">
        <f t="shared" ref="EV10:EV14" si="41">SUM(CU10:CX10)</f>
        <v>592</v>
      </c>
      <c r="EW10" s="235">
        <f>SUM(CY10:DB10)</f>
        <v>513</v>
      </c>
      <c r="EX10" s="235"/>
      <c r="EY10" s="235"/>
      <c r="EZ10" s="235"/>
      <c r="FA10" s="235"/>
      <c r="FB10" s="235"/>
      <c r="FC10" s="235"/>
      <c r="FD10" s="235"/>
      <c r="FE10" s="235"/>
      <c r="FF10" s="235"/>
      <c r="FG10" s="235"/>
      <c r="FH10" s="235"/>
      <c r="FI10" s="235"/>
      <c r="FJ10" s="235"/>
      <c r="FM10"/>
    </row>
    <row r="11" spans="1:169" s="254" customFormat="1" x14ac:dyDescent="0.2">
      <c r="B11" t="s">
        <v>847</v>
      </c>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273"/>
      <c r="AF11" s="273"/>
      <c r="AG11" s="273"/>
      <c r="AH11" s="273"/>
      <c r="AI11" s="273"/>
      <c r="AJ11" s="273"/>
      <c r="AK11" s="273"/>
      <c r="AL11" s="273"/>
      <c r="AM11" s="243"/>
      <c r="AN11" s="243"/>
      <c r="AO11" s="243"/>
      <c r="AP11" s="243"/>
      <c r="AQ11" s="243">
        <f>AQ8-AQ9-AQ10</f>
        <v>50</v>
      </c>
      <c r="AR11" s="243">
        <f>AR8-AR9-AR10</f>
        <v>11</v>
      </c>
      <c r="AS11" s="243">
        <f>AS8-AS9-AS10</f>
        <v>37</v>
      </c>
      <c r="AT11" s="237" t="s">
        <v>639</v>
      </c>
      <c r="AU11" s="243">
        <v>66</v>
      </c>
      <c r="AV11" s="237">
        <v>76</v>
      </c>
      <c r="AW11" s="237">
        <v>89</v>
      </c>
      <c r="AX11" s="243">
        <v>95</v>
      </c>
      <c r="AY11" s="243">
        <v>91</v>
      </c>
      <c r="AZ11" s="243">
        <v>99</v>
      </c>
      <c r="BA11" s="243">
        <v>97</v>
      </c>
      <c r="BB11" s="243">
        <v>106</v>
      </c>
      <c r="BC11" s="243">
        <v>108</v>
      </c>
      <c r="BD11" s="243">
        <v>102</v>
      </c>
      <c r="BE11" s="243">
        <v>98</v>
      </c>
      <c r="BF11" s="243">
        <v>116</v>
      </c>
      <c r="BG11" s="243">
        <v>120</v>
      </c>
      <c r="BH11" s="243">
        <v>128</v>
      </c>
      <c r="BI11" s="243">
        <f>101+126</f>
        <v>227</v>
      </c>
      <c r="BJ11" s="243">
        <v>125</v>
      </c>
      <c r="BK11" s="243">
        <f>121+161</f>
        <v>282</v>
      </c>
      <c r="BL11" s="243">
        <f>195+142</f>
        <v>337</v>
      </c>
      <c r="BM11" s="243">
        <f>212+140</f>
        <v>352</v>
      </c>
      <c r="BN11" s="243">
        <f>147+228</f>
        <v>375</v>
      </c>
      <c r="BO11" s="243">
        <f>132+284</f>
        <v>416</v>
      </c>
      <c r="BP11" s="243">
        <f>150+290</f>
        <v>440</v>
      </c>
      <c r="BQ11" s="243">
        <f>147+324</f>
        <v>471</v>
      </c>
      <c r="BR11" s="243">
        <f>154+350</f>
        <v>504</v>
      </c>
      <c r="BS11" s="243">
        <f>165+373</f>
        <v>538</v>
      </c>
      <c r="BT11" s="243">
        <f>158+394</f>
        <v>552</v>
      </c>
      <c r="BU11" s="243">
        <f>403+156</f>
        <v>559</v>
      </c>
      <c r="BV11" s="243">
        <f>418+161</f>
        <v>579</v>
      </c>
      <c r="BW11" s="243">
        <f>155+411</f>
        <v>566</v>
      </c>
      <c r="BX11" s="243">
        <f>436+166</f>
        <v>602</v>
      </c>
      <c r="BY11" s="243">
        <f>459+139</f>
        <v>598</v>
      </c>
      <c r="BZ11" s="243">
        <f>524+113</f>
        <v>637</v>
      </c>
      <c r="CA11" s="243">
        <f>513+86</f>
        <v>599</v>
      </c>
      <c r="CB11" s="243">
        <f>560+82</f>
        <v>642</v>
      </c>
      <c r="CC11" s="243">
        <f>556+87</f>
        <v>643</v>
      </c>
      <c r="CD11" s="243">
        <f>585+56</f>
        <v>641</v>
      </c>
      <c r="CE11" s="243">
        <v>604</v>
      </c>
      <c r="CF11" s="243">
        <v>629</v>
      </c>
      <c r="CG11" s="243">
        <v>643</v>
      </c>
      <c r="CH11" s="243">
        <v>693</v>
      </c>
      <c r="CI11" s="243">
        <v>696</v>
      </c>
      <c r="CJ11" s="243">
        <v>720</v>
      </c>
      <c r="CK11" s="243">
        <v>749</v>
      </c>
      <c r="CL11" s="243">
        <v>763</v>
      </c>
      <c r="CM11" s="243">
        <v>790</v>
      </c>
      <c r="CN11" s="243">
        <v>818</v>
      </c>
      <c r="CO11" s="243">
        <v>851</v>
      </c>
      <c r="CP11" s="243">
        <v>871</v>
      </c>
      <c r="CQ11" s="243">
        <v>883</v>
      </c>
      <c r="CR11" s="243">
        <v>879</v>
      </c>
      <c r="CS11" s="243">
        <v>926</v>
      </c>
      <c r="CT11" s="243">
        <v>965</v>
      </c>
      <c r="CU11" s="243">
        <v>965</v>
      </c>
      <c r="CV11" s="243">
        <v>1024</v>
      </c>
      <c r="CW11" s="243">
        <v>1004</v>
      </c>
      <c r="CX11" s="243">
        <v>1029</v>
      </c>
      <c r="CY11" s="243">
        <v>1048</v>
      </c>
      <c r="CZ11" s="243">
        <v>1054</v>
      </c>
      <c r="DA11" s="243">
        <v>1031</v>
      </c>
      <c r="DB11" s="243">
        <v>1008</v>
      </c>
      <c r="DC11" s="243">
        <v>1044</v>
      </c>
      <c r="DD11" s="243">
        <v>1031</v>
      </c>
      <c r="DE11" s="243">
        <v>1029</v>
      </c>
      <c r="DF11" s="243">
        <v>1011</v>
      </c>
      <c r="DG11" s="243">
        <v>1056</v>
      </c>
      <c r="DH11" s="243">
        <v>1054</v>
      </c>
      <c r="DI11" s="243">
        <v>1049.4000000000001</v>
      </c>
      <c r="DJ11" s="243">
        <v>1063</v>
      </c>
      <c r="DK11" s="243">
        <f t="shared" ref="DK11" si="42">DG11*1.01</f>
        <v>1066.56</v>
      </c>
      <c r="DL11" s="243">
        <f t="shared" ref="DL11" si="43">DH11*1.01</f>
        <v>1064.54</v>
      </c>
      <c r="DM11" s="243">
        <f t="shared" ref="DM11" si="44">DI11*1.01</f>
        <v>1059.894</v>
      </c>
      <c r="DN11" s="243">
        <f t="shared" ref="DN11" si="45">DJ11*1.01</f>
        <v>1073.6300000000001</v>
      </c>
      <c r="DP11" s="235"/>
      <c r="DQ11" s="235"/>
      <c r="DR11" s="235"/>
      <c r="DS11" s="235"/>
      <c r="DT11" s="235"/>
      <c r="DU11" s="235"/>
      <c r="DV11" s="235"/>
      <c r="DW11" s="235"/>
      <c r="DX11" s="235"/>
      <c r="DY11" s="235"/>
      <c r="DZ11" s="235"/>
      <c r="EA11" s="235"/>
      <c r="EB11" s="235"/>
      <c r="EC11" s="235"/>
      <c r="ED11" s="235"/>
      <c r="EE11" s="235"/>
      <c r="EF11" s="235"/>
      <c r="EG11" s="244" t="s">
        <v>948</v>
      </c>
      <c r="EH11" s="244" t="s">
        <v>918</v>
      </c>
      <c r="EI11" s="235">
        <f>SUM(AU11:AX11)</f>
        <v>326</v>
      </c>
      <c r="EJ11" s="235">
        <f>SUM(AY11:BB11)</f>
        <v>393</v>
      </c>
      <c r="EK11" s="235">
        <f t="shared" si="38"/>
        <v>424</v>
      </c>
      <c r="EL11" s="235">
        <f>SUM(BG11:BJ11)</f>
        <v>600</v>
      </c>
      <c r="EM11" s="235">
        <f>SUM(BK11:BN11)</f>
        <v>1346</v>
      </c>
      <c r="EN11" s="235">
        <f>SUM(BO11:BR11)</f>
        <v>1831</v>
      </c>
      <c r="EO11" s="235">
        <f>SUM(BS11:BV11)</f>
        <v>2228</v>
      </c>
      <c r="EP11" s="235">
        <f t="shared" ref="EP11:EQ11" si="46">+EO11*1.02</f>
        <v>2272.56</v>
      </c>
      <c r="EQ11" s="235">
        <f t="shared" si="46"/>
        <v>2318.0111999999999</v>
      </c>
      <c r="ER11" s="235">
        <f t="shared" si="23"/>
        <v>2569</v>
      </c>
      <c r="ES11" s="235">
        <f>SUM(CI11:CL11)</f>
        <v>2928</v>
      </c>
      <c r="ET11" s="235">
        <f>SUM(CM11:CP11)</f>
        <v>3330</v>
      </c>
      <c r="EU11" s="235">
        <f>SUM(CQ11:CT11)</f>
        <v>3653</v>
      </c>
      <c r="EV11" s="235">
        <f t="shared" si="41"/>
        <v>4022</v>
      </c>
      <c r="EW11" s="235">
        <f>SUM(CY11:DB11)</f>
        <v>4141</v>
      </c>
      <c r="EX11" s="235">
        <f t="shared" ref="EX11:EX33" si="47">SUM(DC11:DF11)</f>
        <v>4115</v>
      </c>
      <c r="EY11" s="235">
        <f t="shared" si="25"/>
        <v>4222.3999999999996</v>
      </c>
      <c r="EZ11" s="235">
        <f>SUM(DK11:DN11)</f>
        <v>4264.6239999999998</v>
      </c>
      <c r="FA11" s="235">
        <f t="shared" ref="FA11:FJ11" si="48">+EZ11*0.8</f>
        <v>3411.6992</v>
      </c>
      <c r="FB11" s="235">
        <f t="shared" si="48"/>
        <v>2729.3593600000004</v>
      </c>
      <c r="FC11" s="235">
        <f t="shared" si="48"/>
        <v>2183.4874880000002</v>
      </c>
      <c r="FD11" s="235">
        <f t="shared" si="48"/>
        <v>1746.7899904000003</v>
      </c>
      <c r="FE11" s="235">
        <f t="shared" si="48"/>
        <v>1397.4319923200003</v>
      </c>
      <c r="FF11" s="235">
        <f t="shared" si="48"/>
        <v>1117.9455938560002</v>
      </c>
      <c r="FG11" s="235">
        <f t="shared" si="48"/>
        <v>894.35647508480019</v>
      </c>
      <c r="FH11" s="235">
        <f t="shared" si="48"/>
        <v>715.48518006784025</v>
      </c>
      <c r="FI11" s="235">
        <f t="shared" si="48"/>
        <v>572.38814405427217</v>
      </c>
      <c r="FJ11" s="235">
        <f t="shared" si="48"/>
        <v>457.91051524341776</v>
      </c>
      <c r="FM11"/>
    </row>
    <row r="12" spans="1:169" s="254" customFormat="1" x14ac:dyDescent="0.2">
      <c r="B12" t="s">
        <v>570</v>
      </c>
      <c r="C12" s="76"/>
      <c r="D12" s="76"/>
      <c r="E12" s="76"/>
      <c r="F12" s="76"/>
      <c r="G12" s="76"/>
      <c r="H12" s="76"/>
      <c r="I12" s="76"/>
      <c r="J12" s="76"/>
      <c r="K12" s="76"/>
      <c r="L12" s="76"/>
      <c r="M12" s="76"/>
      <c r="N12" s="76"/>
      <c r="O12" s="76"/>
      <c r="P12" s="76"/>
      <c r="Q12" s="76"/>
      <c r="R12" s="76"/>
      <c r="S12" s="236" t="s">
        <v>639</v>
      </c>
      <c r="T12" s="236" t="s">
        <v>404</v>
      </c>
      <c r="U12" s="236" t="s">
        <v>405</v>
      </c>
      <c r="V12" s="236" t="s">
        <v>406</v>
      </c>
      <c r="W12" s="236" t="s">
        <v>407</v>
      </c>
      <c r="X12" s="236" t="s">
        <v>408</v>
      </c>
      <c r="Y12" s="236" t="s">
        <v>407</v>
      </c>
      <c r="Z12" s="236" t="s">
        <v>409</v>
      </c>
      <c r="AA12" s="236" t="s">
        <v>410</v>
      </c>
      <c r="AB12" s="236" t="s">
        <v>411</v>
      </c>
      <c r="AC12" s="236" t="s">
        <v>412</v>
      </c>
      <c r="AD12" s="243">
        <f>119+17</f>
        <v>136</v>
      </c>
      <c r="AE12" s="243">
        <f>142+18</f>
        <v>160</v>
      </c>
      <c r="AF12" s="243">
        <f>140+24</f>
        <v>164</v>
      </c>
      <c r="AG12" s="243">
        <f>143+21</f>
        <v>164</v>
      </c>
      <c r="AH12" s="243">
        <f>175+32</f>
        <v>207</v>
      </c>
      <c r="AI12" s="243">
        <f>165+33</f>
        <v>198</v>
      </c>
      <c r="AJ12" s="243">
        <f>162+36</f>
        <v>198</v>
      </c>
      <c r="AK12" s="243">
        <f>140+29</f>
        <v>169</v>
      </c>
      <c r="AL12" s="243">
        <f>171+37</f>
        <v>208</v>
      </c>
      <c r="AM12" s="243">
        <f>193+42</f>
        <v>235</v>
      </c>
      <c r="AN12" s="243">
        <f>174+43</f>
        <v>217</v>
      </c>
      <c r="AO12" s="243">
        <v>220</v>
      </c>
      <c r="AP12" s="243">
        <v>257</v>
      </c>
      <c r="AQ12" s="243">
        <v>252</v>
      </c>
      <c r="AR12" s="243">
        <v>255</v>
      </c>
      <c r="AS12" s="243">
        <v>231</v>
      </c>
      <c r="AT12" s="243">
        <v>289</v>
      </c>
      <c r="AU12" s="243">
        <v>290</v>
      </c>
      <c r="AV12" s="243">
        <v>279</v>
      </c>
      <c r="AW12" s="243">
        <v>398</v>
      </c>
      <c r="AX12" s="243">
        <v>280</v>
      </c>
      <c r="AY12" s="243">
        <v>344</v>
      </c>
      <c r="AZ12" s="243">
        <v>317</v>
      </c>
      <c r="BA12" s="243">
        <v>284</v>
      </c>
      <c r="BB12" s="243">
        <v>381</v>
      </c>
      <c r="BC12" s="243">
        <v>329</v>
      </c>
      <c r="BD12" s="243">
        <v>323</v>
      </c>
      <c r="BE12" s="243">
        <v>299</v>
      </c>
      <c r="BF12" s="243">
        <v>368</v>
      </c>
      <c r="BG12" s="243">
        <v>362</v>
      </c>
      <c r="BH12" s="243">
        <v>349</v>
      </c>
      <c r="BI12" s="243">
        <v>283</v>
      </c>
      <c r="BJ12" s="243">
        <v>274</v>
      </c>
      <c r="BK12" s="243">
        <v>308</v>
      </c>
      <c r="BL12" s="243">
        <v>268</v>
      </c>
      <c r="BM12" s="243">
        <v>254</v>
      </c>
      <c r="BN12" s="243">
        <v>243</v>
      </c>
      <c r="BO12" s="243">
        <v>256</v>
      </c>
      <c r="BP12" s="243">
        <v>215</v>
      </c>
      <c r="BQ12" s="243">
        <v>142</v>
      </c>
      <c r="BR12" s="243">
        <v>169</v>
      </c>
      <c r="BS12" s="243">
        <v>150</v>
      </c>
      <c r="BT12" s="243">
        <v>145</v>
      </c>
      <c r="BU12" s="243">
        <v>135</v>
      </c>
      <c r="BV12" s="243">
        <v>169</v>
      </c>
      <c r="BW12" s="243">
        <v>254</v>
      </c>
      <c r="BX12" s="243">
        <v>206</v>
      </c>
      <c r="BY12" s="243">
        <v>178</v>
      </c>
      <c r="BZ12" s="243">
        <v>213</v>
      </c>
      <c r="CA12" s="243">
        <v>231</v>
      </c>
      <c r="CB12" s="243">
        <v>238</v>
      </c>
      <c r="CC12" s="243">
        <v>190</v>
      </c>
      <c r="CD12" s="243">
        <v>204</v>
      </c>
      <c r="CE12" s="243">
        <v>209</v>
      </c>
      <c r="CF12" s="243">
        <v>181</v>
      </c>
      <c r="CG12" s="243">
        <v>198</v>
      </c>
      <c r="CH12" s="243">
        <v>203</v>
      </c>
      <c r="CI12" s="243">
        <v>173</v>
      </c>
      <c r="CJ12" s="243">
        <v>183</v>
      </c>
      <c r="CK12" s="243">
        <v>157</v>
      </c>
      <c r="CL12" s="243">
        <v>150</v>
      </c>
      <c r="CM12" s="243">
        <v>214</v>
      </c>
      <c r="CN12" s="243">
        <v>137</v>
      </c>
      <c r="CO12" s="243">
        <v>193</v>
      </c>
      <c r="CP12" s="243">
        <v>152</v>
      </c>
      <c r="CQ12" s="243">
        <v>171</v>
      </c>
      <c r="CR12" s="243">
        <v>149</v>
      </c>
      <c r="CS12" s="243">
        <v>149</v>
      </c>
      <c r="CT12" s="243">
        <v>153</v>
      </c>
      <c r="CU12" s="243">
        <v>171</v>
      </c>
      <c r="CV12" s="243">
        <v>161</v>
      </c>
      <c r="CW12" s="243">
        <v>157</v>
      </c>
      <c r="CX12" s="243">
        <v>178</v>
      </c>
      <c r="CY12" s="243">
        <v>157</v>
      </c>
      <c r="CZ12" s="243">
        <v>161</v>
      </c>
      <c r="DA12" s="243">
        <v>158</v>
      </c>
      <c r="DB12" s="243">
        <v>168</v>
      </c>
      <c r="DC12" s="243">
        <v>206</v>
      </c>
      <c r="DD12" s="243">
        <v>208</v>
      </c>
      <c r="DE12" s="243">
        <v>189</v>
      </c>
      <c r="DF12" s="243">
        <v>180</v>
      </c>
      <c r="DG12" s="243">
        <v>177</v>
      </c>
      <c r="DH12" s="243">
        <v>163</v>
      </c>
      <c r="DI12" s="243">
        <v>142.30000000000001</v>
      </c>
      <c r="DJ12" s="243">
        <v>159</v>
      </c>
      <c r="DK12" s="243">
        <f t="shared" ref="DK12" si="49">DG12</f>
        <v>177</v>
      </c>
      <c r="DL12" s="243">
        <f t="shared" ref="DL12" si="50">DH12</f>
        <v>163</v>
      </c>
      <c r="DM12" s="243">
        <f t="shared" ref="DM12" si="51">DI12</f>
        <v>142.30000000000001</v>
      </c>
      <c r="DN12" s="243">
        <f t="shared" ref="DN12" si="52">DJ12</f>
        <v>159</v>
      </c>
      <c r="DP12" s="244" t="s">
        <v>120</v>
      </c>
      <c r="DQ12" s="235"/>
      <c r="DR12" s="235"/>
      <c r="DS12" s="235"/>
      <c r="DT12" s="235"/>
      <c r="DU12" s="235"/>
      <c r="DV12" s="235"/>
      <c r="DW12" s="235"/>
      <c r="DX12" s="235"/>
      <c r="DY12" s="235"/>
      <c r="DZ12" s="235"/>
      <c r="EA12" s="235">
        <v>68</v>
      </c>
      <c r="EB12" s="235">
        <v>299</v>
      </c>
      <c r="EC12" s="235">
        <v>341</v>
      </c>
      <c r="ED12" s="235">
        <v>504.4</v>
      </c>
      <c r="EE12" s="235">
        <v>695</v>
      </c>
      <c r="EF12" s="235">
        <v>774</v>
      </c>
      <c r="EG12" s="235">
        <f>SUM(AM12:AP12)</f>
        <v>929</v>
      </c>
      <c r="EH12" s="235">
        <f>SUM(AQ12:AT12)</f>
        <v>1027</v>
      </c>
      <c r="EI12" s="235">
        <f>SUM(AU12:AX12)</f>
        <v>1247</v>
      </c>
      <c r="EJ12" s="235">
        <f>SUM(AY12:BB12)</f>
        <v>1326</v>
      </c>
      <c r="EK12" s="235">
        <f>SUM(BC12:BF12)</f>
        <v>1319</v>
      </c>
      <c r="EL12" s="235">
        <f>SUM(BG12:BJ12)</f>
        <v>1268</v>
      </c>
      <c r="EM12" s="235">
        <f>SUM(BK12:BN12)</f>
        <v>1073</v>
      </c>
      <c r="EN12" s="235">
        <f>SUM(BO12:BR12)</f>
        <v>782</v>
      </c>
      <c r="EO12" s="235">
        <f>SUM(BS12:BV12)</f>
        <v>599</v>
      </c>
      <c r="EP12" s="235">
        <f>EO12*0.2</f>
        <v>119.80000000000001</v>
      </c>
      <c r="EQ12" s="235">
        <f>EP12*0.5</f>
        <v>59.900000000000006</v>
      </c>
      <c r="ER12" s="235">
        <f t="shared" si="23"/>
        <v>791</v>
      </c>
      <c r="ES12" s="235">
        <f t="shared" ref="ES12:ES14" si="53">SUM(CI12:CL12)</f>
        <v>663</v>
      </c>
      <c r="ET12" s="235">
        <f t="shared" ref="ET12:ET13" si="54">SUM(CM12:CP12)</f>
        <v>696</v>
      </c>
      <c r="EU12" s="235">
        <f t="shared" ref="EU12" si="55">SUM(CQ12:CT12)</f>
        <v>622</v>
      </c>
      <c r="EV12" s="235">
        <f t="shared" ref="EV12" si="56">SUM(CU12:CX12)</f>
        <v>667</v>
      </c>
      <c r="EW12" s="235">
        <f t="shared" ref="EW12" si="57">SUM(CY12:DB12)</f>
        <v>644</v>
      </c>
      <c r="EX12" s="235">
        <f t="shared" si="47"/>
        <v>783</v>
      </c>
      <c r="EY12" s="235">
        <f t="shared" si="25"/>
        <v>641.29999999999995</v>
      </c>
      <c r="EZ12" s="235">
        <f>SUM(DK12:DN12)</f>
        <v>641.29999999999995</v>
      </c>
      <c r="FA12" s="235">
        <f t="shared" ref="FA12" si="58">EZ12*0.5</f>
        <v>320.64999999999998</v>
      </c>
      <c r="FB12" s="235">
        <f t="shared" ref="FB12" si="59">FA12*0.5</f>
        <v>160.32499999999999</v>
      </c>
      <c r="FC12" s="235">
        <f t="shared" ref="FC12" si="60">FB12*0.5</f>
        <v>80.162499999999994</v>
      </c>
      <c r="FD12" s="235">
        <f t="shared" ref="FD12" si="61">FC12*0.5</f>
        <v>40.081249999999997</v>
      </c>
      <c r="FE12" s="235">
        <f t="shared" ref="FE12:FJ12" si="62">FD12*0.5</f>
        <v>20.040624999999999</v>
      </c>
      <c r="FF12" s="235">
        <f t="shared" si="62"/>
        <v>10.020312499999999</v>
      </c>
      <c r="FG12" s="235">
        <f t="shared" si="62"/>
        <v>5.0101562499999996</v>
      </c>
      <c r="FH12" s="235">
        <f t="shared" si="62"/>
        <v>2.5050781249999998</v>
      </c>
      <c r="FI12" s="235">
        <f t="shared" si="62"/>
        <v>1.2525390624999999</v>
      </c>
      <c r="FJ12" s="235">
        <f t="shared" si="62"/>
        <v>0.62626953124999996</v>
      </c>
      <c r="FM12"/>
    </row>
    <row r="13" spans="1:169" s="254" customFormat="1" x14ac:dyDescent="0.2">
      <c r="B13" t="s">
        <v>1900</v>
      </c>
      <c r="C13" s="338"/>
      <c r="D13" s="338"/>
      <c r="E13" s="338"/>
      <c r="F13" s="338"/>
      <c r="G13" s="338"/>
      <c r="H13" s="338"/>
      <c r="I13" s="338"/>
      <c r="J13" s="338"/>
      <c r="K13" s="338"/>
      <c r="L13" s="338"/>
      <c r="M13" s="338"/>
      <c r="N13" s="338"/>
      <c r="O13" s="338"/>
      <c r="P13" s="338"/>
      <c r="Q13" s="338"/>
      <c r="R13" s="338"/>
      <c r="S13" s="340"/>
      <c r="T13" s="340"/>
      <c r="U13" s="340"/>
      <c r="V13" s="340"/>
      <c r="W13" s="340"/>
      <c r="X13" s="340"/>
      <c r="Y13" s="340"/>
      <c r="Z13" s="340"/>
      <c r="AA13" s="340"/>
      <c r="AB13" s="340"/>
      <c r="AC13" s="340"/>
      <c r="AD13" s="339"/>
      <c r="AE13" s="339"/>
      <c r="AF13" s="339"/>
      <c r="AG13" s="339"/>
      <c r="AH13" s="339"/>
      <c r="AI13" s="339"/>
      <c r="AJ13" s="339"/>
      <c r="AK13" s="339"/>
      <c r="AL13" s="339"/>
      <c r="AM13" s="339"/>
      <c r="AN13" s="339"/>
      <c r="AO13" s="339"/>
      <c r="AP13" s="339"/>
      <c r="AQ13" s="339"/>
      <c r="AR13" s="339"/>
      <c r="AS13" s="339"/>
      <c r="AT13" s="339"/>
      <c r="AU13" s="339"/>
      <c r="AV13" s="339"/>
      <c r="AW13" s="339"/>
      <c r="AX13" s="339"/>
      <c r="AY13" s="339"/>
      <c r="AZ13" s="339"/>
      <c r="BA13" s="339"/>
      <c r="BB13" s="339"/>
      <c r="BC13" s="339"/>
      <c r="BD13" s="339"/>
      <c r="BE13" s="339"/>
      <c r="BF13" s="339"/>
      <c r="BG13" s="339"/>
      <c r="BH13" s="339"/>
      <c r="BI13" s="339"/>
      <c r="BJ13" s="339"/>
      <c r="BK13" s="339"/>
      <c r="BL13" s="339"/>
      <c r="BM13" s="339"/>
      <c r="BN13" s="339"/>
      <c r="BO13" s="339"/>
      <c r="BP13" s="339"/>
      <c r="BQ13" s="339"/>
      <c r="BR13" s="339"/>
      <c r="BS13" s="339"/>
      <c r="BT13" s="339"/>
      <c r="BU13" s="339"/>
      <c r="BV13" s="339"/>
      <c r="BW13" s="339"/>
      <c r="BX13" s="339"/>
      <c r="BY13" s="339"/>
      <c r="BZ13" s="339"/>
      <c r="CA13" s="339"/>
      <c r="CB13" s="339"/>
      <c r="CC13" s="339"/>
      <c r="CD13" s="339"/>
      <c r="CE13" s="339"/>
      <c r="CF13" s="339"/>
      <c r="CG13" s="339"/>
      <c r="CH13" s="339"/>
      <c r="CI13" s="339"/>
      <c r="CJ13" s="339"/>
      <c r="CK13" s="339"/>
      <c r="CL13" s="339"/>
      <c r="CM13" s="243"/>
      <c r="CN13" s="243"/>
      <c r="CO13" s="243"/>
      <c r="CP13" s="243"/>
      <c r="CQ13" s="243"/>
      <c r="CR13" s="243"/>
      <c r="CS13" s="243"/>
      <c r="CT13" s="243"/>
      <c r="CU13" s="243"/>
      <c r="CV13" s="243"/>
      <c r="CW13" s="243"/>
      <c r="CX13" s="243"/>
      <c r="CY13" s="243">
        <v>70</v>
      </c>
      <c r="CZ13" s="243">
        <v>85</v>
      </c>
      <c r="DA13" s="243">
        <v>100</v>
      </c>
      <c r="DB13" s="243">
        <v>119</v>
      </c>
      <c r="DC13" s="243">
        <v>131</v>
      </c>
      <c r="DD13" s="243">
        <v>169</v>
      </c>
      <c r="DE13" s="243">
        <v>183</v>
      </c>
      <c r="DF13" s="243">
        <v>206</v>
      </c>
      <c r="DG13" s="243">
        <v>225</v>
      </c>
      <c r="DH13" s="243">
        <v>271</v>
      </c>
      <c r="DI13" s="243">
        <v>284.39999999999998</v>
      </c>
      <c r="DJ13" s="243">
        <v>297</v>
      </c>
      <c r="DK13" s="243">
        <f t="shared" ref="DK13" si="63">DJ13+15</f>
        <v>312</v>
      </c>
      <c r="DL13" s="243">
        <f t="shared" ref="DL13" si="64">DK13+15</f>
        <v>327</v>
      </c>
      <c r="DM13" s="243">
        <f t="shared" ref="DM13" si="65">DL13+15</f>
        <v>342</v>
      </c>
      <c r="DN13" s="243">
        <f t="shared" ref="DN13" si="66">DM13+15</f>
        <v>357</v>
      </c>
      <c r="DP13" s="244"/>
      <c r="DQ13" s="235"/>
      <c r="DR13" s="235"/>
      <c r="DS13" s="235"/>
      <c r="DT13" s="235"/>
      <c r="DU13" s="235"/>
      <c r="DV13" s="235"/>
      <c r="DW13" s="235"/>
      <c r="DX13" s="235"/>
      <c r="DY13" s="235"/>
      <c r="DZ13" s="235"/>
      <c r="EA13" s="235"/>
      <c r="EB13" s="235"/>
      <c r="EC13" s="235"/>
      <c r="ED13" s="235"/>
      <c r="EE13" s="235"/>
      <c r="EF13" s="235"/>
      <c r="EG13" s="235"/>
      <c r="EH13" s="235"/>
      <c r="EI13" s="235"/>
      <c r="EJ13" s="235"/>
      <c r="EK13" s="235"/>
      <c r="EL13" s="235"/>
      <c r="EM13" s="235"/>
      <c r="EN13" s="235"/>
      <c r="EO13" s="235"/>
      <c r="EP13" s="235"/>
      <c r="EQ13" s="235"/>
      <c r="ER13" s="235">
        <f t="shared" si="23"/>
        <v>0</v>
      </c>
      <c r="ES13" s="235">
        <f t="shared" si="53"/>
        <v>0</v>
      </c>
      <c r="ET13" s="235">
        <f t="shared" si="54"/>
        <v>0</v>
      </c>
      <c r="EU13" s="235">
        <v>0</v>
      </c>
      <c r="EV13" s="235">
        <v>224</v>
      </c>
      <c r="EW13" s="235">
        <v>374</v>
      </c>
      <c r="EX13" s="235">
        <f t="shared" si="47"/>
        <v>689</v>
      </c>
      <c r="EY13" s="235">
        <f t="shared" si="25"/>
        <v>1077.4000000000001</v>
      </c>
      <c r="EZ13" s="235">
        <f>SUM(DK13:DN13)</f>
        <v>1338</v>
      </c>
      <c r="FA13" s="235"/>
      <c r="FB13" s="235"/>
      <c r="FC13" s="235"/>
      <c r="FD13" s="235"/>
      <c r="FE13" s="235"/>
      <c r="FF13" s="235"/>
      <c r="FG13" s="235"/>
      <c r="FH13" s="235"/>
      <c r="FI13" s="235"/>
      <c r="FJ13" s="235"/>
      <c r="FM13"/>
    </row>
    <row r="14" spans="1:169" s="254" customFormat="1" x14ac:dyDescent="0.2">
      <c r="B14" t="s">
        <v>1681</v>
      </c>
      <c r="C14" s="76"/>
      <c r="D14" s="76"/>
      <c r="E14" s="76"/>
      <c r="F14" s="76"/>
      <c r="G14" s="76"/>
      <c r="H14" s="76"/>
      <c r="I14" s="76"/>
      <c r="J14" s="76"/>
      <c r="K14" s="76"/>
      <c r="L14" s="76"/>
      <c r="M14" s="76"/>
      <c r="N14" s="76"/>
      <c r="O14" s="76"/>
      <c r="P14" s="76"/>
      <c r="Q14" s="76"/>
      <c r="R14" s="76"/>
      <c r="S14" s="236"/>
      <c r="T14" s="236"/>
      <c r="U14" s="236"/>
      <c r="V14" s="236"/>
      <c r="W14" s="236"/>
      <c r="X14" s="236"/>
      <c r="Y14" s="236"/>
      <c r="Z14" s="236"/>
      <c r="AA14" s="236"/>
      <c r="AB14" s="236"/>
      <c r="AC14" s="236"/>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243"/>
      <c r="BB14" s="243"/>
      <c r="BC14" s="243"/>
      <c r="BD14" s="243"/>
      <c r="BE14" s="243"/>
      <c r="BF14" s="243"/>
      <c r="BG14" s="243"/>
      <c r="BH14" s="243"/>
      <c r="BI14" s="243"/>
      <c r="BJ14" s="243"/>
      <c r="BK14" s="243"/>
      <c r="BL14" s="243"/>
      <c r="BM14" s="243"/>
      <c r="BN14" s="243"/>
      <c r="BO14" s="243"/>
      <c r="BP14" s="243"/>
      <c r="BQ14" s="243"/>
      <c r="BR14" s="243"/>
      <c r="BS14" s="243"/>
      <c r="BT14" s="243">
        <v>628</v>
      </c>
      <c r="BU14" s="243">
        <v>593</v>
      </c>
      <c r="BV14" s="243">
        <v>609</v>
      </c>
      <c r="BW14" s="243">
        <v>574</v>
      </c>
      <c r="BX14" s="243">
        <v>509</v>
      </c>
      <c r="BY14" s="243">
        <v>465</v>
      </c>
      <c r="BZ14" s="243">
        <v>517</v>
      </c>
      <c r="CA14" s="243">
        <v>488</v>
      </c>
      <c r="CB14" s="243">
        <v>492</v>
      </c>
      <c r="CC14" s="243">
        <v>409</v>
      </c>
      <c r="CD14" s="243">
        <v>415</v>
      </c>
      <c r="CE14" s="243">
        <v>477</v>
      </c>
      <c r="CF14" s="243">
        <v>450</v>
      </c>
      <c r="CG14" s="243">
        <v>463</v>
      </c>
      <c r="CH14" s="243">
        <v>431</v>
      </c>
      <c r="CI14" s="243">
        <v>494</v>
      </c>
      <c r="CJ14" s="243">
        <v>437</v>
      </c>
      <c r="CK14" s="243">
        <v>409</v>
      </c>
      <c r="CL14" s="243">
        <v>409</v>
      </c>
      <c r="CM14" s="243">
        <v>446</v>
      </c>
      <c r="CN14" s="243">
        <v>401</v>
      </c>
      <c r="CO14" s="243">
        <v>384</v>
      </c>
      <c r="CP14" s="243">
        <v>383</v>
      </c>
      <c r="CQ14" s="243">
        <v>435</v>
      </c>
      <c r="CR14" s="243">
        <v>406</v>
      </c>
      <c r="CS14" s="243">
        <v>377</v>
      </c>
      <c r="CT14" s="243">
        <v>414</v>
      </c>
      <c r="CU14" s="243">
        <v>422</v>
      </c>
      <c r="CV14" s="243">
        <v>464</v>
      </c>
      <c r="CW14" s="243">
        <v>388</v>
      </c>
      <c r="CX14" s="243">
        <v>445</v>
      </c>
      <c r="CY14" s="243">
        <v>408</v>
      </c>
      <c r="CZ14" s="243">
        <v>393</v>
      </c>
      <c r="DA14" s="243">
        <v>374</v>
      </c>
      <c r="DB14" s="243">
        <v>449</v>
      </c>
      <c r="DC14" s="243">
        <v>423</v>
      </c>
      <c r="DD14" s="243">
        <v>386</v>
      </c>
      <c r="DE14" s="243">
        <v>340</v>
      </c>
      <c r="DF14" s="243">
        <v>404</v>
      </c>
      <c r="DG14" s="243">
        <v>345</v>
      </c>
      <c r="DH14" s="243">
        <v>294</v>
      </c>
      <c r="DI14" s="243">
        <v>281.3</v>
      </c>
      <c r="DJ14" s="243">
        <v>255</v>
      </c>
      <c r="DK14" s="243">
        <f t="shared" ref="DK14" si="67">DG14</f>
        <v>345</v>
      </c>
      <c r="DL14" s="243">
        <f t="shared" ref="DL14" si="68">DH14</f>
        <v>294</v>
      </c>
      <c r="DM14" s="243">
        <f t="shared" ref="DM14" si="69">DI14</f>
        <v>281.3</v>
      </c>
      <c r="DN14" s="243">
        <f t="shared" ref="DN14" si="70">DJ14</f>
        <v>255</v>
      </c>
      <c r="DP14" s="244"/>
      <c r="DQ14" s="235"/>
      <c r="DR14" s="235"/>
      <c r="DS14" s="235"/>
      <c r="DT14" s="235"/>
      <c r="DU14" s="235"/>
      <c r="DV14" s="235"/>
      <c r="DW14" s="235"/>
      <c r="DX14" s="235"/>
      <c r="DY14" s="235"/>
      <c r="DZ14" s="235"/>
      <c r="EA14" s="235"/>
      <c r="EB14" s="235"/>
      <c r="EC14" s="235"/>
      <c r="ED14" s="235"/>
      <c r="EE14" s="235"/>
      <c r="EF14" s="235"/>
      <c r="EG14" s="235"/>
      <c r="EH14" s="235"/>
      <c r="EI14" s="235"/>
      <c r="EJ14" s="235"/>
      <c r="EK14" s="235"/>
      <c r="EL14" s="235"/>
      <c r="EM14" s="235"/>
      <c r="EN14" s="235"/>
      <c r="EO14" s="235"/>
      <c r="EP14" s="235"/>
      <c r="EQ14" s="235"/>
      <c r="ER14" s="235">
        <f t="shared" si="23"/>
        <v>1821</v>
      </c>
      <c r="ES14" s="235">
        <f t="shared" si="53"/>
        <v>1749</v>
      </c>
      <c r="ET14" s="235">
        <f>SUM(CM14:CP14)</f>
        <v>1614</v>
      </c>
      <c r="EU14" s="235">
        <f>SUM(CQ14:CT14)</f>
        <v>1632</v>
      </c>
      <c r="EV14" s="235">
        <f t="shared" si="41"/>
        <v>1719</v>
      </c>
      <c r="EW14" s="235">
        <f>SUM(CY14:DB14)</f>
        <v>1624</v>
      </c>
      <c r="EX14" s="235">
        <f t="shared" si="47"/>
        <v>1553</v>
      </c>
      <c r="EY14" s="235">
        <f t="shared" si="25"/>
        <v>1175.3</v>
      </c>
      <c r="EZ14" s="235">
        <f>SUM(DK14:DN14)</f>
        <v>1175.3</v>
      </c>
      <c r="FA14" s="235">
        <f t="shared" ref="FA14:FJ14" si="71">+EZ14*0.9</f>
        <v>1057.77</v>
      </c>
      <c r="FB14" s="235">
        <f t="shared" si="71"/>
        <v>951.99300000000005</v>
      </c>
      <c r="FC14" s="235">
        <f t="shared" si="71"/>
        <v>856.79370000000006</v>
      </c>
      <c r="FD14" s="235">
        <f t="shared" si="71"/>
        <v>771.11433000000011</v>
      </c>
      <c r="FE14" s="235">
        <f t="shared" si="71"/>
        <v>694.00289700000008</v>
      </c>
      <c r="FF14" s="235">
        <f t="shared" si="71"/>
        <v>624.60260730000005</v>
      </c>
      <c r="FG14" s="235">
        <f t="shared" si="71"/>
        <v>562.14234657000009</v>
      </c>
      <c r="FH14" s="235">
        <f t="shared" si="71"/>
        <v>505.92811191300007</v>
      </c>
      <c r="FI14" s="235">
        <f t="shared" si="71"/>
        <v>455.33530072170009</v>
      </c>
      <c r="FJ14" s="235">
        <f t="shared" si="71"/>
        <v>409.80177064953011</v>
      </c>
      <c r="FM14"/>
    </row>
    <row r="15" spans="1:169" s="254" customFormat="1" hidden="1" x14ac:dyDescent="0.2">
      <c r="B15" t="s">
        <v>185</v>
      </c>
      <c r="C15" s="76">
        <f>48+14</f>
        <v>62</v>
      </c>
      <c r="D15" s="76">
        <f>42+17</f>
        <v>59</v>
      </c>
      <c r="E15" s="76">
        <f>49+18</f>
        <v>67</v>
      </c>
      <c r="F15" s="76">
        <f>49+22</f>
        <v>71</v>
      </c>
      <c r="G15" s="76">
        <f>55+21</f>
        <v>76</v>
      </c>
      <c r="H15" s="76">
        <f>59+26</f>
        <v>85</v>
      </c>
      <c r="I15" s="76">
        <f>69+31</f>
        <v>100</v>
      </c>
      <c r="J15" s="76">
        <f>61+41</f>
        <v>102</v>
      </c>
      <c r="K15" s="76">
        <f>76+42</f>
        <v>118</v>
      </c>
      <c r="L15" s="76">
        <f>86+45</f>
        <v>131</v>
      </c>
      <c r="M15" s="76">
        <f>87+50</f>
        <v>137</v>
      </c>
      <c r="N15" s="76">
        <f>76+54</f>
        <v>130</v>
      </c>
      <c r="O15" s="76">
        <f>99+56</f>
        <v>155</v>
      </c>
      <c r="P15" s="76">
        <f>121+62</f>
        <v>183</v>
      </c>
      <c r="Q15" s="76">
        <f>94+63</f>
        <v>157</v>
      </c>
      <c r="R15" s="76">
        <f>92+69</f>
        <v>161</v>
      </c>
      <c r="S15" s="76">
        <f>124+74</f>
        <v>198</v>
      </c>
      <c r="T15" s="76">
        <f>161+80</f>
        <v>241</v>
      </c>
      <c r="U15" s="76">
        <f>125+85</f>
        <v>210</v>
      </c>
      <c r="V15" s="76">
        <f>132+94</f>
        <v>226</v>
      </c>
      <c r="W15" s="76">
        <f>187+94</f>
        <v>281</v>
      </c>
      <c r="X15" s="76">
        <f>192+111</f>
        <v>303</v>
      </c>
      <c r="Y15" s="76">
        <f>178+121</f>
        <v>299</v>
      </c>
      <c r="Z15" s="76">
        <f>188+132</f>
        <v>320</v>
      </c>
      <c r="AA15" s="76">
        <f>252+143</f>
        <v>395</v>
      </c>
      <c r="AB15" s="76">
        <f>215+166</f>
        <v>381</v>
      </c>
      <c r="AC15" s="76">
        <f>262+161</f>
        <v>423</v>
      </c>
      <c r="AD15" s="76">
        <f>248+184</f>
        <v>432</v>
      </c>
      <c r="AE15" s="243">
        <f>267+188</f>
        <v>455</v>
      </c>
      <c r="AF15" s="243">
        <f>359+198</f>
        <v>557</v>
      </c>
      <c r="AG15" s="243">
        <f>324+213</f>
        <v>537</v>
      </c>
      <c r="AH15" s="243">
        <f>317+218</f>
        <v>535</v>
      </c>
      <c r="AI15" s="243">
        <f>194+256</f>
        <v>450</v>
      </c>
      <c r="AJ15" s="243">
        <f>116+266</f>
        <v>382</v>
      </c>
      <c r="AK15" s="243">
        <f>142+252</f>
        <v>394</v>
      </c>
      <c r="AL15" s="243">
        <f>130+229</f>
        <v>359</v>
      </c>
      <c r="AM15" s="243">
        <f>110+215</f>
        <v>325</v>
      </c>
      <c r="AN15" s="243">
        <f>121+215</f>
        <v>336</v>
      </c>
      <c r="AO15" s="243">
        <v>342</v>
      </c>
      <c r="AP15" s="243">
        <v>292</v>
      </c>
      <c r="AQ15" s="243">
        <v>303</v>
      </c>
      <c r="AR15" s="243">
        <v>289</v>
      </c>
      <c r="AS15" s="243">
        <v>309</v>
      </c>
      <c r="AT15" s="243">
        <v>264</v>
      </c>
      <c r="AU15" s="243">
        <v>233</v>
      </c>
      <c r="AV15" s="243">
        <v>272</v>
      </c>
      <c r="AW15" s="243">
        <f>54+205</f>
        <v>259</v>
      </c>
      <c r="AX15" s="243">
        <v>272</v>
      </c>
      <c r="AY15" s="243">
        <v>231</v>
      </c>
      <c r="AZ15" s="243">
        <v>218</v>
      </c>
      <c r="BA15" s="243">
        <v>206</v>
      </c>
      <c r="BB15" s="243">
        <v>233</v>
      </c>
      <c r="BC15" s="243">
        <v>184</v>
      </c>
      <c r="BD15" s="243">
        <v>184</v>
      </c>
      <c r="BE15" s="243">
        <v>184</v>
      </c>
      <c r="BF15" s="243">
        <v>196</v>
      </c>
      <c r="BG15" s="243">
        <v>127</v>
      </c>
      <c r="BH15" s="243">
        <v>167</v>
      </c>
      <c r="BI15" s="243">
        <v>155</v>
      </c>
      <c r="BJ15" s="243">
        <v>140</v>
      </c>
      <c r="BK15" s="243"/>
      <c r="BL15" s="243"/>
      <c r="BM15" s="243"/>
      <c r="BN15" s="243"/>
      <c r="BO15" s="243"/>
      <c r="BP15" s="243"/>
      <c r="BQ15" s="243"/>
      <c r="BR15" s="243"/>
      <c r="BS15" s="243"/>
      <c r="BT15" s="243"/>
      <c r="BU15" s="243"/>
      <c r="BV15" s="243"/>
      <c r="BW15" s="243"/>
      <c r="BX15" s="243"/>
      <c r="BY15" s="243"/>
      <c r="BZ15" s="243"/>
      <c r="CA15" s="243"/>
      <c r="CB15" s="243"/>
      <c r="CC15" s="243"/>
      <c r="CD15" s="243"/>
      <c r="CE15" s="243"/>
      <c r="CF15" s="243"/>
      <c r="CG15" s="243"/>
      <c r="CH15" s="243"/>
      <c r="CI15" s="243"/>
      <c r="CJ15" s="243"/>
      <c r="CK15" s="243"/>
      <c r="CL15" s="243"/>
      <c r="CM15" s="243"/>
      <c r="CN15" s="243"/>
      <c r="CO15" s="243"/>
      <c r="CP15" s="243"/>
      <c r="CQ15" s="243"/>
      <c r="CR15" s="243"/>
      <c r="CS15" s="243"/>
      <c r="CT15" s="243"/>
      <c r="CU15" s="243"/>
      <c r="CV15" s="243"/>
      <c r="CW15" s="243"/>
      <c r="CX15" s="243"/>
      <c r="CY15" s="243"/>
      <c r="CZ15" s="243"/>
      <c r="DA15" s="243"/>
      <c r="DB15" s="243"/>
      <c r="DC15" s="243"/>
      <c r="DD15" s="243"/>
      <c r="DE15" s="243"/>
      <c r="DF15" s="243"/>
      <c r="DG15" s="243"/>
      <c r="DH15" s="243"/>
      <c r="DI15" s="243"/>
      <c r="DJ15" s="243"/>
      <c r="DK15" s="243"/>
      <c r="DL15" s="243"/>
      <c r="DM15" s="243"/>
      <c r="DN15" s="243"/>
      <c r="DP15" s="271"/>
      <c r="DQ15" s="271"/>
      <c r="DR15" s="271"/>
      <c r="DS15" s="271"/>
      <c r="DT15" s="271"/>
      <c r="DU15" s="271"/>
      <c r="DV15" s="235">
        <v>132</v>
      </c>
      <c r="DW15" s="235">
        <v>170</v>
      </c>
      <c r="DX15" s="235">
        <f>SUM(C15:F15)</f>
        <v>259</v>
      </c>
      <c r="DY15" s="235">
        <f>SUM(G15:J15)</f>
        <v>363</v>
      </c>
      <c r="DZ15" s="235">
        <f>SUM(K15:N15)</f>
        <v>516</v>
      </c>
      <c r="EA15" s="235">
        <f>SUM(O15:R15)</f>
        <v>656</v>
      </c>
      <c r="EB15" s="235">
        <f>SUM(S15:V15)</f>
        <v>875</v>
      </c>
      <c r="EC15" s="235">
        <f>SUM(W15:Z15)</f>
        <v>1203</v>
      </c>
      <c r="ED15" s="235">
        <f>SUM(AA15:AD15)</f>
        <v>1631</v>
      </c>
      <c r="EE15" s="235">
        <f>SUM(AE15:AH15)</f>
        <v>2084</v>
      </c>
      <c r="EF15" s="235">
        <v>1585</v>
      </c>
      <c r="EG15" s="235">
        <f>SUM(AM15:AP15)</f>
        <v>1295</v>
      </c>
      <c r="EH15" s="235">
        <f>SUM(AQ15:AT15)</f>
        <v>1165</v>
      </c>
      <c r="EI15" s="235">
        <f>SUM(AU15:AX15)</f>
        <v>1036</v>
      </c>
      <c r="EJ15" s="235">
        <f>SUM(AY15:BB15)</f>
        <v>888</v>
      </c>
      <c r="EK15" s="235">
        <f>SUM(BC15:BF15)</f>
        <v>748</v>
      </c>
      <c r="EL15" s="235">
        <f>SUM(BG15:BJ15)</f>
        <v>589</v>
      </c>
      <c r="EM15" s="235"/>
      <c r="EN15" s="235"/>
      <c r="EO15" s="235"/>
      <c r="EP15" s="235"/>
      <c r="EQ15" s="235"/>
      <c r="ER15" s="235">
        <f t="shared" si="23"/>
        <v>0</v>
      </c>
      <c r="ES15" s="235"/>
      <c r="ET15" s="235"/>
      <c r="EU15" s="235">
        <f t="shared" ref="EU15:EU18" si="72">SUM(CQ15:CT15)</f>
        <v>0</v>
      </c>
      <c r="EV15" s="235">
        <f t="shared" ref="EV15:EV18" si="73">SUM(CU15:CX15)</f>
        <v>0</v>
      </c>
      <c r="EW15" s="235">
        <f t="shared" ref="EW15:EW18" si="74">SUM(CY15:DB15)</f>
        <v>0</v>
      </c>
      <c r="EX15" s="235">
        <f t="shared" si="47"/>
        <v>0</v>
      </c>
      <c r="EY15" s="235">
        <f t="shared" si="25"/>
        <v>0</v>
      </c>
      <c r="EZ15" s="235"/>
      <c r="FA15" s="235"/>
      <c r="FB15" s="235"/>
      <c r="FC15" s="235"/>
      <c r="FD15" s="235"/>
      <c r="FE15" s="235"/>
      <c r="FF15" s="235"/>
      <c r="FG15" s="235"/>
      <c r="FH15" s="235"/>
      <c r="FI15" s="235"/>
      <c r="FJ15" s="235"/>
      <c r="FM15" t="s">
        <v>107</v>
      </c>
    </row>
    <row r="16" spans="1:169" s="254" customFormat="1" hidden="1" x14ac:dyDescent="0.2">
      <c r="B16" t="s">
        <v>328</v>
      </c>
      <c r="C16" s="76"/>
      <c r="D16" s="76"/>
      <c r="E16" s="76"/>
      <c r="F16" s="76"/>
      <c r="G16" s="76"/>
      <c r="H16" s="76"/>
      <c r="I16" s="76"/>
      <c r="J16" s="76"/>
      <c r="K16" s="76"/>
      <c r="L16" s="76"/>
      <c r="M16" s="76"/>
      <c r="N16" s="76"/>
      <c r="O16" s="76"/>
      <c r="P16" s="76"/>
      <c r="Q16" s="76">
        <v>77</v>
      </c>
      <c r="R16" s="76"/>
      <c r="S16" s="76">
        <v>123</v>
      </c>
      <c r="T16" s="76">
        <v>119</v>
      </c>
      <c r="U16" s="76">
        <v>169</v>
      </c>
      <c r="V16" s="76">
        <v>145</v>
      </c>
      <c r="W16" s="76">
        <f>104+56</f>
        <v>160</v>
      </c>
      <c r="X16" s="76">
        <f>105+62</f>
        <v>167</v>
      </c>
      <c r="Y16" s="76">
        <f>124+63</f>
        <v>187</v>
      </c>
      <c r="Z16" s="76">
        <f>109+74</f>
        <v>183</v>
      </c>
      <c r="AA16" s="76">
        <f>140+83</f>
        <v>223</v>
      </c>
      <c r="AB16" s="76">
        <f>127+97</f>
        <v>224</v>
      </c>
      <c r="AC16" s="76">
        <f>152+98</f>
        <v>250</v>
      </c>
      <c r="AD16" s="76">
        <f>151+119</f>
        <v>270</v>
      </c>
      <c r="AE16" s="243">
        <f>123+125</f>
        <v>248</v>
      </c>
      <c r="AF16" s="243">
        <f>131+132</f>
        <v>263</v>
      </c>
      <c r="AG16" s="243">
        <f>148+129</f>
        <v>277</v>
      </c>
      <c r="AH16" s="243">
        <f>179+151</f>
        <v>330</v>
      </c>
      <c r="AI16" s="243">
        <f>126+152</f>
        <v>278</v>
      </c>
      <c r="AJ16" s="243">
        <f>128+153</f>
        <v>281</v>
      </c>
      <c r="AK16" s="243">
        <f>154+146</f>
        <v>300</v>
      </c>
      <c r="AL16" s="243">
        <f>150+159</f>
        <v>309</v>
      </c>
      <c r="AM16" s="243">
        <f>146+160</f>
        <v>306</v>
      </c>
      <c r="AN16" s="243">
        <f>145+163</f>
        <v>308</v>
      </c>
      <c r="AO16" s="243">
        <v>307</v>
      </c>
      <c r="AP16" s="243">
        <v>318</v>
      </c>
      <c r="AQ16" s="243">
        <v>336</v>
      </c>
      <c r="AR16" s="243">
        <v>336</v>
      </c>
      <c r="AS16" s="243">
        <v>338</v>
      </c>
      <c r="AT16" s="243">
        <v>347</v>
      </c>
      <c r="AU16" s="243">
        <v>277</v>
      </c>
      <c r="AV16" s="243">
        <v>325</v>
      </c>
      <c r="AW16" s="243">
        <v>282</v>
      </c>
      <c r="AX16" s="243">
        <v>274</v>
      </c>
      <c r="AY16" s="243">
        <v>263</v>
      </c>
      <c r="AZ16" s="243">
        <v>260</v>
      </c>
      <c r="BA16" s="243">
        <v>261</v>
      </c>
      <c r="BB16" s="243">
        <v>312</v>
      </c>
      <c r="BC16" s="243">
        <v>260</v>
      </c>
      <c r="BD16" s="243">
        <v>254</v>
      </c>
      <c r="BE16" s="243">
        <v>240</v>
      </c>
      <c r="BF16" s="243">
        <v>252</v>
      </c>
      <c r="BG16" s="243">
        <v>239</v>
      </c>
      <c r="BH16" s="243">
        <v>247</v>
      </c>
      <c r="BI16" s="243">
        <v>235</v>
      </c>
      <c r="BJ16" s="243">
        <v>254</v>
      </c>
      <c r="BK16" s="243">
        <v>222</v>
      </c>
      <c r="BL16" s="243">
        <v>232</v>
      </c>
      <c r="BM16" s="243">
        <v>195</v>
      </c>
      <c r="BN16" s="243">
        <v>186</v>
      </c>
      <c r="BO16" s="243">
        <v>152</v>
      </c>
      <c r="BP16" s="243">
        <v>156</v>
      </c>
      <c r="BQ16" s="243">
        <v>133</v>
      </c>
      <c r="BR16" s="243">
        <v>29</v>
      </c>
      <c r="BS16" s="243"/>
      <c r="BT16" s="243"/>
      <c r="BU16" s="243"/>
      <c r="BV16" s="243"/>
      <c r="BW16" s="243"/>
      <c r="BX16" s="243"/>
      <c r="BY16" s="243"/>
      <c r="BZ16" s="243"/>
      <c r="CA16" s="243"/>
      <c r="CB16" s="243"/>
      <c r="CC16" s="243"/>
      <c r="CD16" s="243"/>
      <c r="CE16" s="243"/>
      <c r="CF16" s="243"/>
      <c r="CG16" s="243"/>
      <c r="CH16" s="243"/>
      <c r="CI16" s="243"/>
      <c r="CJ16" s="243"/>
      <c r="CK16" s="243"/>
      <c r="CL16" s="243"/>
      <c r="CM16" s="243"/>
      <c r="CN16" s="243"/>
      <c r="CO16" s="243"/>
      <c r="CP16" s="243"/>
      <c r="CQ16" s="243"/>
      <c r="CR16" s="243"/>
      <c r="CS16" s="243"/>
      <c r="CT16" s="243"/>
      <c r="CU16" s="243"/>
      <c r="CV16" s="243"/>
      <c r="CW16" s="243"/>
      <c r="CX16" s="243"/>
      <c r="CY16" s="243"/>
      <c r="CZ16" s="243"/>
      <c r="DA16" s="243"/>
      <c r="DB16" s="243"/>
      <c r="DC16" s="243"/>
      <c r="DD16" s="243"/>
      <c r="DE16" s="243"/>
      <c r="DF16" s="243"/>
      <c r="DG16" s="243"/>
      <c r="DH16" s="243"/>
      <c r="DI16" s="243"/>
      <c r="DJ16" s="243"/>
      <c r="DK16" s="243"/>
      <c r="DL16" s="243"/>
      <c r="DM16" s="243"/>
      <c r="DN16" s="243"/>
      <c r="DP16" s="235"/>
      <c r="DQ16" s="235"/>
      <c r="DR16" s="235"/>
      <c r="DS16" s="235"/>
      <c r="DT16" s="235"/>
      <c r="DU16" s="235"/>
      <c r="DV16" s="235"/>
      <c r="DW16" s="235"/>
      <c r="DX16" s="235"/>
      <c r="DY16" s="235"/>
      <c r="DZ16" s="235">
        <v>65</v>
      </c>
      <c r="EA16" s="235">
        <v>297</v>
      </c>
      <c r="EB16" s="235">
        <f>SUM(S16:V16)</f>
        <v>556</v>
      </c>
      <c r="EC16" s="235">
        <f>SUM(W16:Z16)</f>
        <v>697</v>
      </c>
      <c r="ED16" s="235">
        <f>SUM(AA16:AD16)</f>
        <v>967</v>
      </c>
      <c r="EE16" s="235">
        <f>SUM(AE16:AH16)</f>
        <v>1118</v>
      </c>
      <c r="EF16" s="235">
        <v>1169</v>
      </c>
      <c r="EG16" s="235">
        <f>SUM(AM16:AP16)</f>
        <v>1239</v>
      </c>
      <c r="EH16" s="235">
        <f t="shared" ref="EH16:EH17" si="75">SUM(AQ16:AT16)</f>
        <v>1357</v>
      </c>
      <c r="EI16" s="235">
        <f t="shared" ref="EI16:EI18" si="76">SUM(AU16:AX16)</f>
        <v>1158</v>
      </c>
      <c r="EJ16" s="235">
        <f t="shared" ref="EJ16:EJ18" si="77">SUM(AY16:BB16)</f>
        <v>1096</v>
      </c>
      <c r="EK16" s="235">
        <f t="shared" si="38"/>
        <v>1006</v>
      </c>
      <c r="EL16" s="235">
        <f t="shared" ref="EL16:EL39" si="78">SUM(BG16:BJ16)</f>
        <v>975</v>
      </c>
      <c r="EM16" s="235">
        <f t="shared" ref="EM16:EM18" si="79">SUM(BK16:BN16)</f>
        <v>835</v>
      </c>
      <c r="EN16" s="235">
        <f>SUM(BO16:BR16)</f>
        <v>470</v>
      </c>
      <c r="EO16" s="235"/>
      <c r="EP16" s="76"/>
      <c r="EQ16" s="76"/>
      <c r="ER16" s="235">
        <f t="shared" si="23"/>
        <v>0</v>
      </c>
      <c r="ES16" s="76"/>
      <c r="ET16" s="76"/>
      <c r="EU16" s="235">
        <f t="shared" si="72"/>
        <v>0</v>
      </c>
      <c r="EV16" s="235">
        <f t="shared" si="73"/>
        <v>0</v>
      </c>
      <c r="EW16" s="235">
        <f t="shared" si="74"/>
        <v>0</v>
      </c>
      <c r="EX16" s="235">
        <f t="shared" si="47"/>
        <v>0</v>
      </c>
      <c r="EY16" s="235">
        <f t="shared" si="25"/>
        <v>0</v>
      </c>
      <c r="EZ16"/>
      <c r="FA16"/>
      <c r="FB16"/>
      <c r="FC16"/>
      <c r="FD16"/>
      <c r="FE16"/>
      <c r="FF16"/>
      <c r="FG16"/>
      <c r="FH16"/>
      <c r="FI16"/>
      <c r="FJ16"/>
      <c r="FM16" t="s">
        <v>329</v>
      </c>
    </row>
    <row r="17" spans="2:169" hidden="1" x14ac:dyDescent="0.2">
      <c r="B17" t="s">
        <v>324</v>
      </c>
      <c r="K17" s="76">
        <f>20+9</f>
        <v>29</v>
      </c>
      <c r="L17" s="76">
        <f>27+12</f>
        <v>39</v>
      </c>
      <c r="M17" s="76">
        <f>30+13</f>
        <v>43</v>
      </c>
      <c r="N17" s="76">
        <f>25+17</f>
        <v>42</v>
      </c>
      <c r="O17" s="76">
        <f>54+18</f>
        <v>72</v>
      </c>
      <c r="P17" s="76">
        <f>68+21</f>
        <v>89</v>
      </c>
      <c r="Q17" s="76">
        <f>54+21</f>
        <v>75</v>
      </c>
      <c r="R17" s="76">
        <f>49+24</f>
        <v>73</v>
      </c>
      <c r="S17" s="76">
        <f>80+27</f>
        <v>107</v>
      </c>
      <c r="T17" s="76">
        <f>100+29</f>
        <v>129</v>
      </c>
      <c r="U17" s="76">
        <f>68+30</f>
        <v>98</v>
      </c>
      <c r="V17" s="76">
        <f>110+33</f>
        <v>143</v>
      </c>
      <c r="W17" s="76">
        <f>117+32</f>
        <v>149</v>
      </c>
      <c r="X17" s="76">
        <f>109+39</f>
        <v>148</v>
      </c>
      <c r="Y17" s="76">
        <f>143+41</f>
        <v>184</v>
      </c>
      <c r="Z17" s="76">
        <f>159+47</f>
        <v>206</v>
      </c>
      <c r="AA17" s="76">
        <f>181+50</f>
        <v>231</v>
      </c>
      <c r="AB17" s="76">
        <f>205+58</f>
        <v>263</v>
      </c>
      <c r="AC17" s="76">
        <f>192+60</f>
        <v>252</v>
      </c>
      <c r="AD17" s="76">
        <f>226+70</f>
        <v>296</v>
      </c>
      <c r="AE17" s="243">
        <f>254+75</f>
        <v>329</v>
      </c>
      <c r="AF17" s="243">
        <f>257+78</f>
        <v>335</v>
      </c>
      <c r="AG17" s="243">
        <f>287+79</f>
        <v>366</v>
      </c>
      <c r="AH17" s="243">
        <f>293+88</f>
        <v>381</v>
      </c>
      <c r="AI17" s="243">
        <f>310+96</f>
        <v>406</v>
      </c>
      <c r="AJ17" s="243">
        <f>334+97</f>
        <v>431</v>
      </c>
      <c r="AK17" s="243">
        <f>327+102</f>
        <v>429</v>
      </c>
      <c r="AL17" s="243">
        <f>319+94</f>
        <v>413</v>
      </c>
      <c r="AM17" s="243">
        <f>373+98</f>
        <v>471</v>
      </c>
      <c r="AN17" s="243">
        <f>393+102</f>
        <v>495</v>
      </c>
      <c r="AO17" s="243">
        <v>533</v>
      </c>
      <c r="AP17" s="243">
        <v>529</v>
      </c>
      <c r="AQ17" s="243">
        <v>610</v>
      </c>
      <c r="AR17" s="243">
        <v>578</v>
      </c>
      <c r="AS17" s="243">
        <v>613</v>
      </c>
      <c r="AT17" s="243">
        <v>652</v>
      </c>
      <c r="AU17" s="243">
        <v>646</v>
      </c>
      <c r="AV17" s="243">
        <v>677</v>
      </c>
      <c r="AW17" s="243">
        <v>728</v>
      </c>
      <c r="AX17" s="243">
        <v>680</v>
      </c>
      <c r="AY17" s="243">
        <v>602</v>
      </c>
      <c r="AZ17" s="243">
        <v>182</v>
      </c>
      <c r="BA17" s="243">
        <v>175</v>
      </c>
      <c r="BB17" s="243">
        <v>192</v>
      </c>
      <c r="BC17" s="243">
        <v>148</v>
      </c>
      <c r="BD17" s="243">
        <v>142</v>
      </c>
      <c r="BE17" s="243">
        <v>127</v>
      </c>
      <c r="BF17" s="243">
        <v>121</v>
      </c>
      <c r="BG17" s="243">
        <v>129</v>
      </c>
      <c r="BH17" s="243">
        <v>121</v>
      </c>
      <c r="BI17" s="243">
        <v>117</v>
      </c>
      <c r="BJ17" s="243">
        <v>121</v>
      </c>
      <c r="BK17" s="243"/>
      <c r="BL17" s="243"/>
      <c r="BM17" s="243"/>
      <c r="BN17" s="243"/>
      <c r="BO17" s="243"/>
      <c r="BP17" s="243"/>
      <c r="BQ17" s="243"/>
      <c r="BR17" s="243"/>
      <c r="BS17" s="243"/>
      <c r="BT17" s="243"/>
      <c r="BU17" s="243"/>
      <c r="BV17" s="243"/>
      <c r="BW17" s="243"/>
      <c r="BX17" s="243"/>
      <c r="BY17" s="243"/>
      <c r="BZ17" s="243"/>
      <c r="CA17" s="243"/>
      <c r="CB17" s="243"/>
      <c r="CC17" s="243"/>
      <c r="CD17" s="243"/>
      <c r="CE17" s="243"/>
      <c r="CF17" s="243"/>
      <c r="CG17" s="243"/>
      <c r="CH17" s="243"/>
      <c r="CI17" s="243"/>
      <c r="CJ17" s="243"/>
      <c r="CK17" s="243"/>
      <c r="CL17" s="243"/>
      <c r="CM17" s="243"/>
      <c r="CN17" s="243"/>
      <c r="CO17" s="243"/>
      <c r="CP17" s="243"/>
      <c r="CQ17" s="243"/>
      <c r="CR17" s="243"/>
      <c r="CS17" s="243"/>
      <c r="CT17" s="243"/>
      <c r="CU17" s="243"/>
      <c r="CV17" s="243"/>
      <c r="CW17" s="243"/>
      <c r="CX17" s="243"/>
      <c r="CY17" s="243"/>
      <c r="CZ17" s="243"/>
      <c r="DA17" s="243"/>
      <c r="DB17" s="243"/>
      <c r="DC17" s="243"/>
      <c r="DD17" s="243"/>
      <c r="DE17" s="243"/>
      <c r="DF17" s="243"/>
      <c r="DG17" s="243"/>
      <c r="DH17" s="243"/>
      <c r="DI17" s="243"/>
      <c r="DJ17" s="243"/>
      <c r="DK17" s="243"/>
      <c r="DL17" s="243"/>
      <c r="DM17" s="243"/>
      <c r="DN17" s="243"/>
      <c r="DP17" s="235"/>
      <c r="DQ17" s="235"/>
      <c r="DR17" s="235"/>
      <c r="DS17" s="235"/>
      <c r="DT17" s="235"/>
      <c r="DU17" s="235"/>
      <c r="DV17" s="235"/>
      <c r="DW17" s="235"/>
      <c r="DX17" s="235">
        <v>35</v>
      </c>
      <c r="DY17" s="235">
        <f>65+22</f>
        <v>87</v>
      </c>
      <c r="DZ17" s="235">
        <f>SUM(K17:N17)</f>
        <v>153</v>
      </c>
      <c r="EA17" s="235">
        <f>SUM(O17:R17)</f>
        <v>309</v>
      </c>
      <c r="EB17" s="235">
        <f>SUM(S17:V17)</f>
        <v>477</v>
      </c>
      <c r="EC17" s="235">
        <f>SUM(W17:Z17)</f>
        <v>687</v>
      </c>
      <c r="ED17" s="235">
        <f>SUM(AA17:AD17)</f>
        <v>1042</v>
      </c>
      <c r="EE17" s="235">
        <f>SUM(AE17:AH17)</f>
        <v>1411</v>
      </c>
      <c r="EF17" s="235">
        <v>1680</v>
      </c>
      <c r="EG17" s="235">
        <f>SUM(AM17:AP17)</f>
        <v>2028</v>
      </c>
      <c r="EH17" s="235">
        <f t="shared" si="75"/>
        <v>2453</v>
      </c>
      <c r="EI17" s="235">
        <f t="shared" si="76"/>
        <v>2731</v>
      </c>
      <c r="EJ17" s="235">
        <f t="shared" si="77"/>
        <v>1151</v>
      </c>
      <c r="EK17" s="235">
        <f t="shared" si="38"/>
        <v>538</v>
      </c>
      <c r="EL17" s="235">
        <f t="shared" si="78"/>
        <v>488</v>
      </c>
      <c r="EM17" s="235"/>
      <c r="EN17" s="235"/>
      <c r="EO17" s="235"/>
      <c r="ER17" s="235">
        <f t="shared" si="23"/>
        <v>0</v>
      </c>
      <c r="EU17" s="235">
        <f t="shared" si="72"/>
        <v>0</v>
      </c>
      <c r="EV17" s="235">
        <f t="shared" si="73"/>
        <v>0</v>
      </c>
      <c r="EW17" s="235">
        <f t="shared" si="74"/>
        <v>0</v>
      </c>
      <c r="EX17" s="235">
        <f t="shared" si="47"/>
        <v>0</v>
      </c>
      <c r="EY17" s="235">
        <f t="shared" si="25"/>
        <v>0</v>
      </c>
      <c r="FK17" s="254"/>
    </row>
    <row r="18" spans="2:169" x14ac:dyDescent="0.2">
      <c r="B18" t="s">
        <v>1229</v>
      </c>
      <c r="W18" s="268"/>
      <c r="X18" s="268"/>
      <c r="Y18" s="268"/>
      <c r="Z18" s="268"/>
      <c r="AA18" s="268"/>
      <c r="AB18" s="268"/>
      <c r="AC18" s="268"/>
      <c r="AD18" s="268"/>
      <c r="AE18" s="269"/>
      <c r="AF18" s="243"/>
      <c r="AG18" s="243"/>
      <c r="AH18" s="243"/>
      <c r="AI18" s="243"/>
      <c r="AJ18" s="243"/>
      <c r="AK18" s="243"/>
      <c r="AL18" s="243"/>
      <c r="AM18" s="243"/>
      <c r="AN18" s="243"/>
      <c r="AO18" s="243"/>
      <c r="AP18" s="243"/>
      <c r="AQ18" s="243"/>
      <c r="AR18" s="243"/>
      <c r="AS18" s="243"/>
      <c r="AT18" s="243"/>
      <c r="AU18" s="243">
        <v>74</v>
      </c>
      <c r="AV18" s="243">
        <v>88</v>
      </c>
      <c r="AW18" s="243">
        <v>79</v>
      </c>
      <c r="AX18" s="243">
        <v>93</v>
      </c>
      <c r="AY18" s="243">
        <v>122</v>
      </c>
      <c r="AZ18" s="243">
        <v>140</v>
      </c>
      <c r="BA18" s="243">
        <v>151</v>
      </c>
      <c r="BB18" s="243">
        <v>179</v>
      </c>
      <c r="BC18" s="243">
        <v>187</v>
      </c>
      <c r="BD18" s="243">
        <v>204</v>
      </c>
      <c r="BE18" s="243">
        <v>230</v>
      </c>
      <c r="BF18" s="243">
        <v>236</v>
      </c>
      <c r="BG18" s="243">
        <v>266</v>
      </c>
      <c r="BH18" s="243">
        <v>313</v>
      </c>
      <c r="BI18" s="243">
        <v>316</v>
      </c>
      <c r="BJ18" s="243">
        <v>316</v>
      </c>
      <c r="BK18" s="243">
        <v>324</v>
      </c>
      <c r="BL18" s="243">
        <v>373</v>
      </c>
      <c r="BM18" s="243">
        <v>364</v>
      </c>
      <c r="BN18" s="243">
        <v>353</v>
      </c>
      <c r="BO18" s="243">
        <v>367</v>
      </c>
      <c r="BP18" s="243">
        <v>435</v>
      </c>
      <c r="BQ18" s="243">
        <v>410</v>
      </c>
      <c r="BR18" s="243">
        <v>461</v>
      </c>
      <c r="BS18" s="243">
        <v>445</v>
      </c>
      <c r="BT18" s="243">
        <v>492</v>
      </c>
      <c r="BU18" s="243">
        <v>446</v>
      </c>
      <c r="BV18" s="243">
        <v>448</v>
      </c>
      <c r="BW18" s="243">
        <v>427</v>
      </c>
      <c r="BX18" s="243">
        <v>448</v>
      </c>
      <c r="BY18" s="243">
        <v>468</v>
      </c>
      <c r="BZ18" s="243">
        <v>467</v>
      </c>
      <c r="CA18" s="243">
        <v>452</v>
      </c>
      <c r="CB18" s="243">
        <v>459</v>
      </c>
      <c r="CC18" s="243">
        <v>493</v>
      </c>
      <c r="CD18" s="243">
        <v>447</v>
      </c>
      <c r="CE18" s="243">
        <v>430</v>
      </c>
      <c r="CF18" s="243">
        <v>454</v>
      </c>
      <c r="CG18" s="243">
        <v>467</v>
      </c>
      <c r="CH18" s="243">
        <v>470</v>
      </c>
      <c r="CI18" s="243">
        <v>478</v>
      </c>
      <c r="CJ18" s="243">
        <v>492</v>
      </c>
      <c r="CK18" s="243">
        <v>490</v>
      </c>
      <c r="CL18" s="243">
        <v>495</v>
      </c>
      <c r="CM18" s="243">
        <v>523</v>
      </c>
      <c r="CN18" s="243">
        <v>535</v>
      </c>
      <c r="CO18" s="243">
        <v>508</v>
      </c>
      <c r="CP18" s="243">
        <v>544</v>
      </c>
      <c r="CQ18" s="243">
        <v>579</v>
      </c>
      <c r="CR18" s="243">
        <v>510</v>
      </c>
      <c r="CS18" s="243">
        <v>526</v>
      </c>
      <c r="CT18" s="243">
        <v>569</v>
      </c>
      <c r="CU18" s="243">
        <v>546</v>
      </c>
      <c r="CV18" s="243">
        <v>505</v>
      </c>
      <c r="CW18" s="243">
        <v>517</v>
      </c>
      <c r="CX18" s="243">
        <v>515</v>
      </c>
      <c r="CY18" s="243">
        <v>501</v>
      </c>
      <c r="CZ18" s="243">
        <v>464</v>
      </c>
      <c r="DA18" s="243">
        <v>485</v>
      </c>
      <c r="DB18" s="243">
        <v>493</v>
      </c>
      <c r="DC18" s="243">
        <v>477</v>
      </c>
      <c r="DD18" s="243">
        <v>491</v>
      </c>
      <c r="DE18" s="243">
        <v>447</v>
      </c>
      <c r="DF18" s="243">
        <v>439</v>
      </c>
      <c r="DG18" s="243">
        <v>418</v>
      </c>
      <c r="DH18" s="243">
        <v>438</v>
      </c>
      <c r="DI18" s="243">
        <v>449</v>
      </c>
      <c r="DJ18" s="243">
        <v>407</v>
      </c>
      <c r="DK18" s="243">
        <f t="shared" ref="DK18" si="80">+DG18*0.9</f>
        <v>376.2</v>
      </c>
      <c r="DL18" s="243">
        <f t="shared" ref="DL18" si="81">+DH18*0.9</f>
        <v>394.2</v>
      </c>
      <c r="DM18" s="243">
        <f t="shared" ref="DM18" si="82">+DI18*0.9</f>
        <v>404.1</v>
      </c>
      <c r="DN18" s="243">
        <f t="shared" ref="DN18" si="83">+DJ18*0.9</f>
        <v>366.3</v>
      </c>
      <c r="EI18" s="235">
        <f t="shared" si="76"/>
        <v>334</v>
      </c>
      <c r="EJ18" s="235">
        <f t="shared" si="77"/>
        <v>592</v>
      </c>
      <c r="EK18" s="235">
        <f t="shared" si="38"/>
        <v>857</v>
      </c>
      <c r="EL18" s="235">
        <f t="shared" si="78"/>
        <v>1211</v>
      </c>
      <c r="EM18" s="235">
        <f t="shared" si="79"/>
        <v>1414</v>
      </c>
      <c r="EN18" s="235">
        <f>SUM(BO18:BR18)</f>
        <v>1673</v>
      </c>
      <c r="EO18" s="235">
        <f>SUM(BS18:BV18)</f>
        <v>1831</v>
      </c>
      <c r="EP18" s="235">
        <f>EO18</f>
        <v>1831</v>
      </c>
      <c r="EQ18" s="235">
        <f>EP18*0.5</f>
        <v>915.5</v>
      </c>
      <c r="ER18" s="235">
        <f t="shared" si="23"/>
        <v>1821</v>
      </c>
      <c r="ES18" s="235">
        <f t="shared" ref="ES18:ES20" si="84">SUM(CI18:CL18)</f>
        <v>1955</v>
      </c>
      <c r="ET18" s="235">
        <f>SUM(CM18:CP18)</f>
        <v>2110</v>
      </c>
      <c r="EU18" s="235">
        <f t="shared" si="72"/>
        <v>2184</v>
      </c>
      <c r="EV18" s="235">
        <f t="shared" si="73"/>
        <v>2083</v>
      </c>
      <c r="EW18" s="235">
        <f t="shared" si="74"/>
        <v>1943</v>
      </c>
      <c r="EX18" s="235">
        <f t="shared" si="47"/>
        <v>1854</v>
      </c>
      <c r="EY18" s="235">
        <f t="shared" si="25"/>
        <v>1712</v>
      </c>
      <c r="EZ18" s="235">
        <f>SUM(DK18:DN18)</f>
        <v>1540.8</v>
      </c>
      <c r="FA18" s="235"/>
      <c r="FB18" s="235"/>
      <c r="FC18" s="235"/>
      <c r="FD18" s="235"/>
      <c r="FE18" s="235"/>
      <c r="FF18" s="235"/>
      <c r="FG18" s="235"/>
      <c r="FH18" s="235"/>
      <c r="FI18" s="235"/>
      <c r="FJ18" s="235"/>
      <c r="FK18" s="254"/>
    </row>
    <row r="19" spans="2:169" ht="12.75" customHeight="1" x14ac:dyDescent="0.2">
      <c r="B19" t="s">
        <v>1623</v>
      </c>
      <c r="W19" s="268"/>
      <c r="X19" s="268"/>
      <c r="Y19" s="268"/>
      <c r="Z19" s="268"/>
      <c r="AA19" s="268"/>
      <c r="AB19" s="268"/>
      <c r="AC19" s="268"/>
      <c r="AD19" s="268"/>
      <c r="AE19" s="269"/>
      <c r="AF19" s="243"/>
      <c r="AG19" s="243"/>
      <c r="AH19" s="243"/>
      <c r="AI19" s="243"/>
      <c r="AJ19" s="243"/>
      <c r="AK19" s="243"/>
      <c r="AL19" s="243"/>
      <c r="AM19" s="243"/>
      <c r="AN19" s="243"/>
      <c r="AO19" s="243"/>
      <c r="AP19" s="243"/>
      <c r="AQ19" s="243"/>
      <c r="AR19" s="243"/>
      <c r="AS19" s="243"/>
      <c r="AT19" s="243"/>
      <c r="AU19" s="243"/>
      <c r="AV19" s="243"/>
      <c r="AW19" s="243"/>
      <c r="AX19" s="243"/>
      <c r="AY19" s="243"/>
      <c r="AZ19" s="243"/>
      <c r="BA19" s="243"/>
      <c r="BB19" s="243"/>
      <c r="BC19" s="243"/>
      <c r="BD19" s="243"/>
      <c r="BE19" s="243"/>
      <c r="BF19" s="243"/>
      <c r="BG19" s="243"/>
      <c r="BH19" s="243"/>
      <c r="BO19" s="243">
        <v>43</v>
      </c>
      <c r="BP19" s="243">
        <v>56</v>
      </c>
      <c r="BQ19" s="243">
        <v>64</v>
      </c>
      <c r="BR19" s="243">
        <v>73</v>
      </c>
      <c r="BS19" s="243">
        <v>81</v>
      </c>
      <c r="BT19" s="243">
        <v>92</v>
      </c>
      <c r="BU19" s="243">
        <v>102</v>
      </c>
      <c r="BV19" s="243">
        <v>90</v>
      </c>
      <c r="BW19" s="243">
        <v>91</v>
      </c>
      <c r="BX19" s="243">
        <v>101</v>
      </c>
      <c r="BY19" s="243">
        <v>111</v>
      </c>
      <c r="BZ19" s="243">
        <v>107</v>
      </c>
      <c r="CA19" s="243">
        <v>119</v>
      </c>
      <c r="CB19" s="243">
        <v>140</v>
      </c>
      <c r="CC19" s="243">
        <v>149</v>
      </c>
      <c r="CD19" s="243">
        <v>165</v>
      </c>
      <c r="CE19" s="243">
        <v>149</v>
      </c>
      <c r="CF19" s="243">
        <v>179</v>
      </c>
      <c r="CG19" s="243">
        <v>194</v>
      </c>
      <c r="CH19" s="243">
        <v>192</v>
      </c>
      <c r="CI19" s="243">
        <v>210</v>
      </c>
      <c r="CJ19" s="243">
        <v>211</v>
      </c>
      <c r="CK19" s="243">
        <v>202</v>
      </c>
      <c r="CL19" s="243">
        <v>193</v>
      </c>
      <c r="CM19" s="243">
        <v>211</v>
      </c>
      <c r="CN19" s="243">
        <v>210</v>
      </c>
      <c r="CO19" s="243">
        <v>218</v>
      </c>
      <c r="CP19" s="243">
        <v>222</v>
      </c>
      <c r="CQ19" s="243">
        <v>224</v>
      </c>
      <c r="CR19" s="243">
        <v>256</v>
      </c>
      <c r="CS19" s="243">
        <v>236</v>
      </c>
      <c r="CT19" s="243">
        <v>248</v>
      </c>
      <c r="CU19" s="243">
        <v>243</v>
      </c>
      <c r="CV19" s="243">
        <v>262</v>
      </c>
      <c r="CW19" s="243">
        <v>259</v>
      </c>
      <c r="CX19" s="243">
        <v>230</v>
      </c>
      <c r="CY19" s="243">
        <v>248</v>
      </c>
      <c r="CZ19" s="243">
        <v>225</v>
      </c>
      <c r="DA19" s="243">
        <v>245</v>
      </c>
      <c r="DB19" s="243">
        <v>290</v>
      </c>
      <c r="DC19" s="243">
        <v>280</v>
      </c>
      <c r="DD19" s="243">
        <v>266</v>
      </c>
      <c r="DE19" s="243">
        <v>297</v>
      </c>
      <c r="DF19" s="243">
        <v>307</v>
      </c>
      <c r="DG19" s="243">
        <v>323</v>
      </c>
      <c r="DH19" s="243">
        <v>297</v>
      </c>
      <c r="DI19" s="243">
        <v>330</v>
      </c>
      <c r="DJ19" s="243">
        <v>322</v>
      </c>
      <c r="DK19" s="243">
        <f t="shared" ref="DK19:DN19" si="85">+DG19*1.1</f>
        <v>355.3</v>
      </c>
      <c r="DL19" s="243">
        <f t="shared" si="85"/>
        <v>326.70000000000005</v>
      </c>
      <c r="DM19" s="243">
        <f t="shared" si="85"/>
        <v>363.00000000000006</v>
      </c>
      <c r="DN19" s="243">
        <f t="shared" si="85"/>
        <v>354.20000000000005</v>
      </c>
      <c r="EI19" s="235"/>
      <c r="EJ19" s="235"/>
      <c r="EK19" s="235"/>
      <c r="EL19" s="235"/>
      <c r="EM19" s="235"/>
      <c r="EN19" s="235"/>
      <c r="EO19" s="235">
        <f>SUM(BS19:BV19)</f>
        <v>365</v>
      </c>
      <c r="EP19" s="235">
        <f>+EO19*1.05</f>
        <v>383.25</v>
      </c>
      <c r="EQ19" s="235">
        <f t="shared" ref="EQ19" si="86">+EP19*1.05</f>
        <v>402.41250000000002</v>
      </c>
      <c r="ER19" s="235">
        <f t="shared" si="23"/>
        <v>714</v>
      </c>
      <c r="ES19" s="235">
        <f t="shared" si="84"/>
        <v>816</v>
      </c>
      <c r="ET19" s="235">
        <f>SUM(CM19:CP19)</f>
        <v>861</v>
      </c>
      <c r="EU19" s="235">
        <f>SUM(CQ19:CT19)</f>
        <v>964</v>
      </c>
      <c r="EV19" s="235">
        <f t="shared" ref="EV19:EV25" si="87">SUM(CU19:CX19)</f>
        <v>994</v>
      </c>
      <c r="EW19" s="235">
        <f>SUM(CY19:DB19)</f>
        <v>1008</v>
      </c>
      <c r="EX19" s="235">
        <f t="shared" si="47"/>
        <v>1150</v>
      </c>
      <c r="EY19" s="235">
        <f t="shared" si="25"/>
        <v>1272</v>
      </c>
      <c r="EZ19" s="235">
        <f>SUM(DK19:DN19)</f>
        <v>1399.2</v>
      </c>
      <c r="FA19" s="235">
        <f t="shared" ref="FA19:FF19" si="88">+EZ19*0.5</f>
        <v>699.6</v>
      </c>
      <c r="FB19" s="235">
        <f t="shared" si="88"/>
        <v>349.8</v>
      </c>
      <c r="FC19" s="235">
        <f t="shared" si="88"/>
        <v>174.9</v>
      </c>
      <c r="FD19" s="235">
        <f t="shared" si="88"/>
        <v>87.45</v>
      </c>
      <c r="FE19" s="235">
        <f t="shared" si="88"/>
        <v>43.725000000000001</v>
      </c>
      <c r="FF19" s="235">
        <f t="shared" si="88"/>
        <v>21.862500000000001</v>
      </c>
      <c r="FG19" s="235">
        <f t="shared" ref="FG19" si="89">+FF19*0.5</f>
        <v>10.93125</v>
      </c>
      <c r="FH19" s="235">
        <f t="shared" ref="FH19" si="90">+FG19*0.5</f>
        <v>5.4656250000000002</v>
      </c>
      <c r="FI19" s="235">
        <f t="shared" ref="FI19" si="91">+FH19*0.5</f>
        <v>2.7328125000000001</v>
      </c>
      <c r="FJ19" s="235">
        <f t="shared" ref="FJ19" si="92">+FI19*0.5</f>
        <v>1.36640625</v>
      </c>
      <c r="FK19" s="254"/>
    </row>
    <row r="20" spans="2:169" x14ac:dyDescent="0.2">
      <c r="B20" t="s">
        <v>1679</v>
      </c>
      <c r="W20" s="268"/>
      <c r="X20" s="268"/>
      <c r="Y20" s="268"/>
      <c r="Z20" s="268"/>
      <c r="AA20" s="268"/>
      <c r="AB20" s="268"/>
      <c r="AC20" s="268"/>
      <c r="AD20" s="268"/>
      <c r="AE20" s="269"/>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243"/>
      <c r="BB20" s="243"/>
      <c r="BC20" s="243"/>
      <c r="BD20" s="243"/>
      <c r="BE20" s="243"/>
      <c r="BF20" s="243"/>
      <c r="BG20" s="243"/>
      <c r="BH20" s="243"/>
      <c r="BO20" s="243"/>
      <c r="BP20" s="243"/>
      <c r="BQ20" s="243"/>
      <c r="BR20" s="243"/>
      <c r="BS20" s="243"/>
      <c r="BT20" s="243"/>
      <c r="BU20" s="243"/>
      <c r="BV20" s="243"/>
      <c r="BW20" s="243"/>
      <c r="BX20" s="243"/>
      <c r="BY20" s="243"/>
      <c r="BZ20" s="243"/>
      <c r="CA20" s="243"/>
      <c r="CB20" s="243"/>
      <c r="CC20" s="243"/>
      <c r="CD20" s="243"/>
      <c r="CE20" s="243"/>
      <c r="CF20" s="243"/>
      <c r="CG20" s="243"/>
      <c r="CH20" s="243"/>
      <c r="CI20" s="243"/>
      <c r="CJ20" s="243"/>
      <c r="CK20" s="243"/>
      <c r="CL20" s="243"/>
      <c r="CM20" s="243"/>
      <c r="CN20" s="243"/>
      <c r="CO20" s="243"/>
      <c r="CP20" s="243"/>
      <c r="CQ20" s="243"/>
      <c r="CR20" s="243"/>
      <c r="CS20" s="243">
        <v>0</v>
      </c>
      <c r="CT20" s="243">
        <v>0</v>
      </c>
      <c r="CU20" s="243">
        <v>100</v>
      </c>
      <c r="CV20" s="243">
        <v>164</v>
      </c>
      <c r="CW20" s="243">
        <v>502</v>
      </c>
      <c r="CX20" s="243">
        <v>1619</v>
      </c>
      <c r="CY20" s="243">
        <v>457</v>
      </c>
      <c r="CZ20" s="243">
        <v>544</v>
      </c>
      <c r="DA20" s="243">
        <v>489</v>
      </c>
      <c r="DB20" s="243">
        <v>689</v>
      </c>
      <c r="DC20" s="243">
        <v>747</v>
      </c>
      <c r="DD20" s="243">
        <v>285</v>
      </c>
      <c r="DE20" s="243">
        <v>41</v>
      </c>
      <c r="DF20" s="243">
        <v>44</v>
      </c>
      <c r="DG20" s="243">
        <v>25</v>
      </c>
      <c r="DH20" s="243">
        <v>172</v>
      </c>
      <c r="DI20" s="243">
        <v>1</v>
      </c>
      <c r="DJ20" s="243">
        <v>0</v>
      </c>
      <c r="DK20" s="243">
        <v>0</v>
      </c>
      <c r="DL20" s="243">
        <v>0</v>
      </c>
      <c r="DM20" s="243">
        <v>0</v>
      </c>
      <c r="DN20" s="243">
        <v>0</v>
      </c>
      <c r="EI20" s="235"/>
      <c r="EJ20" s="235"/>
      <c r="EK20" s="235"/>
      <c r="EL20" s="235"/>
      <c r="EM20" s="235"/>
      <c r="EN20" s="235"/>
      <c r="EO20" s="235"/>
      <c r="EP20" s="235"/>
      <c r="EQ20" s="235"/>
      <c r="ER20" s="235">
        <f t="shared" si="23"/>
        <v>0</v>
      </c>
      <c r="ES20" s="235">
        <f t="shared" si="84"/>
        <v>0</v>
      </c>
      <c r="ET20" s="235">
        <f>SUM(CM20:CP20)</f>
        <v>0</v>
      </c>
      <c r="EU20" s="235">
        <f>SUM(CQ20:CT20)</f>
        <v>0</v>
      </c>
      <c r="EV20" s="235">
        <f t="shared" si="87"/>
        <v>2385</v>
      </c>
      <c r="EW20" s="235">
        <f t="shared" ref="EW20:EW25" si="93">SUM(CY20:DB20)</f>
        <v>2179</v>
      </c>
      <c r="EX20" s="235">
        <f t="shared" si="47"/>
        <v>1117</v>
      </c>
      <c r="EY20" s="235">
        <f t="shared" si="25"/>
        <v>198</v>
      </c>
      <c r="EZ20" s="344"/>
      <c r="FA20" s="344"/>
      <c r="FB20" s="344"/>
      <c r="FC20" s="344"/>
      <c r="FD20" s="344"/>
      <c r="FE20" s="344"/>
      <c r="FF20" s="344"/>
      <c r="FG20" s="344"/>
      <c r="FH20" s="344"/>
      <c r="FI20" s="344"/>
      <c r="FJ20" s="344"/>
      <c r="FK20" s="254"/>
    </row>
    <row r="21" spans="2:169" x14ac:dyDescent="0.2">
      <c r="B21" t="s">
        <v>1988</v>
      </c>
      <c r="W21" s="268"/>
      <c r="X21" s="268"/>
      <c r="Y21" s="268"/>
      <c r="Z21" s="268"/>
      <c r="AA21" s="268"/>
      <c r="AB21" s="268"/>
      <c r="AC21" s="268"/>
      <c r="AD21" s="268"/>
      <c r="AE21" s="269"/>
      <c r="AF21" s="243"/>
      <c r="AG21" s="243"/>
      <c r="AH21" s="243"/>
      <c r="AI21" s="243"/>
      <c r="AJ21" s="243"/>
      <c r="AK21" s="243"/>
      <c r="AL21" s="243"/>
      <c r="AM21" s="243"/>
      <c r="AN21" s="243"/>
      <c r="AO21" s="243"/>
      <c r="AP21" s="243"/>
      <c r="AQ21" s="243"/>
      <c r="AR21" s="243"/>
      <c r="AS21" s="243"/>
      <c r="AT21" s="243"/>
      <c r="AU21" s="243"/>
      <c r="AV21" s="243"/>
      <c r="AW21" s="243"/>
      <c r="AX21" s="243"/>
      <c r="AY21" s="243"/>
      <c r="AZ21" s="243"/>
      <c r="BA21" s="243"/>
      <c r="BB21" s="243"/>
      <c r="BC21" s="243"/>
      <c r="BD21" s="243"/>
      <c r="BE21" s="243"/>
      <c r="BF21" s="243"/>
      <c r="BG21" s="243"/>
      <c r="BH21" s="243"/>
      <c r="BO21" s="243"/>
      <c r="BP21" s="243"/>
      <c r="BQ21" s="243"/>
      <c r="BR21" s="243"/>
      <c r="BS21" s="243"/>
      <c r="BT21" s="243"/>
      <c r="BU21" s="243"/>
      <c r="BV21" s="243"/>
      <c r="BW21" s="243"/>
      <c r="BX21" s="243"/>
      <c r="BY21" s="243"/>
      <c r="BZ21" s="243"/>
      <c r="CA21" s="243"/>
      <c r="CB21" s="243"/>
      <c r="CC21" s="243"/>
      <c r="CD21" s="243"/>
      <c r="CE21" s="243"/>
      <c r="CF21" s="243"/>
      <c r="CG21" s="243"/>
      <c r="CH21" s="243"/>
      <c r="CI21" s="243"/>
      <c r="CJ21" s="243"/>
      <c r="CK21" s="243"/>
      <c r="CL21" s="243"/>
      <c r="CM21" s="243"/>
      <c r="CN21" s="243"/>
      <c r="CO21" s="243"/>
      <c r="CP21" s="243"/>
      <c r="CQ21" s="243"/>
      <c r="CR21" s="243"/>
      <c r="CS21" s="243"/>
      <c r="CT21" s="243"/>
      <c r="CU21" s="243"/>
      <c r="CV21" s="243"/>
      <c r="CW21" s="243"/>
      <c r="CX21" s="243"/>
      <c r="CY21" s="243"/>
      <c r="CZ21" s="243"/>
      <c r="DA21" s="243"/>
      <c r="DB21" s="243"/>
      <c r="DC21" s="243"/>
      <c r="DD21" s="243"/>
      <c r="DE21" s="243"/>
      <c r="DF21" s="243"/>
      <c r="DG21" s="243"/>
      <c r="DH21" s="243"/>
      <c r="DI21" s="237" t="s">
        <v>1985</v>
      </c>
      <c r="DJ21" s="237" t="s">
        <v>1986</v>
      </c>
      <c r="DK21" s="237" t="s">
        <v>1987</v>
      </c>
      <c r="DL21" s="243">
        <v>250</v>
      </c>
      <c r="DM21" s="243">
        <v>275</v>
      </c>
      <c r="DN21" s="243">
        <v>300</v>
      </c>
      <c r="EI21" s="235"/>
      <c r="EJ21" s="235"/>
      <c r="EK21" s="235"/>
      <c r="EL21" s="235"/>
      <c r="EM21" s="235"/>
      <c r="EN21" s="235"/>
      <c r="EO21" s="235"/>
      <c r="EP21" s="235"/>
      <c r="EQ21" s="235"/>
      <c r="ER21" s="235">
        <f t="shared" si="23"/>
        <v>0</v>
      </c>
      <c r="ES21" s="235"/>
      <c r="ET21" s="235"/>
      <c r="EU21" s="235"/>
      <c r="EV21" s="235"/>
      <c r="EW21" s="235"/>
      <c r="EX21" s="235"/>
      <c r="EY21" s="235"/>
      <c r="EZ21" s="235">
        <f>SUM(DK21:DN21)</f>
        <v>825</v>
      </c>
      <c r="FA21" s="235">
        <f>400*4</f>
        <v>1600</v>
      </c>
      <c r="FB21" s="235">
        <v>2500</v>
      </c>
      <c r="FC21" s="235">
        <f>+FB21*1.4</f>
        <v>3500</v>
      </c>
      <c r="FD21" s="235">
        <f>+FC21*1.3</f>
        <v>4550</v>
      </c>
      <c r="FE21" s="235">
        <f>+FD21*1.2</f>
        <v>5460</v>
      </c>
      <c r="FF21" s="235">
        <f>+FE21*0.1</f>
        <v>546</v>
      </c>
      <c r="FG21" s="235">
        <f t="shared" ref="FG21:FJ21" si="94">+FF21*0.1</f>
        <v>54.6</v>
      </c>
      <c r="FH21" s="235">
        <f t="shared" si="94"/>
        <v>5.4600000000000009</v>
      </c>
      <c r="FI21" s="235">
        <f t="shared" si="94"/>
        <v>0.54600000000000015</v>
      </c>
      <c r="FJ21" s="235">
        <f t="shared" si="94"/>
        <v>5.4600000000000017E-2</v>
      </c>
      <c r="FK21" s="254"/>
      <c r="FM21" t="s">
        <v>1317</v>
      </c>
    </row>
    <row r="22" spans="2:169" s="254" customFormat="1" ht="6" customHeight="1" x14ac:dyDescent="0.2">
      <c r="B22" t="s">
        <v>153</v>
      </c>
      <c r="C22" s="76">
        <f>93+5</f>
        <v>98</v>
      </c>
      <c r="D22" s="76">
        <f>65+5</f>
        <v>70</v>
      </c>
      <c r="E22" s="76">
        <f>86+5</f>
        <v>91</v>
      </c>
      <c r="F22" s="76">
        <f>80+5</f>
        <v>85</v>
      </c>
      <c r="G22" s="76">
        <f>126+5</f>
        <v>131</v>
      </c>
      <c r="H22" s="76">
        <f>112+9</f>
        <v>121</v>
      </c>
      <c r="I22" s="76">
        <f>75+7</f>
        <v>82</v>
      </c>
      <c r="J22" s="76">
        <f>130+8</f>
        <v>138</v>
      </c>
      <c r="K22" s="76">
        <f>198+9</f>
        <v>207</v>
      </c>
      <c r="L22" s="76">
        <f>157+8</f>
        <v>165</v>
      </c>
      <c r="M22" s="76">
        <f>168+9</f>
        <v>177</v>
      </c>
      <c r="N22" s="76">
        <f>203+10</f>
        <v>213</v>
      </c>
      <c r="O22" s="76">
        <f>319+14</f>
        <v>333</v>
      </c>
      <c r="P22" s="76">
        <f>249+11</f>
        <v>260</v>
      </c>
      <c r="Q22" s="76">
        <f>238+11</f>
        <v>249</v>
      </c>
      <c r="R22" s="76">
        <f>235+12</f>
        <v>247</v>
      </c>
      <c r="S22" s="76">
        <f>240+16</f>
        <v>256</v>
      </c>
      <c r="T22" s="76">
        <f>232+12</f>
        <v>244</v>
      </c>
      <c r="U22" s="76">
        <f>220+15</f>
        <v>235</v>
      </c>
      <c r="V22" s="76">
        <f>301+16</f>
        <v>317</v>
      </c>
      <c r="W22" s="76">
        <f>263+16</f>
        <v>279</v>
      </c>
      <c r="X22" s="76">
        <f>201+15</f>
        <v>216</v>
      </c>
      <c r="Y22" s="76">
        <f>228+16</f>
        <v>244</v>
      </c>
      <c r="Z22" s="76">
        <f>279+14</f>
        <v>293</v>
      </c>
      <c r="AA22" s="76">
        <f>284+14</f>
        <v>298</v>
      </c>
      <c r="AB22" s="76">
        <f>258+15</f>
        <v>273</v>
      </c>
      <c r="AC22" s="76">
        <f>238+15</f>
        <v>253</v>
      </c>
      <c r="AD22" s="76">
        <f>310+16</f>
        <v>326</v>
      </c>
      <c r="AE22" s="243">
        <f>364+19</f>
        <v>383</v>
      </c>
      <c r="AF22" s="243">
        <f>253+16</f>
        <v>269</v>
      </c>
      <c r="AG22" s="243">
        <f>256+14</f>
        <v>270</v>
      </c>
      <c r="AH22" s="243">
        <f>357+17</f>
        <v>374</v>
      </c>
      <c r="AI22" s="243">
        <f>421+19</f>
        <v>440</v>
      </c>
      <c r="AJ22" s="243">
        <f>306+14</f>
        <v>320</v>
      </c>
      <c r="AK22" s="243">
        <f>322+10</f>
        <v>332</v>
      </c>
      <c r="AL22" s="243">
        <f>390+11</f>
        <v>401</v>
      </c>
      <c r="AM22" s="243">
        <f>387+14</f>
        <v>401</v>
      </c>
      <c r="AN22" s="243">
        <f>328+15</f>
        <v>343</v>
      </c>
      <c r="AO22" s="243">
        <v>347</v>
      </c>
      <c r="AP22" s="243">
        <v>439</v>
      </c>
      <c r="AQ22" s="243">
        <f>475+5</f>
        <v>480</v>
      </c>
      <c r="AR22" s="243">
        <f>357+6</f>
        <v>363</v>
      </c>
      <c r="AS22" s="243">
        <v>371</v>
      </c>
      <c r="AT22" s="243">
        <v>432</v>
      </c>
      <c r="AU22" s="243">
        <v>496</v>
      </c>
      <c r="AV22" s="243">
        <v>351</v>
      </c>
      <c r="AW22" s="243">
        <v>333</v>
      </c>
      <c r="AX22" s="243">
        <v>411</v>
      </c>
      <c r="AY22" s="243">
        <v>425</v>
      </c>
      <c r="AZ22" s="243">
        <v>362</v>
      </c>
      <c r="BA22" s="243">
        <v>311</v>
      </c>
      <c r="BB22" s="243">
        <v>452</v>
      </c>
      <c r="BC22" s="243">
        <v>371</v>
      </c>
      <c r="BD22" s="243">
        <v>300</v>
      </c>
      <c r="BE22" s="243">
        <v>286</v>
      </c>
      <c r="BF22" s="243">
        <v>400</v>
      </c>
      <c r="BG22" s="243">
        <v>434</v>
      </c>
      <c r="BH22" s="243">
        <v>159</v>
      </c>
      <c r="BI22" s="243">
        <v>25</v>
      </c>
      <c r="BJ22" s="243">
        <v>5</v>
      </c>
      <c r="BK22" s="243">
        <v>29</v>
      </c>
      <c r="BL22" s="243">
        <v>16</v>
      </c>
      <c r="BM22" s="243">
        <v>20</v>
      </c>
      <c r="BN22" s="243">
        <v>10</v>
      </c>
      <c r="BO22" s="243"/>
      <c r="BP22" s="243"/>
      <c r="BQ22" s="243"/>
      <c r="BR22" s="243"/>
      <c r="BS22" s="243"/>
      <c r="BT22" s="243"/>
      <c r="BU22" s="243"/>
      <c r="BV22" s="243"/>
      <c r="BW22" s="243"/>
      <c r="BX22" s="243"/>
      <c r="BY22" s="243"/>
      <c r="BZ22" s="243"/>
      <c r="CA22" s="243"/>
      <c r="CB22" s="243"/>
      <c r="CC22" s="243"/>
      <c r="CD22" s="243"/>
      <c r="CE22" s="243"/>
      <c r="CF22" s="243"/>
      <c r="CG22" s="243"/>
      <c r="CH22" s="243"/>
      <c r="CI22" s="243"/>
      <c r="CJ22" s="243"/>
      <c r="CK22" s="243"/>
      <c r="CL22" s="243"/>
      <c r="CM22" s="243"/>
      <c r="CN22" s="243"/>
      <c r="CO22" s="243"/>
      <c r="CP22" s="243"/>
      <c r="CQ22" s="243"/>
      <c r="CR22" s="243"/>
      <c r="CS22" s="243"/>
      <c r="CT22" s="243"/>
      <c r="CU22" s="243"/>
      <c r="CV22" s="243"/>
      <c r="CW22" s="243"/>
      <c r="CX22" s="243"/>
      <c r="CY22" s="243"/>
      <c r="CZ22" s="243"/>
      <c r="DA22" s="243"/>
      <c r="DB22" s="243"/>
      <c r="DC22" s="243"/>
      <c r="DD22" s="243"/>
      <c r="DE22" s="243"/>
      <c r="DF22" s="243"/>
      <c r="DG22" s="243"/>
      <c r="DH22" s="243"/>
      <c r="DI22" s="237"/>
      <c r="DJ22" s="237"/>
      <c r="DK22" s="237"/>
      <c r="DL22" s="243"/>
      <c r="DM22" s="243"/>
      <c r="DN22" s="243"/>
      <c r="DP22" s="271"/>
      <c r="DQ22" s="271"/>
      <c r="DR22" s="271"/>
      <c r="DS22" s="271"/>
      <c r="DT22" s="271"/>
      <c r="DU22" s="271"/>
      <c r="DV22" s="235">
        <v>199</v>
      </c>
      <c r="DW22" s="235">
        <v>190</v>
      </c>
      <c r="DX22" s="235">
        <f>SUM(C22:F22)</f>
        <v>344</v>
      </c>
      <c r="DY22" s="235">
        <f>SUM(G22:J22)</f>
        <v>472</v>
      </c>
      <c r="DZ22" s="235">
        <f>SUM(K22:N22)</f>
        <v>762</v>
      </c>
      <c r="EA22" s="235">
        <f>SUM(O22:R22)</f>
        <v>1089</v>
      </c>
      <c r="EB22" s="235">
        <f>SUM(S22:V22)</f>
        <v>1052</v>
      </c>
      <c r="EC22" s="235">
        <f>SUM(W22:Z22)</f>
        <v>1032</v>
      </c>
      <c r="ED22" s="235">
        <f>SUM(AA22:AD22)</f>
        <v>1150</v>
      </c>
      <c r="EE22" s="235">
        <f>SUM(AE22:AH22)</f>
        <v>1296</v>
      </c>
      <c r="EF22" s="235">
        <f>SUM(AI22:AL22)</f>
        <v>1493</v>
      </c>
      <c r="EG22" s="235">
        <f>SUM(AM22:AP22)</f>
        <v>1530</v>
      </c>
      <c r="EH22" s="235">
        <f>SUM(AQ22:AT22)</f>
        <v>1646</v>
      </c>
      <c r="EI22" s="235">
        <f>SUM(AU22:AX22)</f>
        <v>1591</v>
      </c>
      <c r="EJ22" s="235">
        <f t="shared" ref="EJ22" si="95">SUM(AY22:BB22)</f>
        <v>1550</v>
      </c>
      <c r="EK22" s="235">
        <f>SUM(BC22:BF22)</f>
        <v>1357</v>
      </c>
      <c r="EL22" s="235">
        <f>SUM(BG22:BJ22)</f>
        <v>623</v>
      </c>
      <c r="EM22" s="235">
        <f>SUM(BK22:BN22)</f>
        <v>75</v>
      </c>
      <c r="EN22" s="76"/>
      <c r="EO22" s="76"/>
      <c r="EP22" s="76"/>
      <c r="EQ22" s="76"/>
      <c r="ER22" s="235">
        <f t="shared" si="23"/>
        <v>0</v>
      </c>
      <c r="ES22" s="76"/>
      <c r="ET22" s="76"/>
      <c r="EU22" s="235">
        <f t="shared" ref="EU22:EU25" si="96">SUM(CQ22:CT22)</f>
        <v>0</v>
      </c>
      <c r="EV22" s="235">
        <f t="shared" si="87"/>
        <v>0</v>
      </c>
      <c r="EW22" s="235">
        <f t="shared" si="93"/>
        <v>0</v>
      </c>
      <c r="EX22" s="235">
        <f t="shared" si="47"/>
        <v>0</v>
      </c>
      <c r="EY22" s="235"/>
      <c r="EZ22" s="344"/>
      <c r="FA22" s="345"/>
      <c r="FB22" s="345"/>
      <c r="FC22" s="345"/>
      <c r="FD22" s="345"/>
      <c r="FE22" s="345"/>
      <c r="FF22" s="345"/>
      <c r="FG22" s="345"/>
      <c r="FH22" s="345"/>
      <c r="FI22" s="345"/>
      <c r="FJ22" s="345"/>
      <c r="FM22"/>
    </row>
    <row r="23" spans="2:169" s="254" customFormat="1" ht="6" customHeight="1" x14ac:dyDescent="0.2">
      <c r="B23" t="s">
        <v>216</v>
      </c>
      <c r="C23" s="76"/>
      <c r="D23" s="76"/>
      <c r="E23" s="76"/>
      <c r="F23" s="76"/>
      <c r="G23" s="76"/>
      <c r="H23" s="76"/>
      <c r="I23" s="76"/>
      <c r="J23" s="76"/>
      <c r="K23" s="76"/>
      <c r="L23" s="76"/>
      <c r="M23" s="76"/>
      <c r="N23" s="76"/>
      <c r="O23" s="76"/>
      <c r="P23" s="76"/>
      <c r="Q23" s="76"/>
      <c r="R23" s="76"/>
      <c r="S23" s="76"/>
      <c r="T23" s="76"/>
      <c r="U23" s="76"/>
      <c r="V23" s="76"/>
      <c r="W23" s="268"/>
      <c r="X23" s="268"/>
      <c r="Y23" s="268"/>
      <c r="Z23" s="268"/>
      <c r="AA23" s="268"/>
      <c r="AB23" s="268"/>
      <c r="AC23" s="268"/>
      <c r="AD23" s="268"/>
      <c r="AE23" s="269"/>
      <c r="AF23" s="243"/>
      <c r="AG23" s="243"/>
      <c r="AH23" s="243"/>
      <c r="AI23" s="243"/>
      <c r="AJ23" s="243"/>
      <c r="AK23" s="243"/>
      <c r="AL23" s="243"/>
      <c r="AM23" s="243"/>
      <c r="AN23" s="243"/>
      <c r="AO23" s="243"/>
      <c r="AP23" s="243"/>
      <c r="AQ23" s="243"/>
      <c r="AR23" s="243"/>
      <c r="AS23" s="243"/>
      <c r="AT23" s="243"/>
      <c r="AU23" s="243"/>
      <c r="AV23" s="243"/>
      <c r="AW23" s="243"/>
      <c r="AX23" s="243"/>
      <c r="AY23" s="76"/>
      <c r="AZ23" s="76"/>
      <c r="BA23" s="76"/>
      <c r="BB23" s="76"/>
      <c r="BC23" s="76"/>
      <c r="BD23" s="76"/>
      <c r="BE23" s="76"/>
      <c r="BF23" s="76"/>
      <c r="BG23" s="243">
        <v>69</v>
      </c>
      <c r="BH23" s="243">
        <v>79</v>
      </c>
      <c r="BI23" s="243">
        <v>83</v>
      </c>
      <c r="BJ23" s="243">
        <v>83</v>
      </c>
      <c r="BK23" s="243">
        <v>80</v>
      </c>
      <c r="BL23" s="243">
        <v>91</v>
      </c>
      <c r="BM23" s="243">
        <v>94</v>
      </c>
      <c r="BN23" s="243">
        <v>84</v>
      </c>
      <c r="BO23" s="243">
        <v>89</v>
      </c>
      <c r="BP23" s="243">
        <v>103</v>
      </c>
      <c r="BQ23" s="243">
        <v>92</v>
      </c>
      <c r="BR23" s="243">
        <v>95</v>
      </c>
      <c r="BS23" s="76"/>
      <c r="BT23" s="76"/>
      <c r="BU23" s="76"/>
      <c r="BV23" s="76"/>
      <c r="BW23" s="76"/>
      <c r="BX23" s="76"/>
      <c r="BY23" s="76"/>
      <c r="BZ23" s="76"/>
      <c r="CA23" s="76"/>
      <c r="CB23" s="76"/>
      <c r="CC23" s="76"/>
      <c r="CD23" s="76"/>
      <c r="CE23" s="76"/>
      <c r="CF23" s="76"/>
      <c r="CG23" s="76"/>
      <c r="CH23" s="76"/>
      <c r="CI23" s="76"/>
      <c r="CJ23" s="76"/>
      <c r="CK23" s="76"/>
      <c r="CL23" s="76"/>
      <c r="CM23" s="76"/>
      <c r="CN23" s="76"/>
      <c r="CO23" s="76"/>
      <c r="CP23" s="76"/>
      <c r="CQ23" s="76"/>
      <c r="CR23" s="76"/>
      <c r="CS23" s="76"/>
      <c r="CT23" s="76"/>
      <c r="CU23" s="76"/>
      <c r="CV23" s="76"/>
      <c r="CW23" s="76"/>
      <c r="CX23" s="76"/>
      <c r="CY23" s="76"/>
      <c r="CZ23" s="243"/>
      <c r="DA23" s="243"/>
      <c r="DB23" s="243"/>
      <c r="DC23" s="243"/>
      <c r="DD23" s="243"/>
      <c r="DE23" s="243"/>
      <c r="DF23" s="243"/>
      <c r="DG23" s="243"/>
      <c r="DH23" s="243"/>
      <c r="DI23" s="243"/>
      <c r="DJ23" s="243"/>
      <c r="DK23" s="243"/>
      <c r="DL23" s="243"/>
      <c r="DM23" s="243"/>
      <c r="DN23" s="243"/>
      <c r="DP23" s="76"/>
      <c r="DQ23" s="76"/>
      <c r="DR23" s="76"/>
      <c r="DS23" s="76"/>
      <c r="DT23" s="76"/>
      <c r="DU23" s="76"/>
      <c r="DV23" s="76"/>
      <c r="DW23" s="76"/>
      <c r="DX23" s="76"/>
      <c r="DY23" s="76"/>
      <c r="DZ23" s="76"/>
      <c r="EA23" s="76"/>
      <c r="EB23" s="76"/>
      <c r="EC23" s="76"/>
      <c r="ED23" s="76"/>
      <c r="EE23" s="76"/>
      <c r="EF23" s="76"/>
      <c r="EG23" s="76"/>
      <c r="EH23" s="76"/>
      <c r="EI23" s="239"/>
      <c r="EJ23" s="235"/>
      <c r="EK23" s="235"/>
      <c r="EL23" s="235">
        <f>SUM(BG23:BJ23)</f>
        <v>314</v>
      </c>
      <c r="EM23" s="235">
        <f>SUM(BK23:BN23)</f>
        <v>349</v>
      </c>
      <c r="EN23" s="235">
        <f>SUM(BO23:BR23)</f>
        <v>379</v>
      </c>
      <c r="EO23" s="235">
        <f>SUM(BS23:BV23)</f>
        <v>0</v>
      </c>
      <c r="EP23" s="235">
        <f t="shared" ref="EP23" si="97">EO23*1.1</f>
        <v>0</v>
      </c>
      <c r="EQ23" s="235">
        <f>+EP23*0.1</f>
        <v>0</v>
      </c>
      <c r="ER23" s="235">
        <f t="shared" si="23"/>
        <v>0</v>
      </c>
      <c r="ES23" s="235">
        <f t="shared" ref="ES23:ET23" si="98">+ER23*0.1</f>
        <v>0</v>
      </c>
      <c r="ET23" s="235">
        <f t="shared" si="98"/>
        <v>0</v>
      </c>
      <c r="EU23" s="235">
        <f t="shared" si="96"/>
        <v>0</v>
      </c>
      <c r="EV23" s="235">
        <f t="shared" si="87"/>
        <v>0</v>
      </c>
      <c r="EW23" s="235">
        <f t="shared" si="93"/>
        <v>0</v>
      </c>
      <c r="EX23" s="235">
        <f t="shared" si="47"/>
        <v>0</v>
      </c>
      <c r="EY23" s="235"/>
      <c r="EZ23" s="344"/>
      <c r="FA23" s="344"/>
      <c r="FB23" s="344"/>
      <c r="FC23" s="344"/>
      <c r="FD23" s="344"/>
      <c r="FE23" s="344"/>
      <c r="FF23" s="344"/>
      <c r="FG23" s="344"/>
      <c r="FH23" s="344"/>
      <c r="FI23" s="344"/>
      <c r="FJ23" s="344"/>
      <c r="FM23" t="s">
        <v>1317</v>
      </c>
    </row>
    <row r="24" spans="2:169" s="254" customFormat="1" ht="6" customHeight="1" x14ac:dyDescent="0.2">
      <c r="B24" t="s">
        <v>1621</v>
      </c>
      <c r="C24" s="76"/>
      <c r="D24" s="76"/>
      <c r="E24" s="76"/>
      <c r="F24" s="76"/>
      <c r="G24" s="76"/>
      <c r="H24" s="76"/>
      <c r="I24" s="76"/>
      <c r="J24" s="76"/>
      <c r="K24" s="76"/>
      <c r="L24" s="76"/>
      <c r="M24" s="76"/>
      <c r="N24" s="76"/>
      <c r="O24" s="76"/>
      <c r="P24" s="76"/>
      <c r="Q24" s="76"/>
      <c r="R24" s="76"/>
      <c r="S24" s="76"/>
      <c r="T24" s="76"/>
      <c r="U24" s="76"/>
      <c r="V24" s="76"/>
      <c r="W24" s="268"/>
      <c r="X24" s="268"/>
      <c r="Y24" s="268"/>
      <c r="Z24" s="268"/>
      <c r="AA24" s="268"/>
      <c r="AB24" s="268"/>
      <c r="AC24" s="268"/>
      <c r="AD24" s="268"/>
      <c r="AE24" s="269"/>
      <c r="AF24" s="243"/>
      <c r="AG24" s="243"/>
      <c r="AH24" s="243"/>
      <c r="AI24" s="243"/>
      <c r="AJ24" s="243"/>
      <c r="AK24" s="243"/>
      <c r="AL24" s="243"/>
      <c r="AM24" s="243"/>
      <c r="AN24" s="243"/>
      <c r="AO24" s="243"/>
      <c r="AP24" s="243"/>
      <c r="AQ24" s="243"/>
      <c r="AR24" s="243"/>
      <c r="AS24" s="243"/>
      <c r="AT24" s="243"/>
      <c r="AU24" s="243"/>
      <c r="AV24" s="243"/>
      <c r="AW24" s="243"/>
      <c r="AX24" s="243"/>
      <c r="AY24" s="76"/>
      <c r="AZ24" s="76"/>
      <c r="BA24" s="76"/>
      <c r="BB24" s="76"/>
      <c r="BC24" s="76"/>
      <c r="BD24" s="76"/>
      <c r="BE24" s="76"/>
      <c r="BF24" s="76"/>
      <c r="BG24" s="243"/>
      <c r="BH24" s="243"/>
      <c r="BI24" s="76"/>
      <c r="BJ24" s="76"/>
      <c r="BK24" s="76"/>
      <c r="BL24" s="76"/>
      <c r="BM24" s="76"/>
      <c r="BN24" s="76"/>
      <c r="BO24" s="76"/>
      <c r="BP24" s="76"/>
      <c r="BQ24" s="76"/>
      <c r="BR24" s="243">
        <v>23</v>
      </c>
      <c r="BS24" s="243">
        <v>354</v>
      </c>
      <c r="BT24" s="243">
        <v>831</v>
      </c>
      <c r="BU24" s="243">
        <v>796</v>
      </c>
      <c r="BV24" s="243">
        <v>321</v>
      </c>
      <c r="BW24" s="243">
        <v>234</v>
      </c>
      <c r="BX24" s="243">
        <v>264</v>
      </c>
      <c r="BY24" s="243">
        <v>79</v>
      </c>
      <c r="BZ24" s="243">
        <v>44</v>
      </c>
      <c r="CA24" s="243">
        <v>32</v>
      </c>
      <c r="CB24" s="243">
        <v>43</v>
      </c>
      <c r="CC24" s="243">
        <v>21</v>
      </c>
      <c r="CD24" s="243">
        <v>10</v>
      </c>
      <c r="CE24" s="243"/>
      <c r="CF24" s="243"/>
      <c r="CG24" s="243"/>
      <c r="CH24" s="243"/>
      <c r="CI24" s="243"/>
      <c r="CJ24" s="243"/>
      <c r="CK24" s="243"/>
      <c r="CL24" s="243"/>
      <c r="CM24" s="243"/>
      <c r="CN24" s="243"/>
      <c r="CO24" s="243"/>
      <c r="CP24" s="243"/>
      <c r="CQ24" s="243"/>
      <c r="CR24" s="243"/>
      <c r="CS24" s="243"/>
      <c r="CT24" s="243"/>
      <c r="CU24" s="243"/>
      <c r="CV24" s="243"/>
      <c r="CW24" s="243"/>
      <c r="CX24" s="243"/>
      <c r="CY24" s="243"/>
      <c r="CZ24" s="243"/>
      <c r="DA24" s="243"/>
      <c r="DB24" s="243"/>
      <c r="DC24" s="243"/>
      <c r="DD24" s="243"/>
      <c r="DE24" s="243"/>
      <c r="DF24" s="243"/>
      <c r="DG24" s="243"/>
      <c r="DH24" s="243"/>
      <c r="DI24" s="243"/>
      <c r="DJ24" s="243"/>
      <c r="DK24" s="243"/>
      <c r="DL24" s="243"/>
      <c r="DM24" s="243"/>
      <c r="DN24" s="243"/>
      <c r="DP24" s="76"/>
      <c r="DQ24" s="76"/>
      <c r="DR24" s="76"/>
      <c r="DS24" s="76"/>
      <c r="DT24" s="76"/>
      <c r="DU24" s="76"/>
      <c r="DV24" s="76"/>
      <c r="DW24" s="76"/>
      <c r="DX24" s="76"/>
      <c r="DY24" s="76"/>
      <c r="DZ24" s="76"/>
      <c r="EA24" s="76"/>
      <c r="EB24" s="76"/>
      <c r="EC24" s="76"/>
      <c r="ED24" s="76"/>
      <c r="EE24" s="76"/>
      <c r="EF24" s="76"/>
      <c r="EG24" s="76"/>
      <c r="EH24" s="76"/>
      <c r="EI24" s="239"/>
      <c r="EJ24" s="235"/>
      <c r="EK24" s="235"/>
      <c r="EL24" s="235"/>
      <c r="EM24" s="235"/>
      <c r="EN24" s="235"/>
      <c r="EO24" s="235">
        <f>SUM(BS24:BV24)</f>
        <v>2302</v>
      </c>
      <c r="EP24" s="235">
        <f>+EO24</f>
        <v>2302</v>
      </c>
      <c r="EQ24" s="235"/>
      <c r="ER24" s="235">
        <f t="shared" si="23"/>
        <v>0</v>
      </c>
      <c r="ES24" s="235"/>
      <c r="ET24" s="235"/>
      <c r="EU24" s="235">
        <f t="shared" si="96"/>
        <v>0</v>
      </c>
      <c r="EV24" s="235">
        <f t="shared" si="87"/>
        <v>0</v>
      </c>
      <c r="EW24" s="235">
        <f t="shared" si="93"/>
        <v>0</v>
      </c>
      <c r="EX24" s="235">
        <f t="shared" si="47"/>
        <v>0</v>
      </c>
      <c r="EY24" s="235"/>
      <c r="EZ24" s="344"/>
      <c r="FA24" s="344"/>
      <c r="FB24" s="344"/>
      <c r="FC24" s="344"/>
      <c r="FD24" s="344"/>
      <c r="FE24" s="344"/>
      <c r="FF24" s="344"/>
      <c r="FG24" s="344"/>
      <c r="FH24" s="344"/>
      <c r="FI24" s="344"/>
      <c r="FJ24" s="344"/>
      <c r="FM24"/>
    </row>
    <row r="25" spans="2:169" s="254" customFormat="1" ht="6" customHeight="1" x14ac:dyDescent="0.2">
      <c r="B25" t="s">
        <v>1482</v>
      </c>
      <c r="C25" s="76"/>
      <c r="D25" s="76"/>
      <c r="E25" s="76"/>
      <c r="F25" s="76"/>
      <c r="G25" s="76"/>
      <c r="H25" s="76"/>
      <c r="I25" s="76"/>
      <c r="J25" s="76"/>
      <c r="K25" s="76"/>
      <c r="L25" s="76"/>
      <c r="M25" s="76"/>
      <c r="N25" s="76"/>
      <c r="O25" s="76"/>
      <c r="P25" s="76"/>
      <c r="Q25" s="76"/>
      <c r="R25" s="76"/>
      <c r="S25" s="76"/>
      <c r="T25" s="76"/>
      <c r="U25" s="76"/>
      <c r="V25" s="76"/>
      <c r="W25" s="268"/>
      <c r="X25" s="268"/>
      <c r="Y25" s="268"/>
      <c r="Z25" s="268"/>
      <c r="AA25" s="268"/>
      <c r="AB25" s="268"/>
      <c r="AC25" s="268"/>
      <c r="AD25" s="268"/>
      <c r="AE25" s="269"/>
      <c r="AF25" s="243"/>
      <c r="AG25" s="243"/>
      <c r="AH25" s="243"/>
      <c r="AI25" s="243"/>
      <c r="AJ25" s="243"/>
      <c r="AK25" s="243"/>
      <c r="AL25" s="243"/>
      <c r="AM25" s="243"/>
      <c r="AN25" s="243"/>
      <c r="AO25" s="243"/>
      <c r="AP25" s="243"/>
      <c r="AQ25" s="243"/>
      <c r="AR25" s="243"/>
      <c r="AS25" s="243"/>
      <c r="AT25" s="243"/>
      <c r="AU25" s="243"/>
      <c r="AV25" s="243"/>
      <c r="AW25" s="243"/>
      <c r="AX25" s="243"/>
      <c r="AY25" s="76"/>
      <c r="AZ25" s="76"/>
      <c r="BA25" s="76"/>
      <c r="BB25" s="76"/>
      <c r="BC25" s="76"/>
      <c r="BD25" s="76"/>
      <c r="BE25" s="76"/>
      <c r="BF25" s="76"/>
      <c r="BG25" s="76"/>
      <c r="BH25" s="76"/>
      <c r="BI25" s="76"/>
      <c r="BJ25" s="76"/>
      <c r="BK25" s="243">
        <v>132</v>
      </c>
      <c r="BL25" s="243">
        <v>102</v>
      </c>
      <c r="BM25" s="243">
        <v>71</v>
      </c>
      <c r="BN25" s="243">
        <v>138</v>
      </c>
      <c r="BO25" s="243">
        <v>162</v>
      </c>
      <c r="BP25" s="243">
        <v>172</v>
      </c>
      <c r="BQ25" s="243">
        <v>76</v>
      </c>
      <c r="BR25" s="243">
        <v>107</v>
      </c>
      <c r="BS25" s="243">
        <v>86</v>
      </c>
      <c r="BT25" s="243">
        <v>97</v>
      </c>
      <c r="BU25" s="243"/>
      <c r="BV25" s="243"/>
      <c r="BW25" s="243"/>
      <c r="BX25" s="243"/>
      <c r="BY25" s="243"/>
      <c r="BZ25" s="243"/>
      <c r="CA25" s="243"/>
      <c r="CB25" s="243"/>
      <c r="CC25" s="243"/>
      <c r="CD25" s="243"/>
      <c r="CE25" s="243"/>
      <c r="CF25" s="243"/>
      <c r="CG25" s="243"/>
      <c r="CH25" s="243"/>
      <c r="CI25" s="243"/>
      <c r="CJ25" s="243"/>
      <c r="CK25" s="243"/>
      <c r="CL25" s="243"/>
      <c r="CM25" s="243"/>
      <c r="CN25" s="243"/>
      <c r="CO25" s="243"/>
      <c r="CP25" s="243"/>
      <c r="CQ25" s="243"/>
      <c r="CR25" s="243"/>
      <c r="CS25" s="243"/>
      <c r="CT25" s="243"/>
      <c r="CU25" s="243"/>
      <c r="CV25" s="243"/>
      <c r="CW25" s="243"/>
      <c r="CX25" s="243"/>
      <c r="CY25" s="243"/>
      <c r="CZ25" s="243"/>
      <c r="DA25" s="243"/>
      <c r="DB25" s="243"/>
      <c r="DC25" s="243"/>
      <c r="DD25" s="243"/>
      <c r="DE25" s="243"/>
      <c r="DF25" s="243"/>
      <c r="DG25" s="243"/>
      <c r="DH25" s="243"/>
      <c r="DI25" s="243"/>
      <c r="DJ25" s="243"/>
      <c r="DK25" s="243"/>
      <c r="DL25" s="243"/>
      <c r="DM25" s="243"/>
      <c r="DN25" s="243"/>
      <c r="DP25" s="76"/>
      <c r="DQ25" s="76"/>
      <c r="DR25" s="76"/>
      <c r="DS25" s="76"/>
      <c r="DT25" s="76"/>
      <c r="DU25" s="76"/>
      <c r="DV25" s="76"/>
      <c r="DW25" s="76"/>
      <c r="DX25" s="76"/>
      <c r="DY25" s="76"/>
      <c r="DZ25" s="76"/>
      <c r="EA25" s="76"/>
      <c r="EB25" s="76"/>
      <c r="EC25" s="76"/>
      <c r="ED25" s="76"/>
      <c r="EE25" s="76"/>
      <c r="EF25" s="76" t="s">
        <v>632</v>
      </c>
      <c r="EG25" s="76" t="s">
        <v>631</v>
      </c>
      <c r="EH25" s="76" t="s">
        <v>74</v>
      </c>
      <c r="EI25" s="76" t="s">
        <v>74</v>
      </c>
      <c r="EJ25" s="235" t="s">
        <v>74</v>
      </c>
      <c r="EK25" s="235"/>
      <c r="EL25" s="235">
        <f>SUM(BG25:BJ25)</f>
        <v>0</v>
      </c>
      <c r="EM25" s="235">
        <f>SUM(BK25:BN25)</f>
        <v>443</v>
      </c>
      <c r="EN25" s="235">
        <f>SUM(BO25:BR25)</f>
        <v>517</v>
      </c>
      <c r="EO25" s="235">
        <f>SUM(BS25:BV25)</f>
        <v>183</v>
      </c>
      <c r="EP25" s="235">
        <f>+EO25*0.1</f>
        <v>18.3</v>
      </c>
      <c r="EQ25" s="235">
        <f t="shared" ref="EQ25:ET25" si="99">+EP25*0.1</f>
        <v>1.83</v>
      </c>
      <c r="ER25" s="235">
        <f t="shared" si="23"/>
        <v>0</v>
      </c>
      <c r="ES25" s="235">
        <f t="shared" si="99"/>
        <v>0</v>
      </c>
      <c r="ET25" s="235">
        <f t="shared" si="99"/>
        <v>0</v>
      </c>
      <c r="EU25" s="235">
        <f t="shared" si="96"/>
        <v>0</v>
      </c>
      <c r="EV25" s="235">
        <f t="shared" si="87"/>
        <v>0</v>
      </c>
      <c r="EW25" s="235">
        <f t="shared" si="93"/>
        <v>0</v>
      </c>
      <c r="EX25" s="235">
        <f t="shared" si="47"/>
        <v>0</v>
      </c>
      <c r="EY25" s="235"/>
      <c r="EZ25" s="344"/>
      <c r="FA25" s="344"/>
      <c r="FB25" s="344"/>
      <c r="FC25" s="344"/>
      <c r="FD25" s="344"/>
      <c r="FE25" s="344"/>
      <c r="FF25" s="344"/>
      <c r="FG25" s="344"/>
      <c r="FH25" s="344"/>
      <c r="FI25" s="344"/>
      <c r="FJ25" s="344"/>
      <c r="FM25"/>
    </row>
    <row r="26" spans="2:169" x14ac:dyDescent="0.2">
      <c r="B26" t="s">
        <v>1680</v>
      </c>
      <c r="W26" s="268"/>
      <c r="X26" s="268"/>
      <c r="Y26" s="268"/>
      <c r="Z26" s="268"/>
      <c r="AA26" s="268"/>
      <c r="AB26" s="268"/>
      <c r="AC26" s="268"/>
      <c r="AD26" s="268"/>
      <c r="AE26" s="269"/>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243"/>
      <c r="BH26" s="243"/>
      <c r="BO26" s="243"/>
      <c r="BP26" s="243"/>
      <c r="BQ26" s="243"/>
      <c r="BR26" s="243"/>
      <c r="BS26" s="243"/>
      <c r="BT26" s="243">
        <f>347-BT25</f>
        <v>250</v>
      </c>
      <c r="BU26" s="243">
        <v>217</v>
      </c>
      <c r="BV26" s="243">
        <v>217</v>
      </c>
      <c r="BW26" s="243">
        <v>223</v>
      </c>
      <c r="BX26" s="243">
        <v>219</v>
      </c>
      <c r="BY26" s="243">
        <v>190</v>
      </c>
      <c r="BZ26" s="243">
        <v>183</v>
      </c>
      <c r="CA26" s="243">
        <f>173</f>
        <v>173</v>
      </c>
      <c r="CB26" s="243">
        <v>187</v>
      </c>
      <c r="CC26" s="243">
        <v>179</v>
      </c>
      <c r="CD26" s="243">
        <v>139</v>
      </c>
      <c r="CE26" s="243">
        <v>170</v>
      </c>
      <c r="CF26" s="243">
        <v>159</v>
      </c>
      <c r="CG26" s="243">
        <v>152</v>
      </c>
      <c r="CH26" s="243">
        <v>138</v>
      </c>
      <c r="CI26" s="243">
        <v>142</v>
      </c>
      <c r="CJ26" s="243">
        <v>146</v>
      </c>
      <c r="CK26" s="243">
        <v>131</v>
      </c>
      <c r="CL26" s="243">
        <v>114</v>
      </c>
      <c r="CM26" s="243">
        <v>112</v>
      </c>
      <c r="CN26" s="243">
        <v>117</v>
      </c>
      <c r="CO26" s="243">
        <v>113</v>
      </c>
      <c r="CP26" s="243">
        <v>99</v>
      </c>
      <c r="CQ26" s="243">
        <v>116</v>
      </c>
      <c r="CR26" s="243">
        <v>113</v>
      </c>
      <c r="CS26" s="243">
        <v>102</v>
      </c>
      <c r="CT26" s="243">
        <v>96</v>
      </c>
      <c r="CU26" s="243">
        <v>108</v>
      </c>
      <c r="CV26" s="243">
        <v>88</v>
      </c>
      <c r="CW26" s="243">
        <v>110</v>
      </c>
      <c r="CX26" s="243">
        <v>74</v>
      </c>
      <c r="CY26" s="243">
        <v>91</v>
      </c>
      <c r="CZ26" s="243">
        <v>83</v>
      </c>
      <c r="DA26" s="243">
        <v>77</v>
      </c>
      <c r="DB26" s="243">
        <v>67</v>
      </c>
      <c r="DC26" s="243">
        <v>82</v>
      </c>
      <c r="DD26" s="243">
        <v>79</v>
      </c>
      <c r="DE26" s="243">
        <v>74</v>
      </c>
      <c r="DF26" s="243">
        <v>62</v>
      </c>
      <c r="DG26" s="243">
        <v>53</v>
      </c>
      <c r="DH26" s="243">
        <v>61</v>
      </c>
      <c r="DI26" s="243">
        <v>55</v>
      </c>
      <c r="DJ26" s="243">
        <v>45</v>
      </c>
      <c r="DK26" s="243">
        <f t="shared" ref="DK26" si="100">DJ26</f>
        <v>45</v>
      </c>
      <c r="DL26" s="243">
        <f t="shared" ref="DL26" si="101">DK26</f>
        <v>45</v>
      </c>
      <c r="DM26" s="243">
        <f t="shared" ref="DM26" si="102">DL26</f>
        <v>45</v>
      </c>
      <c r="DN26" s="243">
        <f t="shared" ref="DN26" si="103">DM26</f>
        <v>45</v>
      </c>
      <c r="EI26" s="235"/>
      <c r="EJ26" s="235"/>
      <c r="EK26" s="235"/>
      <c r="EL26" s="235"/>
      <c r="EM26" s="235"/>
      <c r="EN26" s="235"/>
      <c r="EO26" s="235"/>
      <c r="EP26" s="235"/>
      <c r="EQ26" s="235"/>
      <c r="ER26" s="235">
        <f t="shared" si="23"/>
        <v>619</v>
      </c>
      <c r="ES26" s="235">
        <f t="shared" ref="ES26:ES30" si="104">SUM(CI26:CL26)</f>
        <v>533</v>
      </c>
      <c r="ET26" s="235">
        <f>SUM(CM26:CP26)</f>
        <v>441</v>
      </c>
      <c r="EU26" s="235">
        <f>SUM(CQ26:CT26)</f>
        <v>427</v>
      </c>
      <c r="EV26" s="235">
        <f t="shared" ref="EV26:EV30" si="105">SUM(CU26:CX26)</f>
        <v>380</v>
      </c>
      <c r="EW26" s="235">
        <f>SUM(CY26:DB26)</f>
        <v>318</v>
      </c>
      <c r="EX26" s="235">
        <f t="shared" si="47"/>
        <v>297</v>
      </c>
      <c r="EY26" s="235">
        <f>SUM(DD26:DG26)</f>
        <v>268</v>
      </c>
      <c r="EZ26" s="235">
        <f>SUM(DK26:DN26)</f>
        <v>180</v>
      </c>
      <c r="FA26" s="235">
        <f t="shared" ref="FA26:FE26" si="106">+EZ26</f>
        <v>180</v>
      </c>
      <c r="FB26" s="235">
        <f t="shared" si="106"/>
        <v>180</v>
      </c>
      <c r="FC26" s="235">
        <f t="shared" si="106"/>
        <v>180</v>
      </c>
      <c r="FD26" s="235">
        <f t="shared" si="106"/>
        <v>180</v>
      </c>
      <c r="FE26" s="235">
        <f t="shared" si="106"/>
        <v>180</v>
      </c>
      <c r="FF26" s="235">
        <f t="shared" ref="FF26" si="107">+FE26</f>
        <v>180</v>
      </c>
      <c r="FG26" s="235">
        <f t="shared" ref="FG26" si="108">+FF26</f>
        <v>180</v>
      </c>
      <c r="FH26" s="235">
        <f t="shared" ref="FH26" si="109">+FG26</f>
        <v>180</v>
      </c>
      <c r="FI26" s="235">
        <f t="shared" ref="FI26" si="110">+FH26</f>
        <v>180</v>
      </c>
      <c r="FJ26" s="235">
        <f t="shared" ref="FJ26" si="111">+FI26</f>
        <v>180</v>
      </c>
      <c r="FK26" s="254"/>
    </row>
    <row r="27" spans="2:169" ht="12.75" customHeight="1" x14ac:dyDescent="0.2">
      <c r="B27" t="s">
        <v>1560</v>
      </c>
      <c r="W27" s="268"/>
      <c r="X27" s="268"/>
      <c r="Y27" s="268"/>
      <c r="Z27" s="268"/>
      <c r="AA27" s="268"/>
      <c r="AB27" s="268"/>
      <c r="AC27" s="268"/>
      <c r="AD27" s="268"/>
      <c r="AE27" s="269"/>
      <c r="AF27" s="243"/>
      <c r="AG27" s="243"/>
      <c r="AH27" s="243"/>
      <c r="AI27" s="243"/>
      <c r="AJ27" s="243"/>
      <c r="AK27" s="243"/>
      <c r="AL27" s="243"/>
      <c r="AM27" s="243"/>
      <c r="AN27" s="243"/>
      <c r="AO27" s="243"/>
      <c r="AP27" s="243"/>
      <c r="AQ27" s="243"/>
      <c r="AR27" s="243"/>
      <c r="AS27" s="243"/>
      <c r="AT27" s="243"/>
      <c r="AU27" s="243"/>
      <c r="AV27" s="243"/>
      <c r="AW27" s="243"/>
      <c r="AX27" s="243"/>
      <c r="AY27" s="243"/>
      <c r="AZ27" s="243"/>
      <c r="BA27" s="243"/>
      <c r="BB27" s="243"/>
      <c r="BC27" s="243"/>
      <c r="BD27" s="243"/>
      <c r="BE27" s="243"/>
      <c r="BF27" s="243"/>
      <c r="BG27" s="243"/>
      <c r="BH27" s="243"/>
      <c r="BO27" s="243"/>
      <c r="BP27" s="243"/>
      <c r="BQ27" s="243"/>
      <c r="BR27" s="243"/>
      <c r="BS27" s="243">
        <v>10</v>
      </c>
      <c r="BT27" s="243">
        <v>42</v>
      </c>
      <c r="BU27" s="243">
        <v>56</v>
      </c>
      <c r="BV27" s="243">
        <v>92</v>
      </c>
      <c r="BW27" s="243">
        <v>116</v>
      </c>
      <c r="BX27" s="243">
        <v>154</v>
      </c>
      <c r="BY27" s="243">
        <v>184</v>
      </c>
      <c r="BZ27" s="243">
        <v>235</v>
      </c>
      <c r="CA27" s="243">
        <v>261</v>
      </c>
      <c r="CB27" s="243">
        <v>295</v>
      </c>
      <c r="CC27" s="243">
        <v>349</v>
      </c>
      <c r="CD27" s="243">
        <v>346</v>
      </c>
      <c r="CE27" s="243">
        <v>409</v>
      </c>
      <c r="CF27" s="243">
        <v>450</v>
      </c>
      <c r="CG27" s="243">
        <v>512</v>
      </c>
      <c r="CH27" s="243">
        <v>522</v>
      </c>
      <c r="CI27" s="243">
        <v>587</v>
      </c>
      <c r="CJ27" s="243">
        <v>620</v>
      </c>
      <c r="CK27" s="243">
        <v>705</v>
      </c>
      <c r="CL27" s="243">
        <v>703</v>
      </c>
      <c r="CM27" s="243">
        <v>784</v>
      </c>
      <c r="CN27" s="243">
        <v>831</v>
      </c>
      <c r="CO27" s="243">
        <v>921</v>
      </c>
      <c r="CP27" s="243">
        <v>875</v>
      </c>
      <c r="CQ27" s="243">
        <v>1031</v>
      </c>
      <c r="CR27" s="243">
        <v>949</v>
      </c>
      <c r="CS27" s="243">
        <v>1031</v>
      </c>
      <c r="CT27" s="243">
        <v>1117</v>
      </c>
      <c r="CU27" s="243">
        <v>1125</v>
      </c>
      <c r="CV27" s="243">
        <v>1116</v>
      </c>
      <c r="CW27" s="243">
        <v>1066</v>
      </c>
      <c r="CX27" s="243">
        <v>1062</v>
      </c>
      <c r="CY27" s="243">
        <v>1038</v>
      </c>
      <c r="CZ27" s="243">
        <v>970</v>
      </c>
      <c r="DA27" s="243">
        <v>911</v>
      </c>
      <c r="DB27" s="243">
        <v>866</v>
      </c>
      <c r="DC27" s="243">
        <v>827</v>
      </c>
      <c r="DD27" s="243">
        <v>841</v>
      </c>
      <c r="DE27" s="243">
        <v>808</v>
      </c>
      <c r="DF27" s="243">
        <v>788</v>
      </c>
      <c r="DG27" s="243">
        <v>784</v>
      </c>
      <c r="DH27" s="243">
        <v>770</v>
      </c>
      <c r="DI27" s="243">
        <v>753</v>
      </c>
      <c r="DJ27" s="243">
        <v>731</v>
      </c>
      <c r="DK27" s="243">
        <f t="shared" ref="DK27" si="112">DG27*0.8</f>
        <v>627.20000000000005</v>
      </c>
      <c r="DL27" s="243">
        <f t="shared" ref="DL27" si="113">DH27*0.8</f>
        <v>616</v>
      </c>
      <c r="DM27" s="243">
        <f t="shared" ref="DM27" si="114">DI27*0.8</f>
        <v>602.4</v>
      </c>
      <c r="DN27" s="243">
        <f t="shared" ref="DN27" si="115">DJ27*0.8</f>
        <v>584.80000000000007</v>
      </c>
      <c r="EI27" s="235"/>
      <c r="EJ27" s="235"/>
      <c r="EK27" s="235"/>
      <c r="EL27" s="235"/>
      <c r="EM27" s="235"/>
      <c r="EN27" s="235"/>
      <c r="EO27" s="235"/>
      <c r="EP27" s="235"/>
      <c r="EQ27" s="235"/>
      <c r="ER27" s="235">
        <f t="shared" si="23"/>
        <v>1893</v>
      </c>
      <c r="ES27" s="235">
        <f t="shared" si="104"/>
        <v>2615</v>
      </c>
      <c r="ET27" s="235">
        <f>SUM(CM27:CP27)</f>
        <v>3411</v>
      </c>
      <c r="EU27" s="235">
        <f>SUM(CQ27:CT27)</f>
        <v>4128</v>
      </c>
      <c r="EV27" s="235">
        <f t="shared" si="105"/>
        <v>4369</v>
      </c>
      <c r="EW27" s="235">
        <f>SUM(CY27:DB27)</f>
        <v>3785</v>
      </c>
      <c r="EX27" s="235">
        <f t="shared" si="47"/>
        <v>3264</v>
      </c>
      <c r="EY27" s="235">
        <f t="shared" si="25"/>
        <v>3038</v>
      </c>
      <c r="EZ27" s="235">
        <f>SUM(DK27:DN27)</f>
        <v>2430.4</v>
      </c>
      <c r="FA27" s="235">
        <f t="shared" ref="FA27:FE27" si="116">+EZ27*0.95</f>
        <v>2308.88</v>
      </c>
      <c r="FB27" s="235">
        <f t="shared" si="116"/>
        <v>2193.4360000000001</v>
      </c>
      <c r="FC27" s="235">
        <f t="shared" si="116"/>
        <v>2083.7642000000001</v>
      </c>
      <c r="FD27" s="235">
        <f t="shared" si="116"/>
        <v>1979.57599</v>
      </c>
      <c r="FE27" s="235">
        <f t="shared" si="116"/>
        <v>1880.5971904999999</v>
      </c>
      <c r="FF27" s="235">
        <f t="shared" ref="FF27" si="117">+FE27*0.95</f>
        <v>1786.5673309749998</v>
      </c>
      <c r="FG27" s="235">
        <f t="shared" ref="FG27" si="118">+FF27*0.95</f>
        <v>1697.2389644262498</v>
      </c>
      <c r="FH27" s="235">
        <f t="shared" ref="FH27" si="119">+FG27*0.95</f>
        <v>1612.3770162049373</v>
      </c>
      <c r="FI27" s="235">
        <f t="shared" ref="FI27" si="120">+FH27*0.95</f>
        <v>1531.7581653946904</v>
      </c>
      <c r="FJ27" s="235">
        <f t="shared" ref="FJ27" si="121">+FI27*0.95</f>
        <v>1455.1702571249559</v>
      </c>
      <c r="FK27" s="254"/>
    </row>
    <row r="28" spans="2:169" ht="12.75" customHeight="1" x14ac:dyDescent="0.2">
      <c r="B28" t="s">
        <v>1674</v>
      </c>
      <c r="W28" s="268"/>
      <c r="X28" s="268"/>
      <c r="Y28" s="268"/>
      <c r="Z28" s="268"/>
      <c r="AA28" s="268"/>
      <c r="AB28" s="268"/>
      <c r="AC28" s="268"/>
      <c r="AD28" s="268"/>
      <c r="AE28" s="269"/>
      <c r="AF28" s="243"/>
      <c r="AG28" s="243"/>
      <c r="AH28" s="243"/>
      <c r="AI28" s="243"/>
      <c r="AJ28" s="243"/>
      <c r="AK28" s="243"/>
      <c r="AL28" s="243"/>
      <c r="AM28" s="243"/>
      <c r="AN28" s="243"/>
      <c r="AO28" s="243"/>
      <c r="AP28" s="243"/>
      <c r="AQ28" s="243"/>
      <c r="AR28" s="243"/>
      <c r="AS28" s="243"/>
      <c r="AT28" s="243"/>
      <c r="AU28" s="243"/>
      <c r="AV28" s="243"/>
      <c r="AW28" s="243"/>
      <c r="AX28" s="243"/>
      <c r="AY28" s="243"/>
      <c r="AZ28" s="243"/>
      <c r="BA28" s="243"/>
      <c r="BB28" s="243"/>
      <c r="BC28" s="243"/>
      <c r="BD28" s="243"/>
      <c r="BE28" s="243"/>
      <c r="BF28" s="243"/>
      <c r="BG28" s="243"/>
      <c r="BH28" s="243"/>
      <c r="BO28" s="243"/>
      <c r="BP28" s="243"/>
      <c r="BQ28" s="243"/>
      <c r="BR28" s="243"/>
      <c r="BS28" s="243"/>
      <c r="BT28" s="243"/>
      <c r="BU28" s="243"/>
      <c r="BV28" s="243"/>
      <c r="BW28" s="243"/>
      <c r="BX28" s="243"/>
      <c r="BY28" s="243"/>
      <c r="BZ28" s="243">
        <v>20</v>
      </c>
      <c r="CA28" s="243">
        <v>101</v>
      </c>
      <c r="CB28" s="243">
        <v>108</v>
      </c>
      <c r="CC28" s="243"/>
      <c r="CD28" s="243">
        <v>200</v>
      </c>
      <c r="CE28" s="243">
        <v>255</v>
      </c>
      <c r="CF28" s="243">
        <v>299</v>
      </c>
      <c r="CG28" s="243">
        <v>317</v>
      </c>
      <c r="CH28" s="243">
        <v>371</v>
      </c>
      <c r="CI28" s="243">
        <v>432</v>
      </c>
      <c r="CJ28" s="243">
        <v>511</v>
      </c>
      <c r="CK28" s="243">
        <v>498</v>
      </c>
      <c r="CL28" s="243">
        <v>584</v>
      </c>
      <c r="CM28" s="243">
        <v>629</v>
      </c>
      <c r="CN28" s="243">
        <v>774</v>
      </c>
      <c r="CO28" s="243">
        <v>765</v>
      </c>
      <c r="CP28" s="243">
        <v>830</v>
      </c>
      <c r="CQ28" s="243">
        <v>937</v>
      </c>
      <c r="CR28" s="243">
        <v>901</v>
      </c>
      <c r="CS28" s="243">
        <v>1099</v>
      </c>
      <c r="CT28" s="243">
        <v>1253</v>
      </c>
      <c r="CU28" s="243">
        <v>1365</v>
      </c>
      <c r="CV28" s="243">
        <v>1433</v>
      </c>
      <c r="CW28" s="243">
        <v>1580</v>
      </c>
      <c r="CX28" s="243">
        <v>1645</v>
      </c>
      <c r="CY28" s="243">
        <v>1856</v>
      </c>
      <c r="CZ28" s="243">
        <v>1986</v>
      </c>
      <c r="DA28" s="243">
        <v>2052</v>
      </c>
      <c r="DB28" s="243">
        <v>2083</v>
      </c>
      <c r="DC28" s="243">
        <v>2264</v>
      </c>
      <c r="DD28" s="243">
        <v>2431</v>
      </c>
      <c r="DE28" s="243">
        <v>2499</v>
      </c>
      <c r="DF28" s="243">
        <v>2550</v>
      </c>
      <c r="DG28" s="243">
        <v>2692</v>
      </c>
      <c r="DH28" s="243">
        <v>2878</v>
      </c>
      <c r="DI28" s="243">
        <v>3016.4</v>
      </c>
      <c r="DJ28" s="243">
        <v>3084</v>
      </c>
      <c r="DK28" s="243">
        <f t="shared" ref="DK28" si="122">DG28*1.15</f>
        <v>3095.7999999999997</v>
      </c>
      <c r="DL28" s="243">
        <f t="shared" ref="DL28" si="123">DH28*1.15</f>
        <v>3309.7</v>
      </c>
      <c r="DM28" s="243">
        <f t="shared" ref="DM28" si="124">DI28*1.15</f>
        <v>3468.8599999999997</v>
      </c>
      <c r="DN28" s="243">
        <f t="shared" ref="DN28" si="125">DJ28*1.15</f>
        <v>3546.6</v>
      </c>
      <c r="EI28" s="235"/>
      <c r="EJ28" s="235"/>
      <c r="EK28" s="235"/>
      <c r="EL28" s="235"/>
      <c r="EM28" s="235"/>
      <c r="EN28" s="235"/>
      <c r="EO28" s="235"/>
      <c r="EP28" s="235"/>
      <c r="EQ28" s="235"/>
      <c r="ER28" s="235">
        <f t="shared" si="23"/>
        <v>1242</v>
      </c>
      <c r="ES28" s="235">
        <f t="shared" si="104"/>
        <v>2025</v>
      </c>
      <c r="ET28" s="235">
        <f>SUM(CM28:CP28)</f>
        <v>2998</v>
      </c>
      <c r="EU28" s="235">
        <f>SUM(CQ28:CT28)</f>
        <v>4190</v>
      </c>
      <c r="EV28" s="235">
        <f t="shared" si="105"/>
        <v>6023</v>
      </c>
      <c r="EW28" s="235">
        <f>SUM(CY28:DB28)</f>
        <v>7977</v>
      </c>
      <c r="EX28" s="235">
        <f t="shared" si="47"/>
        <v>9744</v>
      </c>
      <c r="EY28" s="235">
        <f t="shared" si="25"/>
        <v>11670.4</v>
      </c>
      <c r="EZ28" s="235">
        <f>SUM(DK28:DN28)</f>
        <v>13420.960000000001</v>
      </c>
      <c r="FA28" s="235">
        <f>+EZ28*1.02</f>
        <v>13689.379200000001</v>
      </c>
      <c r="FB28" s="235">
        <f t="shared" ref="FB28:FE28" si="126">+FA28*1.02</f>
        <v>13963.166784000001</v>
      </c>
      <c r="FC28" s="235">
        <f t="shared" si="126"/>
        <v>14242.430119680001</v>
      </c>
      <c r="FD28" s="235">
        <f t="shared" si="126"/>
        <v>14527.278722073601</v>
      </c>
      <c r="FE28" s="235">
        <f t="shared" si="126"/>
        <v>14817.824296515073</v>
      </c>
      <c r="FF28" s="235">
        <f t="shared" ref="FF28" si="127">+FE28*1.02</f>
        <v>15114.180782445375</v>
      </c>
      <c r="FG28" s="235">
        <f t="shared" ref="FG28" si="128">+FF28*1.02</f>
        <v>15416.464398094284</v>
      </c>
      <c r="FH28" s="235">
        <f t="shared" ref="FH28" si="129">+FG28*1.02</f>
        <v>15724.793686056169</v>
      </c>
      <c r="FI28" s="235">
        <f t="shared" ref="FI28" si="130">+FH28*1.02</f>
        <v>16039.289559777293</v>
      </c>
      <c r="FJ28" s="235">
        <f t="shared" ref="FJ28" si="131">+FI28*1.02</f>
        <v>16360.075350972838</v>
      </c>
      <c r="FK28" s="254"/>
    </row>
    <row r="29" spans="2:169" ht="12.75" customHeight="1" x14ac:dyDescent="0.2">
      <c r="B29" t="s">
        <v>1896</v>
      </c>
      <c r="C29" s="338"/>
      <c r="D29" s="338"/>
      <c r="E29" s="338"/>
      <c r="F29" s="338"/>
      <c r="G29" s="338"/>
      <c r="H29" s="338"/>
      <c r="I29" s="338"/>
      <c r="J29" s="338"/>
      <c r="K29" s="338"/>
      <c r="L29" s="338"/>
      <c r="M29" s="338"/>
      <c r="N29" s="338"/>
      <c r="O29" s="338"/>
      <c r="P29" s="338"/>
      <c r="Q29" s="338"/>
      <c r="R29" s="338"/>
      <c r="S29" s="338"/>
      <c r="T29" s="338"/>
      <c r="U29" s="338"/>
      <c r="V29" s="338"/>
      <c r="W29" s="341"/>
      <c r="X29" s="341"/>
      <c r="Y29" s="341"/>
      <c r="Z29" s="341"/>
      <c r="AA29" s="341"/>
      <c r="AB29" s="341"/>
      <c r="AC29" s="341"/>
      <c r="AD29" s="341"/>
      <c r="AE29" s="342"/>
      <c r="AF29" s="339"/>
      <c r="AG29" s="339"/>
      <c r="AH29" s="339"/>
      <c r="AI29" s="339"/>
      <c r="AJ29" s="339"/>
      <c r="AK29" s="339"/>
      <c r="AL29" s="339"/>
      <c r="AM29" s="339"/>
      <c r="AN29" s="339"/>
      <c r="AO29" s="339"/>
      <c r="AP29" s="339"/>
      <c r="AQ29" s="339"/>
      <c r="AR29" s="339"/>
      <c r="AS29" s="339"/>
      <c r="AT29" s="339"/>
      <c r="AU29" s="339"/>
      <c r="AV29" s="339"/>
      <c r="AW29" s="339"/>
      <c r="AX29" s="339"/>
      <c r="AY29" s="339"/>
      <c r="AZ29" s="339"/>
      <c r="BA29" s="339"/>
      <c r="BB29" s="339"/>
      <c r="BC29" s="339"/>
      <c r="BD29" s="339"/>
      <c r="BE29" s="339"/>
      <c r="BF29" s="339"/>
      <c r="BG29" s="339"/>
      <c r="BH29" s="339"/>
      <c r="BI29" s="338"/>
      <c r="BJ29" s="338"/>
      <c r="BK29" s="338"/>
      <c r="BL29" s="338"/>
      <c r="BM29" s="338"/>
      <c r="BN29" s="338"/>
      <c r="BO29" s="339"/>
      <c r="BP29" s="339"/>
      <c r="BQ29" s="339"/>
      <c r="BR29" s="339"/>
      <c r="BS29" s="339"/>
      <c r="BT29" s="339"/>
      <c r="BU29" s="339"/>
      <c r="BV29" s="339"/>
      <c r="BW29" s="339"/>
      <c r="BX29" s="339"/>
      <c r="BY29" s="339"/>
      <c r="BZ29" s="339"/>
      <c r="CA29" s="339"/>
      <c r="CB29" s="339"/>
      <c r="CC29" s="339"/>
      <c r="CD29" s="339"/>
      <c r="CE29" s="339"/>
      <c r="CF29" s="339"/>
      <c r="CG29" s="339"/>
      <c r="CH29" s="339"/>
      <c r="CI29" s="243"/>
      <c r="CJ29" s="243"/>
      <c r="CK29" s="243"/>
      <c r="CL29" s="243"/>
      <c r="CM29" s="243"/>
      <c r="CN29" s="243"/>
      <c r="CO29" s="243"/>
      <c r="CP29" s="243"/>
      <c r="CQ29" s="243"/>
      <c r="CR29" s="243"/>
      <c r="CS29" s="243"/>
      <c r="CT29" s="243"/>
      <c r="CU29" s="243"/>
      <c r="CV29" s="243"/>
      <c r="CW29" s="243"/>
      <c r="CX29" s="243"/>
      <c r="CY29" s="243"/>
      <c r="CZ29" s="243">
        <v>24</v>
      </c>
      <c r="DA29" s="243">
        <v>55</v>
      </c>
      <c r="DB29" s="243">
        <v>54</v>
      </c>
      <c r="DC29" s="243">
        <v>72</v>
      </c>
      <c r="DD29" s="243">
        <v>117</v>
      </c>
      <c r="DE29" s="243">
        <v>152</v>
      </c>
      <c r="DF29" s="243">
        <v>159</v>
      </c>
      <c r="DG29" s="243">
        <v>157</v>
      </c>
      <c r="DH29" s="243">
        <v>186</v>
      </c>
      <c r="DI29" s="243">
        <v>286.39999999999998</v>
      </c>
      <c r="DJ29" s="243">
        <v>334</v>
      </c>
      <c r="DK29" s="243">
        <f>+DJ29+15</f>
        <v>349</v>
      </c>
      <c r="DL29" s="243">
        <f>+DK29+15</f>
        <v>364</v>
      </c>
      <c r="DM29" s="243">
        <f>+DL29+15</f>
        <v>379</v>
      </c>
      <c r="DN29" s="243">
        <f>+DM29+15</f>
        <v>394</v>
      </c>
      <c r="EI29" s="235"/>
      <c r="EJ29" s="235"/>
      <c r="EK29" s="235"/>
      <c r="EL29" s="235"/>
      <c r="EM29" s="235"/>
      <c r="EN29" s="235"/>
      <c r="EO29" s="235"/>
      <c r="EP29" s="235"/>
      <c r="EQ29" s="235"/>
      <c r="ER29" s="235">
        <f t="shared" si="23"/>
        <v>0</v>
      </c>
      <c r="ES29" s="235">
        <f t="shared" si="104"/>
        <v>0</v>
      </c>
      <c r="ET29" s="235">
        <f>SUM(CM29:CP29)</f>
        <v>0</v>
      </c>
      <c r="EU29" s="235">
        <f>SUM(CQ29:CT29)</f>
        <v>0</v>
      </c>
      <c r="EV29" s="235">
        <f t="shared" si="105"/>
        <v>0</v>
      </c>
      <c r="EW29" s="235">
        <f>SUM(CY29:DB29)</f>
        <v>133</v>
      </c>
      <c r="EX29" s="235">
        <f t="shared" si="47"/>
        <v>500</v>
      </c>
      <c r="EY29" s="235">
        <f t="shared" si="25"/>
        <v>963.4</v>
      </c>
      <c r="EZ29" s="235">
        <f>SUM(DK29:DN29)</f>
        <v>1486</v>
      </c>
      <c r="FA29" s="235">
        <f>+EZ29*1.15</f>
        <v>1708.8999999999999</v>
      </c>
      <c r="FB29" s="235">
        <f>+FA29*1.15</f>
        <v>1965.2349999999997</v>
      </c>
      <c r="FC29" s="235">
        <f t="shared" ref="FC29:FJ29" si="132">+FB29*1.05</f>
        <v>2063.4967499999998</v>
      </c>
      <c r="FD29" s="235">
        <f t="shared" si="132"/>
        <v>2166.6715875</v>
      </c>
      <c r="FE29" s="235">
        <f t="shared" si="132"/>
        <v>2275.0051668750002</v>
      </c>
      <c r="FF29" s="235">
        <f t="shared" si="132"/>
        <v>2388.7554252187501</v>
      </c>
      <c r="FG29" s="235">
        <f t="shared" si="132"/>
        <v>2508.1931964796877</v>
      </c>
      <c r="FH29" s="235">
        <f t="shared" si="132"/>
        <v>2633.6028563036721</v>
      </c>
      <c r="FI29" s="235">
        <f t="shared" si="132"/>
        <v>2765.282999118856</v>
      </c>
      <c r="FJ29" s="235">
        <f t="shared" si="132"/>
        <v>2903.5471490747991</v>
      </c>
      <c r="FK29" s="254"/>
    </row>
    <row r="30" spans="2:169" s="254" customFormat="1" ht="12.75" customHeight="1" x14ac:dyDescent="0.2">
      <c r="B30" t="s">
        <v>1479</v>
      </c>
      <c r="C30" s="76"/>
      <c r="D30" s="76"/>
      <c r="E30" s="76"/>
      <c r="F30" s="76"/>
      <c r="G30" s="76"/>
      <c r="H30" s="76"/>
      <c r="I30" s="76"/>
      <c r="J30" s="76"/>
      <c r="K30" s="76"/>
      <c r="L30" s="76"/>
      <c r="M30" s="76"/>
      <c r="N30" s="76"/>
      <c r="O30" s="76"/>
      <c r="P30" s="76"/>
      <c r="Q30" s="76"/>
      <c r="R30" s="76"/>
      <c r="S30" s="76"/>
      <c r="T30" s="76"/>
      <c r="U30" s="76"/>
      <c r="V30" s="76"/>
      <c r="W30" s="268"/>
      <c r="X30" s="268"/>
      <c r="Y30" s="268"/>
      <c r="Z30" s="268"/>
      <c r="AA30" s="268"/>
      <c r="AB30" s="268"/>
      <c r="AC30" s="268"/>
      <c r="AD30" s="268"/>
      <c r="AE30" s="269"/>
      <c r="AF30" s="243"/>
      <c r="AG30" s="243"/>
      <c r="AH30" s="243"/>
      <c r="AI30" s="243"/>
      <c r="AJ30" s="243"/>
      <c r="AK30" s="243"/>
      <c r="AL30" s="243"/>
      <c r="AM30" s="243"/>
      <c r="AN30" s="243"/>
      <c r="AO30" s="243"/>
      <c r="AP30" s="243"/>
      <c r="AQ30" s="243"/>
      <c r="AR30" s="243"/>
      <c r="AS30" s="243"/>
      <c r="AT30" s="243"/>
      <c r="AU30" s="243"/>
      <c r="AV30" s="243"/>
      <c r="AW30" s="243"/>
      <c r="AX30" s="243"/>
      <c r="AY30" s="76"/>
      <c r="AZ30" s="76"/>
      <c r="BA30" s="76"/>
      <c r="BB30" s="76"/>
      <c r="BC30" s="76"/>
      <c r="BD30" s="76"/>
      <c r="BE30" s="76"/>
      <c r="BF30" s="76"/>
      <c r="BG30" s="76">
        <v>5</v>
      </c>
      <c r="BH30" s="76"/>
      <c r="BI30" s="243">
        <v>95</v>
      </c>
      <c r="BJ30" s="76"/>
      <c r="BK30" s="243">
        <v>200</v>
      </c>
      <c r="BL30" s="243">
        <v>232</v>
      </c>
      <c r="BM30" s="243">
        <v>265</v>
      </c>
      <c r="BN30" s="243">
        <v>264</v>
      </c>
      <c r="BO30" s="243">
        <v>344</v>
      </c>
      <c r="BP30" s="243">
        <v>395</v>
      </c>
      <c r="BQ30" s="243">
        <v>464</v>
      </c>
      <c r="BR30" s="243">
        <v>495</v>
      </c>
      <c r="BS30" s="243">
        <v>512</v>
      </c>
      <c r="BT30" s="243">
        <v>562</v>
      </c>
      <c r="BU30" s="243">
        <v>568</v>
      </c>
      <c r="BV30" s="243">
        <v>595</v>
      </c>
      <c r="BW30" s="243">
        <v>556</v>
      </c>
      <c r="BX30" s="243">
        <v>546</v>
      </c>
      <c r="BY30" s="243">
        <v>548</v>
      </c>
      <c r="BZ30" s="243">
        <v>581</v>
      </c>
      <c r="CA30" s="243">
        <v>558</v>
      </c>
      <c r="CB30" s="243">
        <v>601</v>
      </c>
      <c r="CC30" s="243">
        <v>582</v>
      </c>
      <c r="CD30" s="243">
        <v>519</v>
      </c>
      <c r="CE30" s="243">
        <v>523</v>
      </c>
      <c r="CF30" s="243">
        <v>558</v>
      </c>
      <c r="CG30" s="243">
        <v>669</v>
      </c>
      <c r="CH30" s="243">
        <v>755</v>
      </c>
      <c r="CI30" s="243">
        <v>845</v>
      </c>
      <c r="CJ30" s="243">
        <v>909</v>
      </c>
      <c r="CK30" s="243">
        <v>958</v>
      </c>
      <c r="CL30" s="243">
        <v>786</v>
      </c>
      <c r="CM30" s="243">
        <v>679</v>
      </c>
      <c r="CN30" s="243">
        <v>698</v>
      </c>
      <c r="CO30" s="243">
        <v>741</v>
      </c>
      <c r="CP30" s="243">
        <v>677</v>
      </c>
      <c r="CQ30" s="243">
        <v>690</v>
      </c>
      <c r="CR30" s="243">
        <v>568</v>
      </c>
      <c r="CS30" s="243">
        <v>590</v>
      </c>
      <c r="CT30" s="243">
        <v>622</v>
      </c>
      <c r="CU30" s="243">
        <v>638</v>
      </c>
      <c r="CV30" s="243">
        <v>563</v>
      </c>
      <c r="CW30" s="243">
        <v>548</v>
      </c>
      <c r="CX30" s="243">
        <v>548</v>
      </c>
      <c r="CY30" s="243">
        <v>539</v>
      </c>
      <c r="CZ30" s="243">
        <v>505</v>
      </c>
      <c r="DA30" s="243">
        <v>456</v>
      </c>
      <c r="DB30" s="243">
        <v>270</v>
      </c>
      <c r="DC30" s="243">
        <v>245</v>
      </c>
      <c r="DD30" s="243">
        <v>227</v>
      </c>
      <c r="DE30" s="243">
        <v>214</v>
      </c>
      <c r="DF30" s="243">
        <v>201</v>
      </c>
      <c r="DG30" s="243">
        <v>181</v>
      </c>
      <c r="DH30" s="243">
        <v>165</v>
      </c>
      <c r="DI30" s="243">
        <v>150.30000000000001</v>
      </c>
      <c r="DJ30" s="243">
        <v>135</v>
      </c>
      <c r="DK30" s="243">
        <f t="shared" ref="DK30" si="133">DJ30*0.9</f>
        <v>121.5</v>
      </c>
      <c r="DL30" s="243">
        <f t="shared" ref="DL30" si="134">DK30*0.9</f>
        <v>109.35000000000001</v>
      </c>
      <c r="DM30" s="243">
        <f t="shared" ref="DM30" si="135">DL30*0.9</f>
        <v>98.415000000000006</v>
      </c>
      <c r="DN30" s="243">
        <f t="shared" ref="DN30" si="136">DM30*0.9</f>
        <v>88.57350000000001</v>
      </c>
      <c r="DP30" s="76"/>
      <c r="DQ30" s="76"/>
      <c r="DR30" s="76"/>
      <c r="DS30" s="76"/>
      <c r="DT30" s="76"/>
      <c r="DU30" s="76"/>
      <c r="DV30" s="76"/>
      <c r="DW30" s="76"/>
      <c r="DX30" s="76"/>
      <c r="DY30" s="76"/>
      <c r="DZ30" s="76"/>
      <c r="EA30" s="76"/>
      <c r="EB30" s="76"/>
      <c r="EC30" s="76"/>
      <c r="ED30" s="76"/>
      <c r="EE30" s="76"/>
      <c r="EF30" s="76"/>
      <c r="EG30" s="76"/>
      <c r="EH30" s="76"/>
      <c r="EI30" s="76"/>
      <c r="EJ30" s="235"/>
      <c r="EK30" s="235"/>
      <c r="EL30" s="235">
        <f t="shared" ref="EL30" si="137">SUM(BG30:BJ30)</f>
        <v>100</v>
      </c>
      <c r="EM30" s="235">
        <f t="shared" ref="EM30" si="138">SUM(BK30:BN30)</f>
        <v>961</v>
      </c>
      <c r="EN30" s="235">
        <f>SUM(BO30:BR30)</f>
        <v>1698</v>
      </c>
      <c r="EO30" s="235">
        <f>+EN30*1.2</f>
        <v>2037.6</v>
      </c>
      <c r="EP30" s="235">
        <f>+EO30*1.05</f>
        <v>2139.48</v>
      </c>
      <c r="EQ30" s="235">
        <f>+EP30*1.05</f>
        <v>2246.4540000000002</v>
      </c>
      <c r="ER30" s="235">
        <f t="shared" si="23"/>
        <v>2505</v>
      </c>
      <c r="ES30" s="235">
        <f t="shared" si="104"/>
        <v>3498</v>
      </c>
      <c r="ET30" s="235">
        <f>SUM(CM30:CP30)</f>
        <v>2795</v>
      </c>
      <c r="EU30" s="235">
        <f>SUM(CQ30:CT30)</f>
        <v>2470</v>
      </c>
      <c r="EV30" s="235">
        <f t="shared" si="105"/>
        <v>2297</v>
      </c>
      <c r="EW30" s="235">
        <f>SUM(CY30:DB30)</f>
        <v>1770</v>
      </c>
      <c r="EX30" s="235">
        <f t="shared" si="47"/>
        <v>887</v>
      </c>
      <c r="EY30" s="235">
        <f t="shared" si="25"/>
        <v>631.29999999999995</v>
      </c>
      <c r="EZ30" s="235">
        <f>SUM(DK30:DN30)</f>
        <v>417.83850000000007</v>
      </c>
      <c r="FA30" s="235">
        <f t="shared" ref="FA30:FE30" si="139">+EZ30*0.5</f>
        <v>208.91925000000003</v>
      </c>
      <c r="FB30" s="235">
        <f t="shared" si="139"/>
        <v>104.45962500000002</v>
      </c>
      <c r="FC30" s="235">
        <f t="shared" si="139"/>
        <v>52.229812500000008</v>
      </c>
      <c r="FD30" s="235">
        <f t="shared" si="139"/>
        <v>26.114906250000004</v>
      </c>
      <c r="FE30" s="235">
        <f t="shared" si="139"/>
        <v>13.057453125000002</v>
      </c>
      <c r="FF30" s="235">
        <f t="shared" ref="FF30" si="140">+FE30*0.5</f>
        <v>6.5287265625000011</v>
      </c>
      <c r="FG30" s="235">
        <f t="shared" ref="FG30" si="141">+FF30*0.5</f>
        <v>3.2643632812500005</v>
      </c>
      <c r="FH30" s="235">
        <f t="shared" ref="FH30" si="142">+FG30*0.5</f>
        <v>1.6321816406250003</v>
      </c>
      <c r="FI30" s="235">
        <f t="shared" ref="FI30" si="143">+FH30*0.5</f>
        <v>0.81609082031250013</v>
      </c>
      <c r="FJ30" s="235">
        <f t="shared" ref="FJ30" si="144">+FI30*0.5</f>
        <v>0.40804541015625007</v>
      </c>
      <c r="FM30"/>
    </row>
    <row r="31" spans="2:169" s="254" customFormat="1" ht="12.75" customHeight="1" x14ac:dyDescent="0.2">
      <c r="B31" t="s">
        <v>1961</v>
      </c>
      <c r="C31" s="76"/>
      <c r="D31" s="76"/>
      <c r="E31" s="76"/>
      <c r="F31" s="76"/>
      <c r="G31" s="76"/>
      <c r="H31" s="76"/>
      <c r="I31" s="76"/>
      <c r="J31" s="76"/>
      <c r="K31" s="76"/>
      <c r="L31" s="76"/>
      <c r="M31" s="76"/>
      <c r="N31" s="76"/>
      <c r="O31" s="76"/>
      <c r="P31" s="76"/>
      <c r="Q31" s="76"/>
      <c r="R31" s="76"/>
      <c r="S31" s="76"/>
      <c r="T31" s="76"/>
      <c r="U31" s="76"/>
      <c r="V31" s="76"/>
      <c r="W31" s="268"/>
      <c r="X31" s="268"/>
      <c r="Y31" s="268"/>
      <c r="Z31" s="268"/>
      <c r="AA31" s="268"/>
      <c r="AB31" s="268"/>
      <c r="AC31" s="268"/>
      <c r="AD31" s="268"/>
      <c r="AE31" s="269"/>
      <c r="AF31" s="243"/>
      <c r="AG31" s="243"/>
      <c r="AH31" s="243"/>
      <c r="AI31" s="243"/>
      <c r="AJ31" s="243"/>
      <c r="AK31" s="243"/>
      <c r="AL31" s="243"/>
      <c r="AM31" s="243"/>
      <c r="AN31" s="243"/>
      <c r="AO31" s="243"/>
      <c r="AP31" s="243"/>
      <c r="AQ31" s="243"/>
      <c r="AR31" s="243"/>
      <c r="AS31" s="243"/>
      <c r="AT31" s="243"/>
      <c r="AU31" s="243"/>
      <c r="AV31" s="243"/>
      <c r="AW31" s="243"/>
      <c r="AX31" s="243"/>
      <c r="AY31" s="76"/>
      <c r="AZ31" s="76"/>
      <c r="BA31" s="76"/>
      <c r="BB31" s="76"/>
      <c r="BC31" s="76"/>
      <c r="BD31" s="76"/>
      <c r="BE31" s="76"/>
      <c r="BF31" s="76"/>
      <c r="BG31" s="76"/>
      <c r="BH31" s="76"/>
      <c r="BI31" s="243"/>
      <c r="BJ31" s="76"/>
      <c r="BK31" s="243"/>
      <c r="BL31" s="243"/>
      <c r="BM31" s="243"/>
      <c r="BN31" s="243"/>
      <c r="BO31" s="243"/>
      <c r="BP31" s="243"/>
      <c r="BQ31" s="243"/>
      <c r="BR31" s="243"/>
      <c r="BS31" s="243"/>
      <c r="BT31" s="243"/>
      <c r="BU31" s="243"/>
      <c r="BV31" s="243"/>
      <c r="BW31" s="243"/>
      <c r="BX31" s="243"/>
      <c r="BY31" s="243"/>
      <c r="BZ31" s="243"/>
      <c r="CA31" s="243"/>
      <c r="CB31" s="243"/>
      <c r="CC31" s="243"/>
      <c r="CD31" s="243"/>
      <c r="CE31" s="243"/>
      <c r="CF31" s="243"/>
      <c r="CG31" s="243"/>
      <c r="CH31" s="243"/>
      <c r="CI31" s="243"/>
      <c r="CJ31" s="243"/>
      <c r="CK31" s="243"/>
      <c r="CL31" s="243"/>
      <c r="CM31" s="243"/>
      <c r="CN31" s="243"/>
      <c r="CO31" s="243"/>
      <c r="CP31" s="243"/>
      <c r="CQ31" s="243"/>
      <c r="CR31" s="243"/>
      <c r="CS31" s="243"/>
      <c r="CT31" s="243"/>
      <c r="CU31" s="243"/>
      <c r="CV31" s="243"/>
      <c r="CW31" s="243"/>
      <c r="CX31" s="243"/>
      <c r="CY31" s="243"/>
      <c r="CZ31" s="243"/>
      <c r="DA31" s="243"/>
      <c r="DB31" s="243"/>
      <c r="DC31" s="243"/>
      <c r="DD31" s="243"/>
      <c r="DE31" s="243"/>
      <c r="DF31" s="243"/>
      <c r="DG31" s="243"/>
      <c r="DH31" s="243"/>
      <c r="DI31" s="243"/>
      <c r="DJ31" s="243"/>
      <c r="DK31" s="243"/>
      <c r="DL31" s="243"/>
      <c r="DM31" s="243"/>
      <c r="DN31" s="243"/>
      <c r="DP31" s="76"/>
      <c r="DQ31" s="76"/>
      <c r="DR31" s="76"/>
      <c r="DS31" s="76"/>
      <c r="DT31" s="76"/>
      <c r="DU31" s="76"/>
      <c r="DV31" s="76"/>
      <c r="DW31" s="76"/>
      <c r="DX31" s="76"/>
      <c r="DY31" s="76"/>
      <c r="DZ31" s="76"/>
      <c r="EA31" s="76"/>
      <c r="EB31" s="76"/>
      <c r="EC31" s="76"/>
      <c r="ED31" s="76"/>
      <c r="EE31" s="76"/>
      <c r="EF31" s="76"/>
      <c r="EG31" s="76"/>
      <c r="EH31" s="76"/>
      <c r="EI31" s="76"/>
      <c r="EJ31" s="235"/>
      <c r="EK31" s="235"/>
      <c r="EL31" s="235"/>
      <c r="EM31" s="235"/>
      <c r="EN31" s="235"/>
      <c r="EO31" s="235"/>
      <c r="EP31" s="235"/>
      <c r="EQ31" s="235"/>
      <c r="ER31" s="235">
        <f t="shared" si="23"/>
        <v>0</v>
      </c>
      <c r="ES31" s="235"/>
      <c r="ET31" s="235"/>
      <c r="EU31" s="235"/>
      <c r="EV31" s="235"/>
      <c r="EW31" s="235"/>
      <c r="EX31" s="235"/>
      <c r="EY31" s="235"/>
      <c r="EZ31" s="235">
        <v>400</v>
      </c>
      <c r="FA31" s="235">
        <v>600</v>
      </c>
      <c r="FB31" s="235">
        <v>800</v>
      </c>
      <c r="FC31" s="235">
        <v>1000</v>
      </c>
      <c r="FD31" s="235">
        <f>+FC31*1.05</f>
        <v>1050</v>
      </c>
      <c r="FE31" s="235">
        <f t="shared" ref="FE31:FJ31" si="145">+FD31*1.05</f>
        <v>1102.5</v>
      </c>
      <c r="FF31" s="235">
        <f t="shared" si="145"/>
        <v>1157.625</v>
      </c>
      <c r="FG31" s="235">
        <f t="shared" si="145"/>
        <v>1215.5062500000001</v>
      </c>
      <c r="FH31" s="235">
        <f t="shared" si="145"/>
        <v>1276.2815625000003</v>
      </c>
      <c r="FI31" s="235">
        <f t="shared" si="145"/>
        <v>1340.0956406250004</v>
      </c>
      <c r="FJ31" s="235">
        <f t="shared" si="145"/>
        <v>1407.1004226562504</v>
      </c>
      <c r="FM31"/>
    </row>
    <row r="32" spans="2:169" s="254" customFormat="1" ht="12.75" customHeight="1" x14ac:dyDescent="0.2">
      <c r="B32" t="s">
        <v>1682</v>
      </c>
      <c r="C32" s="76"/>
      <c r="D32" s="76"/>
      <c r="E32" s="76"/>
      <c r="F32" s="76"/>
      <c r="G32" s="76"/>
      <c r="H32" s="76"/>
      <c r="I32" s="76"/>
      <c r="J32" s="76"/>
      <c r="K32" s="76"/>
      <c r="L32" s="76"/>
      <c r="M32" s="76"/>
      <c r="N32" s="76"/>
      <c r="O32" s="76"/>
      <c r="P32" s="76"/>
      <c r="Q32" s="76"/>
      <c r="R32" s="76"/>
      <c r="S32" s="76"/>
      <c r="T32" s="76"/>
      <c r="U32" s="76"/>
      <c r="V32" s="76"/>
      <c r="W32" s="268"/>
      <c r="X32" s="268"/>
      <c r="Y32" s="268"/>
      <c r="Z32" s="268"/>
      <c r="AA32" s="268"/>
      <c r="AB32" s="268"/>
      <c r="AC32" s="268"/>
      <c r="AD32" s="268"/>
      <c r="AE32" s="269"/>
      <c r="AF32" s="243"/>
      <c r="AG32" s="243"/>
      <c r="AH32" s="243"/>
      <c r="AI32" s="243"/>
      <c r="AJ32" s="243"/>
      <c r="AK32" s="243"/>
      <c r="AL32" s="243"/>
      <c r="AM32" s="243"/>
      <c r="AN32" s="243"/>
      <c r="AO32" s="243"/>
      <c r="AP32" s="243"/>
      <c r="AQ32" s="243"/>
      <c r="AR32" s="243"/>
      <c r="AS32" s="243"/>
      <c r="AT32" s="243"/>
      <c r="AU32" s="243"/>
      <c r="AV32" s="243"/>
      <c r="AW32" s="243"/>
      <c r="AX32" s="243"/>
      <c r="AY32" s="76"/>
      <c r="AZ32" s="76"/>
      <c r="BA32" s="76"/>
      <c r="BB32" s="76"/>
      <c r="BC32" s="76"/>
      <c r="BD32" s="76"/>
      <c r="BE32" s="76"/>
      <c r="BF32" s="76"/>
      <c r="BG32" s="76"/>
      <c r="BH32" s="76"/>
      <c r="BI32" s="243"/>
      <c r="BJ32" s="76"/>
      <c r="BK32" s="243"/>
      <c r="BL32" s="243"/>
      <c r="BM32" s="243"/>
      <c r="BN32" s="243"/>
      <c r="BO32" s="243"/>
      <c r="BP32" s="243"/>
      <c r="BQ32" s="243"/>
      <c r="BR32" s="243"/>
      <c r="BS32" s="243"/>
      <c r="BT32" s="243">
        <v>104</v>
      </c>
      <c r="BU32" s="243">
        <v>99</v>
      </c>
      <c r="BV32" s="243">
        <v>107</v>
      </c>
      <c r="BW32" s="243">
        <v>97</v>
      </c>
      <c r="BX32" s="243">
        <v>100</v>
      </c>
      <c r="BY32" s="243">
        <v>109</v>
      </c>
      <c r="BZ32" s="243">
        <v>116</v>
      </c>
      <c r="CA32" s="243">
        <v>130</v>
      </c>
      <c r="CB32" s="243">
        <v>128</v>
      </c>
      <c r="CC32" s="243">
        <v>282</v>
      </c>
      <c r="CD32" s="243">
        <v>123</v>
      </c>
      <c r="CE32" s="243">
        <v>127</v>
      </c>
      <c r="CF32" s="243">
        <v>130</v>
      </c>
      <c r="CG32" s="243">
        <v>127</v>
      </c>
      <c r="CH32" s="243">
        <v>120</v>
      </c>
      <c r="CI32" s="243">
        <v>134</v>
      </c>
      <c r="CJ32" s="243">
        <v>136</v>
      </c>
      <c r="CK32" s="243">
        <v>156</v>
      </c>
      <c r="CL32" s="243">
        <v>164</v>
      </c>
      <c r="CM32" s="243">
        <v>163</v>
      </c>
      <c r="CN32" s="243">
        <v>170</v>
      </c>
      <c r="CO32" s="243">
        <v>186</v>
      </c>
      <c r="CP32" s="243">
        <v>220</v>
      </c>
      <c r="CQ32" s="243">
        <v>212</v>
      </c>
      <c r="CR32" s="243">
        <v>204</v>
      </c>
      <c r="CS32" s="243">
        <v>203</v>
      </c>
      <c r="CT32" s="243">
        <v>202</v>
      </c>
      <c r="CU32" s="243">
        <v>182</v>
      </c>
      <c r="CV32" s="243">
        <v>120</v>
      </c>
      <c r="CW32" s="243">
        <v>126</v>
      </c>
      <c r="CX32" s="243">
        <v>140</v>
      </c>
      <c r="CY32" s="243">
        <v>118</v>
      </c>
      <c r="CZ32" s="243">
        <v>130</v>
      </c>
      <c r="DA32" s="243">
        <v>155</v>
      </c>
      <c r="DB32" s="243">
        <v>168</v>
      </c>
      <c r="DC32" s="243">
        <v>162</v>
      </c>
      <c r="DD32" s="243">
        <v>214</v>
      </c>
      <c r="DE32" s="243">
        <f>229-DE34</f>
        <v>117</v>
      </c>
      <c r="DF32" s="243">
        <f>274-DF34</f>
        <v>148</v>
      </c>
      <c r="DG32" s="243">
        <v>178</v>
      </c>
      <c r="DH32" s="243">
        <v>221</v>
      </c>
      <c r="DI32" s="243">
        <v>250.4</v>
      </c>
      <c r="DJ32" s="243">
        <v>282</v>
      </c>
      <c r="DK32" s="243">
        <f t="shared" ref="DK32" si="146">+DJ32</f>
        <v>282</v>
      </c>
      <c r="DL32" s="243">
        <f t="shared" ref="DL32" si="147">+DK32</f>
        <v>282</v>
      </c>
      <c r="DM32" s="243">
        <f t="shared" ref="DM32" si="148">+DL32</f>
        <v>282</v>
      </c>
      <c r="DN32" s="243">
        <f t="shared" ref="DN32" si="149">+DM32</f>
        <v>282</v>
      </c>
      <c r="DP32" s="76"/>
      <c r="DQ32" s="76"/>
      <c r="DR32" s="76"/>
      <c r="DS32" s="76"/>
      <c r="DT32" s="76"/>
      <c r="DU32" s="76"/>
      <c r="DV32" s="76"/>
      <c r="DW32" s="76"/>
      <c r="DX32" s="76"/>
      <c r="DY32" s="76"/>
      <c r="DZ32" s="76"/>
      <c r="EA32" s="76"/>
      <c r="EB32" s="76"/>
      <c r="EC32" s="76"/>
      <c r="ED32" s="76"/>
      <c r="EE32" s="76"/>
      <c r="EF32" s="76"/>
      <c r="EG32" s="76"/>
      <c r="EH32" s="76"/>
      <c r="EI32" s="76"/>
      <c r="EJ32" s="235"/>
      <c r="EK32" s="235"/>
      <c r="EL32" s="235"/>
      <c r="EM32" s="235"/>
      <c r="EN32" s="235"/>
      <c r="EO32" s="235"/>
      <c r="EP32" s="235"/>
      <c r="EQ32" s="235"/>
      <c r="ER32" s="235">
        <f t="shared" si="23"/>
        <v>504</v>
      </c>
      <c r="ES32" s="235">
        <f t="shared" ref="ES32:ES49" si="150">SUM(CI32:CL32)</f>
        <v>590</v>
      </c>
      <c r="ET32" s="235">
        <f t="shared" ref="ET32:ET49" si="151">SUM(CM32:CP32)</f>
        <v>739</v>
      </c>
      <c r="EU32" s="235">
        <f t="shared" ref="EU32:EU49" si="152">SUM(CQ32:CT32)</f>
        <v>821</v>
      </c>
      <c r="EV32" s="235">
        <f t="shared" ref="EV32:EV49" si="153">SUM(CU32:CX32)</f>
        <v>568</v>
      </c>
      <c r="EW32" s="235">
        <f t="shared" ref="EW32:EW49" si="154">SUM(CY32:DB32)</f>
        <v>571</v>
      </c>
      <c r="EX32" s="235">
        <f t="shared" si="47"/>
        <v>641</v>
      </c>
      <c r="EY32" s="235">
        <f>SUM(DG32:DJ32)</f>
        <v>931.4</v>
      </c>
      <c r="EZ32" s="235">
        <f t="shared" ref="EZ32:EZ37" si="155">SUM(DK32:DN32)</f>
        <v>1128</v>
      </c>
      <c r="FA32" s="235">
        <f t="shared" ref="FA32:FE32" si="156">+EZ32*0.9</f>
        <v>1015.2</v>
      </c>
      <c r="FB32" s="235">
        <f t="shared" si="156"/>
        <v>913.68000000000006</v>
      </c>
      <c r="FC32" s="235">
        <f t="shared" si="156"/>
        <v>822.31200000000013</v>
      </c>
      <c r="FD32" s="235">
        <f t="shared" si="156"/>
        <v>740.08080000000018</v>
      </c>
      <c r="FE32" s="235">
        <f t="shared" si="156"/>
        <v>666.07272000000023</v>
      </c>
      <c r="FF32" s="235">
        <f t="shared" ref="FF32" si="157">+FE32*0.9</f>
        <v>599.46544800000026</v>
      </c>
      <c r="FG32" s="235">
        <f t="shared" ref="FG32" si="158">+FF32*0.9</f>
        <v>539.5189032000003</v>
      </c>
      <c r="FH32" s="235">
        <f t="shared" ref="FH32" si="159">+FG32*0.9</f>
        <v>485.56701288000028</v>
      </c>
      <c r="FI32" s="235">
        <f t="shared" ref="FI32" si="160">+FH32*0.9</f>
        <v>437.01031159200028</v>
      </c>
      <c r="FJ32" s="235">
        <f t="shared" ref="FJ32" si="161">+FI32*0.9</f>
        <v>393.30928043280028</v>
      </c>
      <c r="FM32"/>
    </row>
    <row r="33" spans="2:169" ht="12.75" customHeight="1" x14ac:dyDescent="0.2">
      <c r="B33" t="s">
        <v>1675</v>
      </c>
      <c r="W33" s="268"/>
      <c r="X33" s="268"/>
      <c r="Y33" s="268"/>
      <c r="Z33" s="268"/>
      <c r="AA33" s="268"/>
      <c r="AB33" s="268"/>
      <c r="AC33" s="268"/>
      <c r="AD33" s="268"/>
      <c r="AE33" s="269"/>
      <c r="AF33" s="243"/>
      <c r="AG33" s="243"/>
      <c r="AH33" s="243"/>
      <c r="AI33" s="243"/>
      <c r="AJ33" s="243"/>
      <c r="AK33" s="243"/>
      <c r="AL33" s="243"/>
      <c r="AM33" s="243"/>
      <c r="AN33" s="243"/>
      <c r="AO33" s="243"/>
      <c r="AP33" s="243"/>
      <c r="AQ33" s="243"/>
      <c r="AR33" s="243"/>
      <c r="AS33" s="243"/>
      <c r="AT33" s="243"/>
      <c r="AU33" s="243"/>
      <c r="AV33" s="243"/>
      <c r="AW33" s="243"/>
      <c r="AX33" s="243"/>
      <c r="AY33" s="243"/>
      <c r="AZ33" s="243"/>
      <c r="BA33" s="243"/>
      <c r="BB33" s="243"/>
      <c r="BC33" s="243"/>
      <c r="BD33" s="243"/>
      <c r="BE33" s="243"/>
      <c r="BF33" s="243"/>
      <c r="BG33" s="243"/>
      <c r="BH33" s="243"/>
      <c r="BO33" s="243"/>
      <c r="BP33" s="243"/>
      <c r="BQ33" s="243"/>
      <c r="BR33" s="243"/>
      <c r="BS33" s="243"/>
      <c r="BT33" s="243"/>
      <c r="BU33" s="243"/>
      <c r="BV33" s="243"/>
      <c r="BW33" s="243"/>
      <c r="BX33" s="243"/>
      <c r="BY33" s="243"/>
      <c r="BZ33" s="243"/>
      <c r="CA33" s="243"/>
      <c r="CB33" s="243"/>
      <c r="CC33" s="243"/>
      <c r="CD33" s="243"/>
      <c r="CE33" s="243"/>
      <c r="CF33" s="243"/>
      <c r="CG33" s="243"/>
      <c r="CH33" s="243"/>
      <c r="CI33" s="243"/>
      <c r="CJ33" s="243"/>
      <c r="CK33" s="243"/>
      <c r="CL33" s="243"/>
      <c r="CM33" s="243"/>
      <c r="CN33" s="243"/>
      <c r="CO33" s="243"/>
      <c r="CP33" s="243"/>
      <c r="CQ33" s="243">
        <v>143</v>
      </c>
      <c r="CR33" s="243">
        <v>170</v>
      </c>
      <c r="CS33" s="243">
        <v>206</v>
      </c>
      <c r="CT33" s="243">
        <v>241</v>
      </c>
      <c r="CU33" s="243">
        <v>261</v>
      </c>
      <c r="CV33" s="243">
        <v>302</v>
      </c>
      <c r="CW33" s="243">
        <v>344</v>
      </c>
      <c r="CX33" s="243">
        <v>384</v>
      </c>
      <c r="CY33" s="243">
        <v>400</v>
      </c>
      <c r="CZ33" s="243">
        <v>450</v>
      </c>
      <c r="DA33" s="243">
        <v>490</v>
      </c>
      <c r="DB33" s="243">
        <v>541</v>
      </c>
      <c r="DC33" s="243">
        <v>542</v>
      </c>
      <c r="DD33" s="243">
        <v>567</v>
      </c>
      <c r="DE33" s="243">
        <v>631</v>
      </c>
      <c r="DF33" s="243">
        <v>647</v>
      </c>
      <c r="DG33" s="243">
        <v>689</v>
      </c>
      <c r="DH33" s="243">
        <v>736</v>
      </c>
      <c r="DI33" s="243">
        <v>790</v>
      </c>
      <c r="DJ33" s="243">
        <v>784</v>
      </c>
      <c r="DK33" s="243">
        <f t="shared" ref="DK33:DN33" si="162">+DG33*1.15</f>
        <v>792.34999999999991</v>
      </c>
      <c r="DL33" s="243">
        <f t="shared" si="162"/>
        <v>846.4</v>
      </c>
      <c r="DM33" s="243">
        <f t="shared" si="162"/>
        <v>908.49999999999989</v>
      </c>
      <c r="DN33" s="243">
        <f t="shared" si="162"/>
        <v>901.59999999999991</v>
      </c>
      <c r="EI33" s="235"/>
      <c r="EJ33" s="235"/>
      <c r="EK33" s="235"/>
      <c r="EL33" s="235"/>
      <c r="EM33" s="235"/>
      <c r="EN33" s="235"/>
      <c r="EO33" s="235"/>
      <c r="EP33" s="235"/>
      <c r="EQ33" s="235"/>
      <c r="ER33" s="235">
        <f t="shared" si="23"/>
        <v>0</v>
      </c>
      <c r="ES33" s="235">
        <f t="shared" si="150"/>
        <v>0</v>
      </c>
      <c r="ET33" s="235">
        <f t="shared" si="151"/>
        <v>0</v>
      </c>
      <c r="EU33" s="235">
        <f t="shared" si="152"/>
        <v>760</v>
      </c>
      <c r="EV33" s="235">
        <f t="shared" si="153"/>
        <v>1291</v>
      </c>
      <c r="EW33" s="235">
        <f t="shared" si="154"/>
        <v>1881</v>
      </c>
      <c r="EX33" s="235">
        <f t="shared" si="47"/>
        <v>2387</v>
      </c>
      <c r="EY33" s="235">
        <f t="shared" si="25"/>
        <v>2999</v>
      </c>
      <c r="EZ33" s="235">
        <f t="shared" si="155"/>
        <v>3448.85</v>
      </c>
      <c r="FA33" s="235">
        <f>+EZ33*1.05</f>
        <v>3621.2925</v>
      </c>
      <c r="FB33" s="235">
        <f t="shared" ref="FB33:FE33" si="163">+FA33*1.05</f>
        <v>3802.357125</v>
      </c>
      <c r="FC33" s="235">
        <f t="shared" si="163"/>
        <v>3992.4749812500004</v>
      </c>
      <c r="FD33" s="235">
        <f t="shared" si="163"/>
        <v>4192.0987303125003</v>
      </c>
      <c r="FE33" s="235">
        <f t="shared" si="163"/>
        <v>4401.7036668281253</v>
      </c>
      <c r="FF33" s="235">
        <f t="shared" ref="FF33" si="164">+FE33*1.05</f>
        <v>4621.7888501695315</v>
      </c>
      <c r="FG33" s="235">
        <f t="shared" ref="FG33" si="165">+FF33*1.05</f>
        <v>4852.8782926780086</v>
      </c>
      <c r="FH33" s="235">
        <f t="shared" ref="FH33" si="166">+FG33*1.05</f>
        <v>5095.5222073119094</v>
      </c>
      <c r="FI33" s="235">
        <f t="shared" ref="FI33" si="167">+FH33*1.05</f>
        <v>5350.2983176775051</v>
      </c>
      <c r="FJ33" s="235">
        <f t="shared" ref="FJ33" si="168">+FI33*1.05</f>
        <v>5617.8132335613809</v>
      </c>
      <c r="FK33" s="254"/>
    </row>
    <row r="34" spans="2:169" ht="12.75" customHeight="1" x14ac:dyDescent="0.2">
      <c r="B34" t="s">
        <v>1942</v>
      </c>
      <c r="W34" s="268"/>
      <c r="X34" s="268"/>
      <c r="Y34" s="268"/>
      <c r="Z34" s="268"/>
      <c r="AA34" s="268"/>
      <c r="AB34" s="268"/>
      <c r="AC34" s="268"/>
      <c r="AD34" s="268"/>
      <c r="AE34" s="269"/>
      <c r="AF34" s="243"/>
      <c r="AG34" s="243"/>
      <c r="AH34" s="243"/>
      <c r="AI34" s="243"/>
      <c r="AJ34" s="243"/>
      <c r="AK34" s="243"/>
      <c r="AL34" s="243"/>
      <c r="AM34" s="243"/>
      <c r="AN34" s="243"/>
      <c r="AO34" s="243"/>
      <c r="AP34" s="243"/>
      <c r="AQ34" s="243"/>
      <c r="AR34" s="243"/>
      <c r="AS34" s="243"/>
      <c r="AT34" s="243"/>
      <c r="AU34" s="243"/>
      <c r="AV34" s="243"/>
      <c r="AW34" s="243"/>
      <c r="AX34" s="243"/>
      <c r="AY34" s="243"/>
      <c r="AZ34" s="243"/>
      <c r="BA34" s="243"/>
      <c r="BB34" s="243"/>
      <c r="BC34" s="243"/>
      <c r="BD34" s="243"/>
      <c r="BE34" s="243"/>
      <c r="BF34" s="243"/>
      <c r="BG34" s="243"/>
      <c r="BH34" s="243"/>
      <c r="BO34" s="243"/>
      <c r="BP34" s="243"/>
      <c r="BQ34" s="243"/>
      <c r="BR34" s="243"/>
      <c r="BS34" s="243"/>
      <c r="BT34" s="243"/>
      <c r="BU34" s="243"/>
      <c r="BV34" s="243"/>
      <c r="BW34" s="243"/>
      <c r="BX34" s="243"/>
      <c r="BY34" s="243"/>
      <c r="BZ34" s="243"/>
      <c r="CA34" s="243"/>
      <c r="CB34" s="243"/>
      <c r="CC34" s="243"/>
      <c r="CD34" s="243"/>
      <c r="CE34" s="243"/>
      <c r="CF34" s="243"/>
      <c r="CG34" s="243"/>
      <c r="CH34" s="243"/>
      <c r="CI34" s="243"/>
      <c r="CJ34" s="243"/>
      <c r="CK34" s="243"/>
      <c r="CL34" s="243"/>
      <c r="CM34" s="243"/>
      <c r="CN34" s="243"/>
      <c r="CO34" s="243"/>
      <c r="CP34" s="243"/>
      <c r="CQ34" s="243"/>
      <c r="CR34" s="243"/>
      <c r="CS34" s="243"/>
      <c r="CT34" s="243"/>
      <c r="CU34" s="243"/>
      <c r="CV34" s="243"/>
      <c r="CW34" s="243"/>
      <c r="CX34" s="243"/>
      <c r="CY34" s="243"/>
      <c r="CZ34" s="243"/>
      <c r="DA34" s="243"/>
      <c r="DB34" s="243"/>
      <c r="DC34" s="237" t="s">
        <v>1943</v>
      </c>
      <c r="DD34" s="243">
        <v>94</v>
      </c>
      <c r="DE34" s="243">
        <v>112</v>
      </c>
      <c r="DF34" s="243">
        <v>126</v>
      </c>
      <c r="DG34" s="243">
        <v>133</v>
      </c>
      <c r="DH34" s="243">
        <v>135</v>
      </c>
      <c r="DI34" s="243">
        <v>135</v>
      </c>
      <c r="DJ34" s="243">
        <v>146</v>
      </c>
      <c r="DK34" s="243">
        <f t="shared" ref="DK34:DN34" si="169">+DJ34+25</f>
        <v>171</v>
      </c>
      <c r="DL34" s="243">
        <f t="shared" si="169"/>
        <v>196</v>
      </c>
      <c r="DM34" s="243">
        <f t="shared" si="169"/>
        <v>221</v>
      </c>
      <c r="DN34" s="243">
        <f t="shared" si="169"/>
        <v>246</v>
      </c>
      <c r="EI34" s="235"/>
      <c r="EJ34" s="235"/>
      <c r="EK34" s="235"/>
      <c r="EL34" s="235"/>
      <c r="EM34" s="235"/>
      <c r="EN34" s="235"/>
      <c r="EO34" s="235"/>
      <c r="EP34" s="235"/>
      <c r="EQ34" s="235"/>
      <c r="ER34" s="235">
        <f t="shared" si="23"/>
        <v>0</v>
      </c>
      <c r="ES34" s="235"/>
      <c r="ET34" s="235"/>
      <c r="EU34" s="235"/>
      <c r="EV34" s="235"/>
      <c r="EW34" s="235"/>
      <c r="EX34" s="235"/>
      <c r="EY34" s="235">
        <f t="shared" si="25"/>
        <v>549</v>
      </c>
      <c r="EZ34" s="235">
        <f t="shared" si="155"/>
        <v>834</v>
      </c>
      <c r="FA34" s="235"/>
      <c r="FB34" s="235"/>
      <c r="FC34" s="235"/>
      <c r="FD34" s="235"/>
      <c r="FE34" s="235"/>
      <c r="FF34" s="235"/>
      <c r="FG34" s="235"/>
      <c r="FH34" s="235"/>
      <c r="FI34" s="235"/>
      <c r="FJ34" s="235"/>
      <c r="FK34" s="254"/>
    </row>
    <row r="35" spans="2:169" s="254" customFormat="1" x14ac:dyDescent="0.2">
      <c r="B35" t="s">
        <v>323</v>
      </c>
      <c r="C35" s="235">
        <f>112+159</f>
        <v>271</v>
      </c>
      <c r="D35" s="235">
        <f>131+169</f>
        <v>300</v>
      </c>
      <c r="E35" s="235">
        <f>126+160</f>
        <v>286</v>
      </c>
      <c r="F35" s="235">
        <f>135+168</f>
        <v>303</v>
      </c>
      <c r="G35" s="235">
        <f>152+167</f>
        <v>319</v>
      </c>
      <c r="H35" s="235">
        <f>161+186</f>
        <v>347</v>
      </c>
      <c r="I35" s="235">
        <f>205+188</f>
        <v>393</v>
      </c>
      <c r="J35" s="235">
        <f>235+205</f>
        <v>440</v>
      </c>
      <c r="K35" s="235">
        <f>255+207</f>
        <v>462</v>
      </c>
      <c r="L35" s="235">
        <f>311+221</f>
        <v>532</v>
      </c>
      <c r="M35" s="235">
        <f>315+214</f>
        <v>529</v>
      </c>
      <c r="N35" s="235">
        <f>359+212</f>
        <v>571</v>
      </c>
      <c r="O35" s="235">
        <f>387+215</f>
        <v>602</v>
      </c>
      <c r="P35" s="235">
        <f>411+230</f>
        <v>641</v>
      </c>
      <c r="Q35" s="235">
        <f>458+233</f>
        <v>691</v>
      </c>
      <c r="R35" s="235">
        <f>554+221</f>
        <v>775</v>
      </c>
      <c r="S35" s="235">
        <f>514+254</f>
        <v>768</v>
      </c>
      <c r="T35" s="235">
        <f>554+276</f>
        <v>830</v>
      </c>
      <c r="U35" s="235">
        <f>742+286</f>
        <v>1028</v>
      </c>
      <c r="V35" s="235">
        <f>525+278</f>
        <v>803</v>
      </c>
      <c r="W35" s="235">
        <f>691+300</f>
        <v>991</v>
      </c>
      <c r="X35" s="235">
        <f>764+322</f>
        <v>1086</v>
      </c>
      <c r="Y35" s="235">
        <f>776+320</f>
        <v>1096</v>
      </c>
      <c r="Z35" s="235">
        <f>803+293</f>
        <v>1096</v>
      </c>
      <c r="AA35" s="235">
        <f>723+274</f>
        <v>997</v>
      </c>
      <c r="AB35" s="235">
        <f>707+308</f>
        <v>1015</v>
      </c>
      <c r="AC35" s="235">
        <f>703+302</f>
        <v>1005</v>
      </c>
      <c r="AD35" s="235">
        <f>671+296</f>
        <v>967</v>
      </c>
      <c r="AE35" s="243">
        <f>688+289</f>
        <v>977</v>
      </c>
      <c r="AF35" s="243">
        <f>582+292</f>
        <v>874</v>
      </c>
      <c r="AG35" s="243">
        <f>613+274</f>
        <v>887</v>
      </c>
      <c r="AH35" s="243">
        <f>578+272</f>
        <v>850</v>
      </c>
      <c r="AI35" s="243">
        <f>565+271</f>
        <v>836</v>
      </c>
      <c r="AJ35" s="243">
        <f>566+280</f>
        <v>846</v>
      </c>
      <c r="AK35" s="243">
        <f>575+269</f>
        <v>844</v>
      </c>
      <c r="AL35" s="243">
        <f>540+258</f>
        <v>798</v>
      </c>
      <c r="AM35" s="243">
        <f>527+259</f>
        <v>786</v>
      </c>
      <c r="AN35" s="243">
        <f>524+284</f>
        <v>808</v>
      </c>
      <c r="AO35" s="243">
        <v>798</v>
      </c>
      <c r="AP35" s="243">
        <v>788</v>
      </c>
      <c r="AQ35" s="243">
        <v>817</v>
      </c>
      <c r="AR35" s="243">
        <v>758</v>
      </c>
      <c r="AS35" s="243">
        <v>682</v>
      </c>
      <c r="AT35" s="243">
        <v>628</v>
      </c>
      <c r="AU35" s="243">
        <v>629</v>
      </c>
      <c r="AV35" s="243">
        <v>652</v>
      </c>
      <c r="AW35" s="243">
        <v>619</v>
      </c>
      <c r="AX35" s="243">
        <v>560</v>
      </c>
      <c r="AY35" s="243">
        <v>550</v>
      </c>
      <c r="AZ35" s="243">
        <v>577</v>
      </c>
      <c r="BA35" s="243">
        <v>542</v>
      </c>
      <c r="BB35" s="243">
        <v>576</v>
      </c>
      <c r="BC35" s="243">
        <v>523</v>
      </c>
      <c r="BD35" s="243">
        <v>526</v>
      </c>
      <c r="BE35" s="243">
        <v>406</v>
      </c>
      <c r="BF35" s="243">
        <v>479</v>
      </c>
      <c r="BG35" s="243">
        <v>397</v>
      </c>
      <c r="BH35" s="243">
        <v>475</v>
      </c>
      <c r="BI35" s="243">
        <v>383</v>
      </c>
      <c r="BJ35" s="243">
        <v>368</v>
      </c>
      <c r="BK35" s="243">
        <v>376</v>
      </c>
      <c r="BL35" s="243">
        <v>401</v>
      </c>
      <c r="BM35" s="243">
        <v>359</v>
      </c>
      <c r="BN35" s="243">
        <v>326</v>
      </c>
      <c r="BO35" s="243">
        <v>378</v>
      </c>
      <c r="BP35" s="243">
        <v>335</v>
      </c>
      <c r="BQ35" s="243">
        <v>344</v>
      </c>
      <c r="BR35" s="243">
        <v>307</v>
      </c>
      <c r="BS35" s="243">
        <v>310</v>
      </c>
      <c r="BT35" s="243">
        <v>319</v>
      </c>
      <c r="BU35" s="243">
        <v>307</v>
      </c>
      <c r="BV35" s="243">
        <v>302</v>
      </c>
      <c r="BW35" s="243">
        <v>269</v>
      </c>
      <c r="BX35" s="243">
        <v>276</v>
      </c>
      <c r="BY35" s="243">
        <v>263</v>
      </c>
      <c r="BZ35" s="243">
        <v>260</v>
      </c>
      <c r="CA35" s="243">
        <v>274</v>
      </c>
      <c r="CB35" s="243">
        <v>322</v>
      </c>
      <c r="CC35" s="243">
        <v>250</v>
      </c>
      <c r="CD35" s="243">
        <v>259</v>
      </c>
      <c r="CE35" s="243">
        <v>247</v>
      </c>
      <c r="CF35" s="243">
        <v>255</v>
      </c>
      <c r="CG35" s="243">
        <v>238</v>
      </c>
      <c r="CH35" s="243">
        <v>232</v>
      </c>
      <c r="CI35" s="243">
        <v>276</v>
      </c>
      <c r="CJ35" s="243">
        <v>236</v>
      </c>
      <c r="CK35" s="243">
        <v>255</v>
      </c>
      <c r="CL35" s="243">
        <v>221</v>
      </c>
      <c r="CM35" s="243">
        <v>226</v>
      </c>
      <c r="CN35" s="243">
        <v>183</v>
      </c>
      <c r="CO35" s="243">
        <v>198</v>
      </c>
      <c r="CP35" s="243">
        <v>183</v>
      </c>
      <c r="CQ35" s="243">
        <v>155</v>
      </c>
      <c r="CR35" s="243">
        <v>136</v>
      </c>
      <c r="CS35" s="243">
        <v>132</v>
      </c>
      <c r="CT35" s="243">
        <v>129</v>
      </c>
      <c r="CU35" s="243">
        <v>127</v>
      </c>
      <c r="CV35" s="243">
        <v>127</v>
      </c>
      <c r="CW35" s="243">
        <v>112</v>
      </c>
      <c r="CX35" s="243">
        <v>113</v>
      </c>
      <c r="CY35" s="243"/>
      <c r="CZ35" s="243"/>
      <c r="DA35" s="243"/>
      <c r="DB35" s="243"/>
      <c r="DC35" s="243"/>
      <c r="DD35" s="243"/>
      <c r="DE35" s="243"/>
      <c r="DF35" s="243"/>
      <c r="DG35" s="243"/>
      <c r="DH35" s="243"/>
      <c r="DI35" s="243"/>
      <c r="DJ35" s="243"/>
      <c r="DK35" s="243"/>
      <c r="DL35" s="243"/>
      <c r="DM35" s="243"/>
      <c r="DN35" s="243"/>
      <c r="DP35" s="271"/>
      <c r="DQ35" s="271"/>
      <c r="DR35" s="271"/>
      <c r="DS35" s="271"/>
      <c r="DT35" s="271"/>
      <c r="DU35" s="271"/>
      <c r="DV35" s="235">
        <f>271+575</f>
        <v>846</v>
      </c>
      <c r="DW35" s="235">
        <f>385+631</f>
        <v>1016</v>
      </c>
      <c r="DX35" s="235">
        <f>SUM(C35:F35)</f>
        <v>1160</v>
      </c>
      <c r="DY35" s="235">
        <f>SUM(G35:J35)</f>
        <v>1499</v>
      </c>
      <c r="DZ35" s="235">
        <f>SUM(K35:N35)</f>
        <v>2094</v>
      </c>
      <c r="EA35" s="235">
        <f>SUM(O35:R35)</f>
        <v>2709</v>
      </c>
      <c r="EB35" s="235">
        <f>SUM(S35:V35)</f>
        <v>3429</v>
      </c>
      <c r="EC35" s="235">
        <f>SUM(W35:Z35)</f>
        <v>4269</v>
      </c>
      <c r="ED35" s="235">
        <f>SUM(AA35:AD35)</f>
        <v>3984</v>
      </c>
      <c r="EE35" s="235">
        <f>SUM(AE35:AH35)</f>
        <v>3588</v>
      </c>
      <c r="EF35" s="235">
        <f>SUM(AI35:AL35)</f>
        <v>3324</v>
      </c>
      <c r="EG35" s="235">
        <f>SUM(AM35:AP35)</f>
        <v>3180</v>
      </c>
      <c r="EH35" s="235">
        <f>SUM(AQ35:AT35)</f>
        <v>2885</v>
      </c>
      <c r="EI35" s="235">
        <f>SUM(AU35:AX35)</f>
        <v>2460</v>
      </c>
      <c r="EJ35" s="235">
        <f>SUM(AY35:BB35)</f>
        <v>2245</v>
      </c>
      <c r="EK35" s="235">
        <f>SUM(BC35:BF35)</f>
        <v>1934</v>
      </c>
      <c r="EL35" s="235">
        <f>SUM(BG35:BJ35)</f>
        <v>1623</v>
      </c>
      <c r="EM35" s="235">
        <f>SUM(BK35:BN35)</f>
        <v>1462</v>
      </c>
      <c r="EN35" s="235">
        <f>SUM(BO35:BR35)</f>
        <v>1364</v>
      </c>
      <c r="EO35" s="235">
        <f>SUM(BS35:BV35)</f>
        <v>1238</v>
      </c>
      <c r="EP35" s="235">
        <f>EO35*0.9</f>
        <v>1114.2</v>
      </c>
      <c r="EQ35" s="235">
        <f>EP35*0.9</f>
        <v>1002.7800000000001</v>
      </c>
      <c r="ER35" s="235">
        <f t="shared" si="23"/>
        <v>972</v>
      </c>
      <c r="ES35" s="235">
        <f t="shared" si="150"/>
        <v>988</v>
      </c>
      <c r="ET35" s="235">
        <f t="shared" si="151"/>
        <v>790</v>
      </c>
      <c r="EU35" s="235">
        <f t="shared" si="152"/>
        <v>552</v>
      </c>
      <c r="EV35" s="235">
        <f t="shared" si="153"/>
        <v>479</v>
      </c>
      <c r="EW35" s="235">
        <f t="shared" si="154"/>
        <v>0</v>
      </c>
      <c r="EX35" s="235"/>
      <c r="EY35" s="235">
        <f t="shared" si="25"/>
        <v>0</v>
      </c>
      <c r="EZ35" s="344"/>
      <c r="FA35" s="344"/>
      <c r="FB35" s="344"/>
      <c r="FC35" s="344"/>
      <c r="FD35" s="344"/>
      <c r="FE35" s="344"/>
      <c r="FF35" s="344"/>
      <c r="FG35" s="344"/>
      <c r="FH35" s="344"/>
      <c r="FI35" s="344"/>
      <c r="FJ35" s="344"/>
      <c r="FM35"/>
    </row>
    <row r="36" spans="2:169" s="254" customFormat="1" x14ac:dyDescent="0.2">
      <c r="B36" t="s">
        <v>193</v>
      </c>
      <c r="C36" s="76"/>
      <c r="D36" s="76"/>
      <c r="E36" s="76"/>
      <c r="F36" s="76"/>
      <c r="G36" s="76"/>
      <c r="H36" s="76"/>
      <c r="I36" s="76"/>
      <c r="J36" s="76"/>
      <c r="K36" s="76"/>
      <c r="L36" s="76"/>
      <c r="M36" s="76"/>
      <c r="N36" s="76"/>
      <c r="O36" s="76"/>
      <c r="P36" s="76"/>
      <c r="Q36" s="76"/>
      <c r="R36" s="76"/>
      <c r="S36" s="76"/>
      <c r="T36" s="76"/>
      <c r="U36" s="76"/>
      <c r="V36" s="76"/>
      <c r="W36" s="76"/>
      <c r="X36" s="76"/>
      <c r="Y36" s="76"/>
      <c r="Z36" s="76"/>
      <c r="AA36" s="76"/>
      <c r="AB36" s="76"/>
      <c r="AC36" s="76"/>
      <c r="AD36" s="76"/>
      <c r="AE36" s="76"/>
      <c r="AF36" s="76"/>
      <c r="AG36" s="76"/>
      <c r="AH36" s="76"/>
      <c r="AI36" s="243"/>
      <c r="AJ36" s="243"/>
      <c r="AK36" s="243"/>
      <c r="AL36" s="243"/>
      <c r="AM36" s="243"/>
      <c r="AN36" s="243"/>
      <c r="AO36" s="243"/>
      <c r="AP36" s="243"/>
      <c r="AQ36" s="243">
        <v>113</v>
      </c>
      <c r="AR36" s="243">
        <v>126</v>
      </c>
      <c r="AS36" s="243">
        <v>130</v>
      </c>
      <c r="AT36" s="243">
        <v>165</v>
      </c>
      <c r="AU36" s="243">
        <v>184</v>
      </c>
      <c r="AV36" s="243">
        <v>205</v>
      </c>
      <c r="AW36" s="243">
        <v>190</v>
      </c>
      <c r="AX36" s="243">
        <v>208</v>
      </c>
      <c r="AY36" s="243">
        <v>192</v>
      </c>
      <c r="AZ36" s="243">
        <v>229</v>
      </c>
      <c r="BA36" s="243">
        <v>231</v>
      </c>
      <c r="BB36" s="243">
        <v>281</v>
      </c>
      <c r="BC36" s="243">
        <v>261</v>
      </c>
      <c r="BD36" s="243">
        <v>286</v>
      </c>
      <c r="BE36" s="243">
        <v>246</v>
      </c>
      <c r="BF36" s="243">
        <v>287</v>
      </c>
      <c r="BG36" s="243">
        <v>280</v>
      </c>
      <c r="BH36" s="243">
        <v>347</v>
      </c>
      <c r="BI36" s="243">
        <v>295</v>
      </c>
      <c r="BJ36" s="243">
        <v>352</v>
      </c>
      <c r="BK36" s="243">
        <v>353</v>
      </c>
      <c r="BL36" s="243">
        <v>318</v>
      </c>
      <c r="BM36" s="243">
        <v>327</v>
      </c>
      <c r="BN36" s="243">
        <v>502</v>
      </c>
      <c r="BO36" s="243">
        <v>353</v>
      </c>
      <c r="BP36" s="243">
        <v>379</v>
      </c>
      <c r="BQ36" s="243">
        <v>404</v>
      </c>
      <c r="BR36" s="243">
        <v>524</v>
      </c>
      <c r="BS36" s="243">
        <v>408</v>
      </c>
      <c r="BT36" s="243">
        <v>403</v>
      </c>
      <c r="BU36" s="243">
        <v>389</v>
      </c>
      <c r="BV36" s="243">
        <v>418</v>
      </c>
      <c r="BW36" s="243">
        <v>339</v>
      </c>
      <c r="BX36" s="243">
        <v>344</v>
      </c>
      <c r="BY36" s="243">
        <v>329</v>
      </c>
      <c r="BZ36" s="243">
        <v>321</v>
      </c>
      <c r="CA36" s="243">
        <v>304</v>
      </c>
      <c r="CB36" s="243">
        <v>342</v>
      </c>
      <c r="CC36" s="243">
        <v>304</v>
      </c>
      <c r="CD36" s="243">
        <v>274</v>
      </c>
      <c r="CE36" s="243">
        <v>280</v>
      </c>
      <c r="CF36" s="243">
        <v>290</v>
      </c>
      <c r="CG36" s="243">
        <v>273</v>
      </c>
      <c r="CH36" s="243">
        <v>271</v>
      </c>
      <c r="CI36" s="243">
        <v>313</v>
      </c>
      <c r="CJ36" s="243">
        <v>280</v>
      </c>
      <c r="CK36" s="243">
        <v>271</v>
      </c>
      <c r="CL36" s="243">
        <v>252</v>
      </c>
      <c r="CM36" s="243">
        <v>263</v>
      </c>
      <c r="CN36" s="243">
        <v>224</v>
      </c>
      <c r="CO36" s="243">
        <v>149</v>
      </c>
      <c r="CP36" s="243">
        <v>115</v>
      </c>
      <c r="CQ36" s="243"/>
      <c r="CR36" s="243"/>
      <c r="CS36" s="243"/>
      <c r="CT36" s="243"/>
      <c r="CU36" s="243"/>
      <c r="CV36" s="243"/>
      <c r="CW36" s="243"/>
      <c r="CX36" s="243"/>
      <c r="CY36" s="243"/>
      <c r="CZ36" s="243"/>
      <c r="DA36" s="243"/>
      <c r="DB36" s="243"/>
      <c r="DC36" s="243"/>
      <c r="DD36" s="243"/>
      <c r="DE36" s="243"/>
      <c r="DF36" s="243"/>
      <c r="DG36" s="243"/>
      <c r="DH36" s="243"/>
      <c r="DI36" s="243"/>
      <c r="DJ36" s="243"/>
      <c r="DK36" s="243"/>
      <c r="DL36" s="243"/>
      <c r="DM36" s="243"/>
      <c r="DN36" s="243"/>
      <c r="DP36" s="235"/>
      <c r="DQ36" s="235"/>
      <c r="DR36" s="235"/>
      <c r="DS36" s="235"/>
      <c r="DT36" s="235"/>
      <c r="DU36" s="235"/>
      <c r="DV36" s="235"/>
      <c r="DW36" s="235"/>
      <c r="DX36" s="235"/>
      <c r="DY36" s="235"/>
      <c r="DZ36" s="235"/>
      <c r="EA36" s="235"/>
      <c r="EB36" s="235"/>
      <c r="EC36" s="235"/>
      <c r="ED36" s="235"/>
      <c r="EE36" s="235" t="s">
        <v>325</v>
      </c>
      <c r="EF36" s="235" t="s">
        <v>326</v>
      </c>
      <c r="EG36" s="235"/>
      <c r="EH36" s="235">
        <f>SUM(AQ36:AT36)</f>
        <v>534</v>
      </c>
      <c r="EI36" s="235">
        <f>SUM(AU36:AX36)</f>
        <v>787</v>
      </c>
      <c r="EJ36" s="235">
        <f>SUM(AY36:BB36)</f>
        <v>933</v>
      </c>
      <c r="EK36" s="235">
        <f>SUM(BC36:BF36)</f>
        <v>1080</v>
      </c>
      <c r="EL36" s="235">
        <f>SUM(BG36:BJ36)</f>
        <v>1274</v>
      </c>
      <c r="EM36" s="235">
        <f>SUM(BK36:BN36)</f>
        <v>1500</v>
      </c>
      <c r="EN36" s="235">
        <f>SUM(BO36:BR36)</f>
        <v>1660</v>
      </c>
      <c r="EO36" s="235">
        <f>SUM(BS36:BV36)</f>
        <v>1618</v>
      </c>
      <c r="EP36" s="235">
        <f>EO36</f>
        <v>1618</v>
      </c>
      <c r="EQ36" s="235">
        <f>EP36*0.5</f>
        <v>809</v>
      </c>
      <c r="ER36" s="235">
        <f t="shared" si="23"/>
        <v>1114</v>
      </c>
      <c r="ES36" s="235">
        <f t="shared" si="150"/>
        <v>1116</v>
      </c>
      <c r="ET36" s="235">
        <f t="shared" si="151"/>
        <v>751</v>
      </c>
      <c r="EU36" s="235">
        <f t="shared" si="152"/>
        <v>0</v>
      </c>
      <c r="EV36" s="235">
        <f t="shared" si="153"/>
        <v>0</v>
      </c>
      <c r="EW36" s="235">
        <f t="shared" si="154"/>
        <v>0</v>
      </c>
      <c r="EX36" s="235"/>
      <c r="EY36" s="235">
        <f t="shared" si="25"/>
        <v>0</v>
      </c>
      <c r="EZ36" s="344"/>
      <c r="FA36" s="344"/>
      <c r="FB36" s="344"/>
      <c r="FC36" s="344"/>
      <c r="FD36" s="344"/>
      <c r="FE36" s="344"/>
      <c r="FF36" s="344"/>
      <c r="FG36" s="344"/>
      <c r="FH36" s="344"/>
      <c r="FI36" s="344"/>
      <c r="FJ36" s="344"/>
      <c r="FM36"/>
    </row>
    <row r="37" spans="2:169" ht="12.75" customHeight="1" x14ac:dyDescent="0.2">
      <c r="B37" t="s">
        <v>1676</v>
      </c>
      <c r="W37" s="268"/>
      <c r="X37" s="268"/>
      <c r="Y37" s="268"/>
      <c r="Z37" s="268"/>
      <c r="AA37" s="268"/>
      <c r="AB37" s="268"/>
      <c r="AC37" s="268"/>
      <c r="AD37" s="268"/>
      <c r="AE37" s="269"/>
      <c r="AF37" s="243"/>
      <c r="AG37" s="243"/>
      <c r="AH37" s="243"/>
      <c r="AI37" s="243"/>
      <c r="AJ37" s="243"/>
      <c r="AK37" s="243"/>
      <c r="AL37" s="243"/>
      <c r="AM37" s="243"/>
      <c r="AN37" s="243"/>
      <c r="AO37" s="243"/>
      <c r="AP37" s="243"/>
      <c r="AQ37" s="243"/>
      <c r="AR37" s="243"/>
      <c r="AS37" s="243"/>
      <c r="AT37" s="243"/>
      <c r="AU37" s="243"/>
      <c r="AV37" s="243"/>
      <c r="AW37" s="243"/>
      <c r="AX37" s="243"/>
      <c r="AY37" s="243"/>
      <c r="AZ37" s="243"/>
      <c r="BA37" s="243"/>
      <c r="BB37" s="243"/>
      <c r="BC37" s="243"/>
      <c r="BD37" s="243"/>
      <c r="BE37" s="243"/>
      <c r="BF37" s="243"/>
      <c r="BG37" s="243"/>
      <c r="BH37" s="243"/>
      <c r="BO37" s="243"/>
      <c r="BP37" s="243"/>
      <c r="BQ37" s="243"/>
      <c r="BR37" s="243"/>
      <c r="BS37" s="243"/>
      <c r="BT37" s="243"/>
      <c r="BU37" s="243"/>
      <c r="BV37" s="243"/>
      <c r="BW37" s="243"/>
      <c r="BX37" s="243"/>
      <c r="BY37" s="243"/>
      <c r="BZ37" s="243"/>
      <c r="CA37" s="243"/>
      <c r="CB37" s="243"/>
      <c r="CC37" s="243"/>
      <c r="CD37" s="243"/>
      <c r="CE37" s="243"/>
      <c r="CF37" s="243">
        <v>45</v>
      </c>
      <c r="CG37" s="243">
        <v>259</v>
      </c>
      <c r="CH37" s="243">
        <v>269</v>
      </c>
      <c r="CI37" s="243">
        <v>271</v>
      </c>
      <c r="CJ37" s="243">
        <v>311</v>
      </c>
      <c r="CK37" s="243">
        <v>310</v>
      </c>
      <c r="CL37" s="243">
        <v>323</v>
      </c>
      <c r="CM37" s="243">
        <v>306</v>
      </c>
      <c r="CN37" s="243">
        <v>348</v>
      </c>
      <c r="CO37" s="243">
        <v>347</v>
      </c>
      <c r="CP37" s="243">
        <v>326</v>
      </c>
      <c r="CQ37" s="243">
        <v>389</v>
      </c>
      <c r="CR37" s="243">
        <v>406</v>
      </c>
      <c r="CS37" s="243">
        <v>392</v>
      </c>
      <c r="CT37" s="243">
        <v>452</v>
      </c>
      <c r="CU37" s="243">
        <v>450</v>
      </c>
      <c r="CV37" s="243">
        <v>463</v>
      </c>
      <c r="CW37" s="243">
        <v>458</v>
      </c>
      <c r="CX37" s="243">
        <v>448</v>
      </c>
      <c r="CY37" s="243">
        <v>443</v>
      </c>
      <c r="CZ37" s="243">
        <v>438</v>
      </c>
      <c r="DA37" s="243">
        <v>441</v>
      </c>
      <c r="DB37" s="243">
        <v>461</v>
      </c>
      <c r="DC37" s="243">
        <v>440</v>
      </c>
      <c r="DD37" s="243">
        <v>507</v>
      </c>
      <c r="DE37" s="243">
        <v>490</v>
      </c>
      <c r="DF37" s="243">
        <v>536</v>
      </c>
      <c r="DG37" s="243">
        <v>524</v>
      </c>
      <c r="DH37" s="243">
        <v>544</v>
      </c>
      <c r="DI37" s="243">
        <v>571</v>
      </c>
      <c r="DJ37" s="243">
        <v>545</v>
      </c>
      <c r="DK37" s="243">
        <f t="shared" ref="DK37:DK38" si="170">+DG37*1.05</f>
        <v>550.20000000000005</v>
      </c>
      <c r="DL37" s="243">
        <f t="shared" ref="DL37:DL38" si="171">+DH37*1.05</f>
        <v>571.20000000000005</v>
      </c>
      <c r="DM37" s="243">
        <f t="shared" ref="DM37:DM38" si="172">+DI37*1.05</f>
        <v>599.55000000000007</v>
      </c>
      <c r="DN37" s="243">
        <f t="shared" ref="DN37:DN38" si="173">+DJ37*1.05</f>
        <v>572.25</v>
      </c>
      <c r="EI37" s="235"/>
      <c r="EJ37" s="235"/>
      <c r="EK37" s="235"/>
      <c r="EL37" s="235"/>
      <c r="EM37" s="235"/>
      <c r="EN37" s="235"/>
      <c r="EO37" s="235"/>
      <c r="EP37" s="235"/>
      <c r="EQ37" s="235"/>
      <c r="ER37" s="235">
        <f t="shared" si="23"/>
        <v>573</v>
      </c>
      <c r="ES37" s="235">
        <f t="shared" si="150"/>
        <v>1215</v>
      </c>
      <c r="ET37" s="235">
        <f t="shared" si="151"/>
        <v>1327</v>
      </c>
      <c r="EU37" s="235">
        <f t="shared" si="152"/>
        <v>1639</v>
      </c>
      <c r="EV37" s="235">
        <f t="shared" si="153"/>
        <v>1819</v>
      </c>
      <c r="EW37" s="235">
        <f t="shared" si="154"/>
        <v>1783</v>
      </c>
      <c r="EX37" s="235">
        <f t="shared" ref="EX37:EX44" si="174">SUM(DC37:DF37)</f>
        <v>1973</v>
      </c>
      <c r="EY37" s="235">
        <f t="shared" si="25"/>
        <v>2184</v>
      </c>
      <c r="EZ37" s="235">
        <f t="shared" si="155"/>
        <v>2293.2000000000003</v>
      </c>
      <c r="FA37" s="235">
        <f t="shared" ref="FA37:FE37" si="175">+EZ37*0.99</f>
        <v>2270.268</v>
      </c>
      <c r="FB37" s="235">
        <f t="shared" si="175"/>
        <v>2247.5653200000002</v>
      </c>
      <c r="FC37" s="235">
        <f t="shared" si="175"/>
        <v>2225.0896668</v>
      </c>
      <c r="FD37" s="235">
        <f t="shared" si="175"/>
        <v>2202.8387701319998</v>
      </c>
      <c r="FE37" s="235">
        <f t="shared" si="175"/>
        <v>2180.81038243068</v>
      </c>
      <c r="FF37" s="235">
        <f t="shared" ref="FF37" si="176">+FE37*0.99</f>
        <v>2159.0022786063732</v>
      </c>
      <c r="FG37" s="235">
        <f t="shared" ref="FG37" si="177">+FF37*0.99</f>
        <v>2137.4122558203094</v>
      </c>
      <c r="FH37" s="235">
        <f t="shared" ref="FH37" si="178">+FG37*0.99</f>
        <v>2116.0381332621064</v>
      </c>
      <c r="FI37" s="235">
        <f t="shared" ref="FI37" si="179">+FH37*0.99</f>
        <v>2094.8777519294854</v>
      </c>
      <c r="FJ37" s="235">
        <f t="shared" ref="FJ37" si="180">+FI37*0.99</f>
        <v>2073.9289744101907</v>
      </c>
      <c r="FK37" s="254"/>
    </row>
    <row r="38" spans="2:169" x14ac:dyDescent="0.2">
      <c r="B38" t="s">
        <v>1677</v>
      </c>
      <c r="W38" s="268"/>
      <c r="X38" s="268"/>
      <c r="Y38" s="268"/>
      <c r="Z38" s="268"/>
      <c r="AA38" s="268"/>
      <c r="AB38" s="268"/>
      <c r="AC38" s="268"/>
      <c r="AD38" s="268"/>
      <c r="AE38" s="269"/>
      <c r="AF38" s="243"/>
      <c r="AG38" s="243"/>
      <c r="AH38" s="243"/>
      <c r="AI38" s="243"/>
      <c r="AJ38" s="243"/>
      <c r="AK38" s="243"/>
      <c r="AL38" s="243"/>
      <c r="AM38" s="243"/>
      <c r="AN38" s="243"/>
      <c r="AO38" s="243"/>
      <c r="AP38" s="243"/>
      <c r="AQ38" s="243"/>
      <c r="AR38" s="243"/>
      <c r="AS38" s="243"/>
      <c r="AT38" s="243"/>
      <c r="AU38" s="243"/>
      <c r="AV38" s="243"/>
      <c r="AW38" s="243"/>
      <c r="AX38" s="243"/>
      <c r="AY38" s="243"/>
      <c r="AZ38" s="243"/>
      <c r="BA38" s="243"/>
      <c r="BB38" s="243"/>
      <c r="BC38" s="243"/>
      <c r="BD38" s="243"/>
      <c r="BE38" s="243"/>
      <c r="BF38" s="243"/>
      <c r="BG38" s="243"/>
      <c r="BH38" s="243"/>
      <c r="BO38" s="243"/>
      <c r="BP38" s="243"/>
      <c r="BQ38" s="243"/>
      <c r="BR38" s="243"/>
      <c r="BS38" s="243"/>
      <c r="BT38" s="243"/>
      <c r="BU38" s="243"/>
      <c r="BV38" s="243"/>
      <c r="BW38" s="243"/>
      <c r="BX38" s="243"/>
      <c r="BY38" s="243"/>
      <c r="BZ38" s="243"/>
      <c r="CA38" s="243"/>
      <c r="CB38" s="243"/>
      <c r="CC38" s="243"/>
      <c r="CD38" s="243"/>
      <c r="CE38" s="243"/>
      <c r="CF38" s="243">
        <v>9</v>
      </c>
      <c r="CG38" s="243">
        <v>124</v>
      </c>
      <c r="CH38" s="243">
        <v>130</v>
      </c>
      <c r="CI38" s="243">
        <v>140</v>
      </c>
      <c r="CJ38" s="243">
        <v>171</v>
      </c>
      <c r="CK38" s="243">
        <v>171</v>
      </c>
      <c r="CL38" s="243">
        <v>181</v>
      </c>
      <c r="CM38" s="243">
        <v>198</v>
      </c>
      <c r="CN38" s="243">
        <v>203</v>
      </c>
      <c r="CO38" s="243">
        <v>210</v>
      </c>
      <c r="CP38" s="243">
        <v>208</v>
      </c>
      <c r="CQ38" s="243">
        <v>250</v>
      </c>
      <c r="CR38" s="243">
        <v>282</v>
      </c>
      <c r="CS38" s="243">
        <v>260</v>
      </c>
      <c r="CT38" s="243">
        <v>301</v>
      </c>
      <c r="CU38" s="243">
        <v>305</v>
      </c>
      <c r="CV38" s="243">
        <v>313</v>
      </c>
      <c r="CW38" s="243">
        <v>309</v>
      </c>
      <c r="CX38" s="243">
        <v>310</v>
      </c>
      <c r="CY38" s="243">
        <v>325</v>
      </c>
      <c r="CZ38" s="243">
        <v>328</v>
      </c>
      <c r="DA38" s="243">
        <v>333</v>
      </c>
      <c r="DB38" s="243">
        <v>336</v>
      </c>
      <c r="DC38" s="243">
        <v>362</v>
      </c>
      <c r="DD38" s="243">
        <v>399</v>
      </c>
      <c r="DE38" s="243">
        <v>402</v>
      </c>
      <c r="DF38" s="243">
        <v>419</v>
      </c>
      <c r="DG38" s="243">
        <v>468</v>
      </c>
      <c r="DH38" s="243">
        <v>426</v>
      </c>
      <c r="DI38" s="243">
        <v>458</v>
      </c>
      <c r="DJ38" s="243">
        <v>465</v>
      </c>
      <c r="DK38" s="243">
        <f t="shared" si="170"/>
        <v>491.40000000000003</v>
      </c>
      <c r="DL38" s="243">
        <f t="shared" si="171"/>
        <v>447.3</v>
      </c>
      <c r="DM38" s="243">
        <f t="shared" si="172"/>
        <v>480.90000000000003</v>
      </c>
      <c r="DN38" s="243">
        <f t="shared" si="173"/>
        <v>488.25</v>
      </c>
      <c r="EI38" s="235"/>
      <c r="EJ38" s="235"/>
      <c r="EK38" s="235"/>
      <c r="EL38" s="235"/>
      <c r="EM38" s="235"/>
      <c r="EN38" s="235"/>
      <c r="EO38" s="235"/>
      <c r="EP38" s="235"/>
      <c r="EQ38" s="235"/>
      <c r="ER38" s="235">
        <f t="shared" si="23"/>
        <v>263</v>
      </c>
      <c r="ES38" s="235">
        <f t="shared" si="150"/>
        <v>663</v>
      </c>
      <c r="ET38" s="235">
        <f t="shared" si="151"/>
        <v>819</v>
      </c>
      <c r="EU38" s="235">
        <f t="shared" si="152"/>
        <v>1093</v>
      </c>
      <c r="EV38" s="235">
        <f t="shared" si="153"/>
        <v>1237</v>
      </c>
      <c r="EW38" s="235">
        <f t="shared" si="154"/>
        <v>1322</v>
      </c>
      <c r="EX38" s="235">
        <f t="shared" si="174"/>
        <v>1582</v>
      </c>
      <c r="EY38" s="235">
        <f t="shared" si="25"/>
        <v>1817</v>
      </c>
      <c r="EZ38" s="235">
        <f>SUM(DK38:DN38)</f>
        <v>1907.8500000000001</v>
      </c>
      <c r="FA38" s="235">
        <f>+EZ38*1.02</f>
        <v>1946.0070000000001</v>
      </c>
      <c r="FB38" s="235">
        <f t="shared" ref="FB38" si="181">+FA38*1.02</f>
        <v>1984.92714</v>
      </c>
      <c r="FC38" s="235">
        <f>+FB38*0.95</f>
        <v>1885.680783</v>
      </c>
      <c r="FD38" s="235">
        <f t="shared" ref="FD38:FE38" si="182">+FC38*0.95</f>
        <v>1791.3967438499999</v>
      </c>
      <c r="FE38" s="235">
        <f t="shared" si="182"/>
        <v>1701.8269066574999</v>
      </c>
      <c r="FF38" s="235">
        <f t="shared" ref="FF38" si="183">+FE38*0.95</f>
        <v>1616.7355613246248</v>
      </c>
      <c r="FG38" s="235">
        <f t="shared" ref="FG38" si="184">+FF38*0.95</f>
        <v>1535.8987832583935</v>
      </c>
      <c r="FH38" s="235">
        <f t="shared" ref="FH38" si="185">+FG38*0.95</f>
        <v>1459.1038440954737</v>
      </c>
      <c r="FI38" s="235">
        <f t="shared" ref="FI38" si="186">+FH38*0.95</f>
        <v>1386.1486518907</v>
      </c>
      <c r="FJ38" s="235">
        <f t="shared" ref="FJ38" si="187">+FI38*0.95</f>
        <v>1316.8412192961648</v>
      </c>
      <c r="FK38" s="254"/>
    </row>
    <row r="39" spans="2:169" x14ac:dyDescent="0.2">
      <c r="B39" t="s">
        <v>203</v>
      </c>
      <c r="W39" s="268"/>
      <c r="X39" s="268"/>
      <c r="Y39" s="268"/>
      <c r="Z39" s="268"/>
      <c r="AA39" s="268"/>
      <c r="AB39" s="268"/>
      <c r="AC39" s="268"/>
      <c r="AD39" s="268"/>
      <c r="AE39" s="269"/>
      <c r="AF39" s="243"/>
      <c r="AG39" s="243"/>
      <c r="AH39" s="243"/>
      <c r="AI39" s="243"/>
      <c r="AJ39" s="243"/>
      <c r="AK39" s="243"/>
      <c r="AL39" s="243"/>
      <c r="AM39" s="243"/>
      <c r="AN39" s="243"/>
      <c r="AO39" s="243"/>
      <c r="AP39" s="243"/>
      <c r="AQ39" s="243"/>
      <c r="AR39" s="243"/>
      <c r="AS39" s="243"/>
      <c r="AT39" s="243"/>
      <c r="AU39" s="243"/>
      <c r="AV39" s="243"/>
      <c r="AW39" s="243"/>
      <c r="AX39" s="243"/>
      <c r="AY39" s="243"/>
      <c r="AZ39" s="243"/>
      <c r="BA39" s="243"/>
      <c r="BB39" s="243"/>
      <c r="BC39" s="243"/>
      <c r="BD39" s="243"/>
      <c r="BE39" s="243"/>
      <c r="BF39" s="243">
        <v>67</v>
      </c>
      <c r="BG39" s="243">
        <v>139</v>
      </c>
      <c r="BH39" s="243">
        <v>138</v>
      </c>
      <c r="BI39" s="243">
        <v>86</v>
      </c>
      <c r="BJ39" s="243">
        <v>39</v>
      </c>
      <c r="BK39" s="243">
        <v>24</v>
      </c>
      <c r="BL39" s="243">
        <v>13</v>
      </c>
      <c r="BM39" s="243">
        <v>16</v>
      </c>
      <c r="BN39" s="243">
        <v>30</v>
      </c>
      <c r="BO39" s="243"/>
      <c r="BP39" s="243"/>
      <c r="BQ39" s="243"/>
      <c r="BR39" s="243"/>
      <c r="BS39" s="243"/>
      <c r="BT39" s="243"/>
      <c r="BU39" s="243"/>
      <c r="BV39" s="243"/>
      <c r="BW39" s="243"/>
      <c r="BX39" s="243"/>
      <c r="BY39" s="243"/>
      <c r="BZ39" s="243"/>
      <c r="CA39" s="243"/>
      <c r="CB39" s="243"/>
      <c r="CC39" s="243"/>
      <c r="CD39" s="243"/>
      <c r="CE39" s="243"/>
      <c r="CF39" s="243"/>
      <c r="CG39" s="243"/>
      <c r="CH39" s="243"/>
      <c r="CI39" s="243"/>
      <c r="CJ39" s="243"/>
      <c r="CK39" s="243"/>
      <c r="CL39" s="243"/>
      <c r="CM39" s="243"/>
      <c r="CN39" s="243"/>
      <c r="CO39" s="243"/>
      <c r="CP39" s="243"/>
      <c r="CQ39" s="243"/>
      <c r="CR39" s="243"/>
      <c r="CS39" s="243"/>
      <c r="CT39" s="243"/>
      <c r="CU39" s="243"/>
      <c r="CV39" s="243"/>
      <c r="CW39" s="243"/>
      <c r="CX39" s="243"/>
      <c r="CY39" s="243"/>
      <c r="CZ39" s="243"/>
      <c r="DA39" s="243"/>
      <c r="DB39" s="243"/>
      <c r="DC39" s="243"/>
      <c r="DD39" s="243"/>
      <c r="DE39" s="243"/>
      <c r="DF39" s="243"/>
      <c r="DG39" s="243"/>
      <c r="DH39" s="243"/>
      <c r="DI39" s="243"/>
      <c r="DJ39" s="243"/>
      <c r="DK39" s="243"/>
      <c r="DL39" s="243"/>
      <c r="DM39" s="243"/>
      <c r="DN39" s="243"/>
      <c r="EI39" s="235"/>
      <c r="EJ39" s="235"/>
      <c r="EK39" s="235"/>
      <c r="EL39" s="235">
        <f t="shared" si="78"/>
        <v>402</v>
      </c>
      <c r="EM39" s="235">
        <f>SUM(BK39:BN39)</f>
        <v>83</v>
      </c>
      <c r="EN39" s="235"/>
      <c r="EO39" s="235"/>
      <c r="EP39" s="235"/>
      <c r="EQ39" s="235"/>
      <c r="ER39" s="235">
        <f t="shared" si="23"/>
        <v>0</v>
      </c>
      <c r="ES39" s="235">
        <f t="shared" si="150"/>
        <v>0</v>
      </c>
      <c r="ET39" s="235">
        <f t="shared" si="151"/>
        <v>0</v>
      </c>
      <c r="EU39" s="235">
        <f t="shared" si="152"/>
        <v>0</v>
      </c>
      <c r="EV39" s="235">
        <f t="shared" si="153"/>
        <v>0</v>
      </c>
      <c r="EW39" s="235">
        <f t="shared" si="154"/>
        <v>0</v>
      </c>
      <c r="EX39" s="235">
        <f t="shared" si="174"/>
        <v>0</v>
      </c>
      <c r="EY39" s="235">
        <f t="shared" si="25"/>
        <v>0</v>
      </c>
      <c r="EZ39" s="346"/>
      <c r="FA39" s="346"/>
      <c r="FB39" s="346"/>
      <c r="FC39" s="346"/>
      <c r="FD39" s="346"/>
      <c r="FE39" s="346"/>
      <c r="FF39" s="346"/>
      <c r="FG39" s="346"/>
      <c r="FH39" s="346"/>
      <c r="FI39" s="346"/>
      <c r="FJ39" s="346"/>
      <c r="FK39" s="254"/>
    </row>
    <row r="40" spans="2:169" s="254" customFormat="1" x14ac:dyDescent="0.2">
      <c r="B40" t="s">
        <v>327</v>
      </c>
      <c r="C40" s="76">
        <v>71</v>
      </c>
      <c r="D40" s="76">
        <v>80</v>
      </c>
      <c r="E40" s="76">
        <v>93</v>
      </c>
      <c r="F40" s="76">
        <v>84</v>
      </c>
      <c r="G40" s="76">
        <v>91</v>
      </c>
      <c r="H40" s="76">
        <v>104</v>
      </c>
      <c r="I40" s="76">
        <v>82</v>
      </c>
      <c r="J40" s="76">
        <v>99</v>
      </c>
      <c r="K40" s="76">
        <v>113</v>
      </c>
      <c r="L40" s="76">
        <f>143+1</f>
        <v>144</v>
      </c>
      <c r="M40" s="76">
        <f>121+1</f>
        <v>122</v>
      </c>
      <c r="N40" s="76">
        <f>74+1</f>
        <v>75</v>
      </c>
      <c r="O40" s="76">
        <f>146+1</f>
        <v>147</v>
      </c>
      <c r="P40" s="76">
        <f>159+1</f>
        <v>160</v>
      </c>
      <c r="Q40" s="76">
        <f>126+1</f>
        <v>127</v>
      </c>
      <c r="R40" s="76">
        <f>87+1</f>
        <v>88</v>
      </c>
      <c r="S40" s="76">
        <v>140</v>
      </c>
      <c r="T40" s="76">
        <v>172</v>
      </c>
      <c r="U40" s="76">
        <v>115</v>
      </c>
      <c r="V40" s="76">
        <v>181</v>
      </c>
      <c r="W40" s="76">
        <v>162</v>
      </c>
      <c r="X40" s="76">
        <v>156</v>
      </c>
      <c r="Y40" s="76">
        <v>62</v>
      </c>
      <c r="Z40" s="76">
        <v>62</v>
      </c>
      <c r="AA40" s="76">
        <v>59</v>
      </c>
      <c r="AB40" s="76">
        <v>78</v>
      </c>
      <c r="AC40" s="76">
        <v>70</v>
      </c>
      <c r="AD40" s="76">
        <v>87</v>
      </c>
      <c r="AE40" s="243">
        <v>79</v>
      </c>
      <c r="AF40" s="243">
        <v>91</v>
      </c>
      <c r="AG40" s="243">
        <v>91</v>
      </c>
      <c r="AH40" s="243">
        <v>95</v>
      </c>
      <c r="AI40" s="237" t="s">
        <v>413</v>
      </c>
      <c r="AJ40" s="237" t="s">
        <v>414</v>
      </c>
      <c r="AK40" s="237" t="s">
        <v>415</v>
      </c>
      <c r="AL40" s="237" t="s">
        <v>416</v>
      </c>
      <c r="AM40" s="237" t="s">
        <v>417</v>
      </c>
      <c r="AN40" s="237" t="s">
        <v>418</v>
      </c>
      <c r="AO40" s="243"/>
      <c r="AP40" s="243"/>
      <c r="AQ40" s="243"/>
      <c r="AR40" s="243"/>
      <c r="AS40" s="243"/>
      <c r="AT40" s="243"/>
      <c r="AU40" s="243"/>
      <c r="AV40" s="243"/>
      <c r="AW40" s="243"/>
      <c r="AX40" s="243"/>
      <c r="AY40" s="243"/>
      <c r="AZ40" s="243"/>
      <c r="BA40" s="243"/>
      <c r="BB40" s="243"/>
      <c r="BC40" s="243"/>
      <c r="BD40" s="243"/>
      <c r="BE40" s="243"/>
      <c r="BF40" s="243"/>
      <c r="BG40" s="243"/>
      <c r="BH40" s="243"/>
      <c r="BI40" s="243"/>
      <c r="BJ40" s="243"/>
      <c r="BK40" s="243"/>
      <c r="BL40" s="243"/>
      <c r="BM40" s="243"/>
      <c r="BN40" s="243"/>
      <c r="BO40" s="243"/>
      <c r="BP40" s="243"/>
      <c r="BQ40" s="243"/>
      <c r="BR40" s="243"/>
      <c r="BS40" s="243"/>
      <c r="BT40" s="243"/>
      <c r="BU40" s="243"/>
      <c r="BV40" s="243"/>
      <c r="BW40" s="243"/>
      <c r="BX40" s="243"/>
      <c r="BY40" s="243"/>
      <c r="BZ40" s="243"/>
      <c r="CA40" s="243"/>
      <c r="CB40" s="243"/>
      <c r="CC40" s="243"/>
      <c r="CD40" s="243"/>
      <c r="CE40" s="243"/>
      <c r="CF40" s="243"/>
      <c r="CG40" s="243"/>
      <c r="CH40" s="243"/>
      <c r="CI40" s="243"/>
      <c r="CJ40" s="243"/>
      <c r="CK40" s="243"/>
      <c r="CL40" s="243"/>
      <c r="CM40" s="243"/>
      <c r="CN40" s="243"/>
      <c r="CO40" s="243"/>
      <c r="CP40" s="243"/>
      <c r="CQ40" s="243"/>
      <c r="CR40" s="243"/>
      <c r="CS40" s="243"/>
      <c r="CT40" s="243"/>
      <c r="CU40" s="243"/>
      <c r="CV40" s="243"/>
      <c r="CW40" s="243"/>
      <c r="CX40" s="243"/>
      <c r="CY40" s="243"/>
      <c r="CZ40" s="243"/>
      <c r="DA40" s="243"/>
      <c r="DB40" s="243"/>
      <c r="DC40" s="243"/>
      <c r="DD40" s="243"/>
      <c r="DE40" s="243"/>
      <c r="DF40" s="243"/>
      <c r="DG40" s="243"/>
      <c r="DH40" s="243"/>
      <c r="DI40" s="243"/>
      <c r="DJ40" s="243"/>
      <c r="DK40" s="243"/>
      <c r="DL40" s="243"/>
      <c r="DM40" s="243"/>
      <c r="DN40" s="243"/>
      <c r="DP40" s="271"/>
      <c r="DQ40" s="271"/>
      <c r="DR40" s="271"/>
      <c r="DS40" s="271"/>
      <c r="DT40" s="271"/>
      <c r="DU40" s="271"/>
      <c r="DV40" s="235">
        <v>120</v>
      </c>
      <c r="DW40" s="235">
        <v>250</v>
      </c>
      <c r="DX40" s="235">
        <f>SUM(C40:F40)</f>
        <v>328</v>
      </c>
      <c r="DY40" s="235">
        <f>SUM(G40:J40)</f>
        <v>376</v>
      </c>
      <c r="DZ40" s="235">
        <f>SUM(K40:N40)</f>
        <v>454</v>
      </c>
      <c r="EA40" s="235">
        <f>SUM(O40:R40)</f>
        <v>522</v>
      </c>
      <c r="EB40" s="235">
        <f>SUM(S40:V40)</f>
        <v>608</v>
      </c>
      <c r="EC40" s="235">
        <f>SUM(W40:Z40)</f>
        <v>442</v>
      </c>
      <c r="ED40" s="235">
        <f>SUM(AA40:AD40)</f>
        <v>294</v>
      </c>
      <c r="EE40" s="235">
        <v>328</v>
      </c>
      <c r="EF40" s="235">
        <v>181.4</v>
      </c>
      <c r="EG40" s="235"/>
      <c r="EH40" s="235"/>
      <c r="EI40" s="235"/>
      <c r="EJ40" s="235"/>
      <c r="EK40" s="235"/>
      <c r="EL40" s="235"/>
      <c r="EM40" s="235"/>
      <c r="EN40" s="235"/>
      <c r="EO40" s="235"/>
      <c r="EP40" s="235"/>
      <c r="EQ40" s="235"/>
      <c r="ER40" s="235">
        <f t="shared" si="23"/>
        <v>0</v>
      </c>
      <c r="ES40" s="235">
        <f t="shared" si="150"/>
        <v>0</v>
      </c>
      <c r="ET40" s="235">
        <f t="shared" si="151"/>
        <v>0</v>
      </c>
      <c r="EU40" s="235">
        <f t="shared" si="152"/>
        <v>0</v>
      </c>
      <c r="EV40" s="235">
        <f t="shared" si="153"/>
        <v>0</v>
      </c>
      <c r="EW40" s="235">
        <f t="shared" si="154"/>
        <v>0</v>
      </c>
      <c r="EX40" s="235">
        <f t="shared" si="174"/>
        <v>0</v>
      </c>
      <c r="EY40" s="235">
        <f t="shared" si="25"/>
        <v>0</v>
      </c>
      <c r="EZ40" s="345"/>
      <c r="FA40" s="345"/>
      <c r="FB40" s="345"/>
      <c r="FC40" s="345"/>
      <c r="FD40" s="345"/>
      <c r="FE40" s="345"/>
      <c r="FF40" s="345"/>
      <c r="FG40" s="345"/>
      <c r="FH40" s="345"/>
      <c r="FI40" s="345"/>
      <c r="FJ40" s="345"/>
      <c r="FM40"/>
    </row>
    <row r="41" spans="2:169" s="254" customFormat="1" x14ac:dyDescent="0.2">
      <c r="B41" t="s">
        <v>210</v>
      </c>
      <c r="C41" s="76">
        <f>41+87</f>
        <v>128</v>
      </c>
      <c r="D41" s="76">
        <f>53+103</f>
        <v>156</v>
      </c>
      <c r="E41" s="76">
        <f>64+94</f>
        <v>158</v>
      </c>
      <c r="F41" s="76">
        <f>54+73</f>
        <v>127</v>
      </c>
      <c r="G41" s="76">
        <f>45+63</f>
        <v>108</v>
      </c>
      <c r="H41" s="76">
        <f>63+89</f>
        <v>152</v>
      </c>
      <c r="I41" s="76">
        <f>79+81</f>
        <v>160</v>
      </c>
      <c r="J41" s="76">
        <f>49+80</f>
        <v>129</v>
      </c>
      <c r="K41" s="76">
        <f>58+73</f>
        <v>131</v>
      </c>
      <c r="L41" s="76">
        <f>75+99</f>
        <v>174</v>
      </c>
      <c r="M41" s="76">
        <f>67+96</f>
        <v>163</v>
      </c>
      <c r="N41" s="76">
        <f>37+89</f>
        <v>126</v>
      </c>
      <c r="O41" s="76">
        <f>49+88</f>
        <v>137</v>
      </c>
      <c r="P41" s="76">
        <f>65+117</f>
        <v>182</v>
      </c>
      <c r="Q41" s="76">
        <f>54+106</f>
        <v>160</v>
      </c>
      <c r="R41" s="76">
        <f>31+95</f>
        <v>126</v>
      </c>
      <c r="S41" s="76">
        <f>43+110</f>
        <v>153</v>
      </c>
      <c r="T41" s="76">
        <f>55+105</f>
        <v>160</v>
      </c>
      <c r="U41" s="76">
        <f>34+123</f>
        <v>157</v>
      </c>
      <c r="V41" s="76">
        <f>36+97</f>
        <v>133</v>
      </c>
      <c r="W41" s="76">
        <f>38+103</f>
        <v>141</v>
      </c>
      <c r="X41" s="76">
        <f>36+123</f>
        <v>159</v>
      </c>
      <c r="Y41" s="76">
        <f>31+114</f>
        <v>145</v>
      </c>
      <c r="Z41" s="76">
        <f>28+95</f>
        <v>123</v>
      </c>
      <c r="AA41" s="76">
        <f>30+85</f>
        <v>115</v>
      </c>
      <c r="AB41" s="76">
        <f>34+126</f>
        <v>160</v>
      </c>
      <c r="AC41" s="76">
        <f>35+116</f>
        <v>151</v>
      </c>
      <c r="AD41" s="76">
        <f>31+110</f>
        <v>141</v>
      </c>
      <c r="AE41" s="243">
        <f>28+101</f>
        <v>129</v>
      </c>
      <c r="AF41" s="243">
        <f>32+138</f>
        <v>170</v>
      </c>
      <c r="AG41" s="243">
        <f>29+188</f>
        <v>217</v>
      </c>
      <c r="AH41" s="243">
        <f>28+110</f>
        <v>138</v>
      </c>
      <c r="AI41" s="243">
        <f>20+118</f>
        <v>138</v>
      </c>
      <c r="AJ41" s="243">
        <f>9+158</f>
        <v>167</v>
      </c>
      <c r="AK41" s="243">
        <f>3+101</f>
        <v>104</v>
      </c>
      <c r="AL41" s="243">
        <f>4+94</f>
        <v>98</v>
      </c>
      <c r="AM41" s="237" t="s">
        <v>982</v>
      </c>
      <c r="AN41" s="237" t="s">
        <v>983</v>
      </c>
      <c r="AO41" s="243"/>
      <c r="AP41" s="243"/>
      <c r="AQ41" s="243"/>
      <c r="AR41" s="243"/>
      <c r="AS41" s="243"/>
      <c r="AT41" s="243"/>
      <c r="AU41" s="243"/>
      <c r="AV41" s="243"/>
      <c r="AW41" s="243"/>
      <c r="AX41" s="243"/>
      <c r="AY41" s="243"/>
      <c r="AZ41" s="243"/>
      <c r="BA41" s="243"/>
      <c r="BB41" s="243"/>
      <c r="BC41" s="243"/>
      <c r="BD41" s="243"/>
      <c r="BE41" s="243"/>
      <c r="BF41" s="243"/>
      <c r="BG41" s="243"/>
      <c r="BH41" s="243"/>
      <c r="BI41" s="243"/>
      <c r="BJ41" s="243"/>
      <c r="BK41" s="243"/>
      <c r="BL41" s="243"/>
      <c r="BM41" s="243"/>
      <c r="BN41" s="243"/>
      <c r="BO41" s="243"/>
      <c r="BP41" s="243"/>
      <c r="BQ41" s="243"/>
      <c r="BR41" s="243"/>
      <c r="BS41" s="243"/>
      <c r="BT41" s="243"/>
      <c r="BU41" s="243"/>
      <c r="BV41" s="243"/>
      <c r="BW41" s="243"/>
      <c r="BX41" s="243"/>
      <c r="BY41" s="243"/>
      <c r="BZ41" s="243"/>
      <c r="CA41" s="243"/>
      <c r="CB41" s="243"/>
      <c r="CC41" s="243"/>
      <c r="CD41" s="243"/>
      <c r="CE41" s="243"/>
      <c r="CF41" s="243"/>
      <c r="CG41" s="243"/>
      <c r="CH41" s="243"/>
      <c r="CI41" s="243"/>
      <c r="CJ41" s="243"/>
      <c r="CK41" s="243"/>
      <c r="CL41" s="243"/>
      <c r="CM41" s="243"/>
      <c r="CN41" s="243"/>
      <c r="CO41" s="243"/>
      <c r="CP41" s="243"/>
      <c r="CQ41" s="243"/>
      <c r="CR41" s="243"/>
      <c r="CS41" s="243"/>
      <c r="CT41" s="243"/>
      <c r="CU41" s="243"/>
      <c r="CV41" s="243"/>
      <c r="CW41" s="243"/>
      <c r="CX41" s="243"/>
      <c r="CY41" s="243"/>
      <c r="CZ41" s="243"/>
      <c r="DA41" s="243"/>
      <c r="DB41" s="243"/>
      <c r="DC41" s="243"/>
      <c r="DD41" s="243"/>
      <c r="DE41" s="243"/>
      <c r="DF41" s="243"/>
      <c r="DG41" s="243"/>
      <c r="DH41" s="243"/>
      <c r="DI41" s="243"/>
      <c r="DJ41" s="243"/>
      <c r="DK41" s="243"/>
      <c r="DL41" s="243"/>
      <c r="DM41" s="243"/>
      <c r="DN41" s="243"/>
      <c r="DP41" s="271"/>
      <c r="DQ41" s="271"/>
      <c r="DR41" s="271"/>
      <c r="DS41" s="271"/>
      <c r="DT41" s="271"/>
      <c r="DU41" s="271"/>
      <c r="DV41" s="235">
        <v>450</v>
      </c>
      <c r="DW41" s="235">
        <v>625</v>
      </c>
      <c r="DX41" s="235">
        <f>SUM(C41:F41)</f>
        <v>569</v>
      </c>
      <c r="DY41" s="235">
        <f>SUM(G41:J41)</f>
        <v>549</v>
      </c>
      <c r="DZ41" s="235">
        <f>SUM(K41:N41)</f>
        <v>594</v>
      </c>
      <c r="EA41" s="235">
        <f>SUM(O41:R41)</f>
        <v>605</v>
      </c>
      <c r="EB41" s="235">
        <f>SUM(S41:V41)</f>
        <v>603</v>
      </c>
      <c r="EC41" s="235">
        <f>SUM(W41:Z41)</f>
        <v>568</v>
      </c>
      <c r="ED41" s="235">
        <f>SUM(AA41:AD41)</f>
        <v>567</v>
      </c>
      <c r="EE41" s="235">
        <f>SUM(AE41:AH41)</f>
        <v>654</v>
      </c>
      <c r="EF41" s="235">
        <v>507</v>
      </c>
      <c r="EG41" s="235"/>
      <c r="EH41" s="235"/>
      <c r="EI41" s="235"/>
      <c r="EJ41" s="235"/>
      <c r="EK41" s="235"/>
      <c r="EL41" s="235"/>
      <c r="EM41" s="235"/>
      <c r="EN41" s="235"/>
      <c r="EO41" s="235"/>
      <c r="EP41" s="235"/>
      <c r="EQ41" s="235"/>
      <c r="ER41" s="235">
        <f t="shared" si="23"/>
        <v>0</v>
      </c>
      <c r="ES41" s="235">
        <f t="shared" si="150"/>
        <v>0</v>
      </c>
      <c r="ET41" s="235">
        <f t="shared" si="151"/>
        <v>0</v>
      </c>
      <c r="EU41" s="235">
        <f t="shared" si="152"/>
        <v>0</v>
      </c>
      <c r="EV41" s="235">
        <f t="shared" si="153"/>
        <v>0</v>
      </c>
      <c r="EW41" s="235">
        <f t="shared" si="154"/>
        <v>0</v>
      </c>
      <c r="EX41" s="235">
        <f t="shared" si="174"/>
        <v>0</v>
      </c>
      <c r="EY41" s="235">
        <f t="shared" si="25"/>
        <v>0</v>
      </c>
      <c r="EZ41" s="345"/>
      <c r="FA41" s="345"/>
      <c r="FB41" s="345"/>
      <c r="FC41" s="345"/>
      <c r="FD41" s="345"/>
      <c r="FE41" s="345"/>
      <c r="FF41" s="345"/>
      <c r="FG41" s="345"/>
      <c r="FH41" s="345"/>
      <c r="FI41" s="345"/>
      <c r="FJ41" s="345"/>
      <c r="FM41"/>
    </row>
    <row r="42" spans="2:169" s="254" customFormat="1" x14ac:dyDescent="0.2">
      <c r="B42" t="s">
        <v>330</v>
      </c>
      <c r="C42" s="76">
        <f>144+31</f>
        <v>175</v>
      </c>
      <c r="D42" s="76">
        <f>162+32</f>
        <v>194</v>
      </c>
      <c r="E42" s="76">
        <f>118+30</f>
        <v>148</v>
      </c>
      <c r="F42" s="76">
        <f>124+29</f>
        <v>153</v>
      </c>
      <c r="G42" s="76">
        <f>179+29</f>
        <v>208</v>
      </c>
      <c r="H42" s="76">
        <f>133+31</f>
        <v>164</v>
      </c>
      <c r="I42" s="76">
        <f>174+30</f>
        <v>204</v>
      </c>
      <c r="J42" s="76">
        <f>153+31</f>
        <v>184</v>
      </c>
      <c r="K42" s="243">
        <f>202+31</f>
        <v>233</v>
      </c>
      <c r="L42" s="243">
        <f>197+31</f>
        <v>228</v>
      </c>
      <c r="M42" s="243">
        <f>216+34</f>
        <v>250</v>
      </c>
      <c r="N42" s="243">
        <f>173+30</f>
        <v>203</v>
      </c>
      <c r="O42" s="76">
        <f>222+29</f>
        <v>251</v>
      </c>
      <c r="P42" s="76">
        <f>249+29</f>
        <v>278</v>
      </c>
      <c r="Q42" s="76">
        <f>213+29</f>
        <v>242</v>
      </c>
      <c r="R42" s="76">
        <f>158+28</f>
        <v>186</v>
      </c>
      <c r="S42" s="76">
        <f>231+26</f>
        <v>257</v>
      </c>
      <c r="T42" s="76">
        <f>260+27</f>
        <v>287</v>
      </c>
      <c r="U42" s="76">
        <f>168+29</f>
        <v>197</v>
      </c>
      <c r="V42" s="76">
        <f>233+29</f>
        <v>262</v>
      </c>
      <c r="W42" s="76">
        <f>224+24</f>
        <v>248</v>
      </c>
      <c r="X42" s="76">
        <f>221+28</f>
        <v>249</v>
      </c>
      <c r="Y42" s="76">
        <f>237+30</f>
        <v>267</v>
      </c>
      <c r="Z42" s="76">
        <f>211+28</f>
        <v>239</v>
      </c>
      <c r="AA42" s="76">
        <f>239+29</f>
        <v>268</v>
      </c>
      <c r="AB42" s="76">
        <f>254+33</f>
        <v>287</v>
      </c>
      <c r="AC42" s="76">
        <f>259+33</f>
        <v>292</v>
      </c>
      <c r="AD42" s="76">
        <f>291+37</f>
        <v>328</v>
      </c>
      <c r="AE42" s="243">
        <f>263+42</f>
        <v>305</v>
      </c>
      <c r="AF42" s="243">
        <f>323+43</f>
        <v>366</v>
      </c>
      <c r="AG42" s="243">
        <f>256+49</f>
        <v>305</v>
      </c>
      <c r="AH42" s="243">
        <f>253+50</f>
        <v>303</v>
      </c>
      <c r="AI42" s="243">
        <f>245+57</f>
        <v>302</v>
      </c>
      <c r="AJ42" s="243">
        <f>245+57</f>
        <v>302</v>
      </c>
      <c r="AK42" s="243">
        <f>227+54</f>
        <v>281</v>
      </c>
      <c r="AL42" s="243">
        <f>206+51</f>
        <v>257</v>
      </c>
      <c r="AM42" s="243">
        <f>198+56</f>
        <v>254</v>
      </c>
      <c r="AN42" s="243">
        <f>188+59</f>
        <v>247</v>
      </c>
      <c r="AO42" s="243">
        <v>270</v>
      </c>
      <c r="AP42" s="243">
        <v>244</v>
      </c>
      <c r="AQ42" s="243">
        <v>237</v>
      </c>
      <c r="AR42" s="243">
        <v>240</v>
      </c>
      <c r="AS42" s="243">
        <v>233</v>
      </c>
      <c r="AT42" s="243">
        <v>215</v>
      </c>
      <c r="AU42" s="243">
        <f>AQ42*0.85</f>
        <v>201.45</v>
      </c>
      <c r="AV42" s="243"/>
      <c r="AW42" s="243"/>
      <c r="AX42" s="243"/>
      <c r="AY42" s="243"/>
      <c r="AZ42" s="243"/>
      <c r="BA42" s="243"/>
      <c r="BB42" s="243"/>
      <c r="BC42" s="243"/>
      <c r="BD42" s="243"/>
      <c r="BE42" s="243"/>
      <c r="BF42" s="243"/>
      <c r="BG42" s="243"/>
      <c r="BH42" s="243"/>
      <c r="BI42" s="243"/>
      <c r="BJ42" s="243"/>
      <c r="BK42" s="243"/>
      <c r="BL42" s="243"/>
      <c r="BM42" s="243"/>
      <c r="BN42" s="243"/>
      <c r="BO42" s="243"/>
      <c r="BP42" s="243"/>
      <c r="BQ42" s="243"/>
      <c r="BR42" s="243"/>
      <c r="BS42" s="243"/>
      <c r="BT42" s="243"/>
      <c r="BU42" s="243"/>
      <c r="BV42" s="243"/>
      <c r="BW42" s="243"/>
      <c r="BX42" s="243"/>
      <c r="BY42" s="243"/>
      <c r="BZ42" s="243"/>
      <c r="CA42" s="243"/>
      <c r="CB42" s="243"/>
      <c r="CC42" s="243"/>
      <c r="CD42" s="243"/>
      <c r="CE42" s="243"/>
      <c r="CF42" s="243"/>
      <c r="CG42" s="243"/>
      <c r="CH42" s="243"/>
      <c r="CI42" s="243"/>
      <c r="CJ42" s="243"/>
      <c r="CK42" s="243"/>
      <c r="CL42" s="243"/>
      <c r="CM42" s="243"/>
      <c r="CN42" s="243"/>
      <c r="CO42" s="243"/>
      <c r="CP42" s="243"/>
      <c r="CQ42" s="243"/>
      <c r="CR42" s="243"/>
      <c r="CS42" s="243"/>
      <c r="CT42" s="243"/>
      <c r="CU42" s="243"/>
      <c r="CV42" s="243"/>
      <c r="CW42" s="243"/>
      <c r="CX42" s="243"/>
      <c r="CY42" s="243"/>
      <c r="CZ42" s="243"/>
      <c r="DA42" s="243"/>
      <c r="DB42" s="243"/>
      <c r="DC42" s="243"/>
      <c r="DD42" s="243"/>
      <c r="DE42" s="243"/>
      <c r="DF42" s="243"/>
      <c r="DG42" s="243"/>
      <c r="DH42" s="243"/>
      <c r="DI42" s="243"/>
      <c r="DJ42" s="243"/>
      <c r="DK42" s="243"/>
      <c r="DL42" s="243"/>
      <c r="DM42" s="243"/>
      <c r="DN42" s="243"/>
      <c r="DP42" s="271"/>
      <c r="DQ42" s="271"/>
      <c r="DR42" s="271"/>
      <c r="DS42" s="271"/>
      <c r="DT42" s="271"/>
      <c r="DU42" s="271"/>
      <c r="DV42" s="235">
        <v>570</v>
      </c>
      <c r="DW42" s="235">
        <v>545</v>
      </c>
      <c r="DX42" s="235">
        <f>SUM(C42:F42)</f>
        <v>670</v>
      </c>
      <c r="DY42" s="235">
        <f>SUM(G42:J42)</f>
        <v>760</v>
      </c>
      <c r="DZ42" s="235">
        <f>SUM(K42:N42)</f>
        <v>914</v>
      </c>
      <c r="EA42" s="235">
        <f>SUM(O42:R42)</f>
        <v>957</v>
      </c>
      <c r="EB42" s="235">
        <f>SUM(S42:V42)</f>
        <v>1003</v>
      </c>
      <c r="EC42" s="235">
        <f>SUM(W42:Z42)</f>
        <v>1003</v>
      </c>
      <c r="ED42" s="235">
        <f>SUM(AA42:AD42)</f>
        <v>1175</v>
      </c>
      <c r="EE42" s="235">
        <f>SUM(AE42:AH42)</f>
        <v>1279</v>
      </c>
      <c r="EF42" s="235">
        <v>1136</v>
      </c>
      <c r="EG42" s="235">
        <f>SUM(AM42:AP42)</f>
        <v>1015</v>
      </c>
      <c r="EH42" s="235">
        <f>SUM(AQ42:AT42)</f>
        <v>925</v>
      </c>
      <c r="EI42" s="235">
        <f>SUM(AU42:AX42)</f>
        <v>201.45</v>
      </c>
      <c r="EJ42" s="235"/>
      <c r="EK42" s="235"/>
      <c r="EL42" s="235"/>
      <c r="EM42" s="235"/>
      <c r="EN42" s="235"/>
      <c r="EO42" s="235"/>
      <c r="EP42" s="235"/>
      <c r="EQ42" s="235"/>
      <c r="ER42" s="235">
        <f t="shared" si="23"/>
        <v>0</v>
      </c>
      <c r="ES42" s="235">
        <f t="shared" si="150"/>
        <v>0</v>
      </c>
      <c r="ET42" s="235">
        <f t="shared" si="151"/>
        <v>0</v>
      </c>
      <c r="EU42" s="235">
        <f t="shared" si="152"/>
        <v>0</v>
      </c>
      <c r="EV42" s="235">
        <f t="shared" si="153"/>
        <v>0</v>
      </c>
      <c r="EW42" s="235">
        <f t="shared" si="154"/>
        <v>0</v>
      </c>
      <c r="EX42" s="235">
        <f t="shared" si="174"/>
        <v>0</v>
      </c>
      <c r="EY42" s="235">
        <f t="shared" si="25"/>
        <v>0</v>
      </c>
      <c r="EZ42" s="345"/>
      <c r="FA42" s="345"/>
      <c r="FB42" s="345"/>
      <c r="FC42" s="345"/>
      <c r="FD42" s="345"/>
      <c r="FE42" s="345"/>
      <c r="FF42" s="345"/>
      <c r="FG42" s="345"/>
      <c r="FH42" s="345"/>
      <c r="FI42" s="345"/>
      <c r="FJ42" s="345"/>
    </row>
    <row r="43" spans="2:169" s="254" customFormat="1" x14ac:dyDescent="0.2">
      <c r="B43" t="s">
        <v>115</v>
      </c>
      <c r="C43" s="76"/>
      <c r="D43" s="76"/>
      <c r="E43" s="76"/>
      <c r="F43" s="76"/>
      <c r="G43" s="76"/>
      <c r="H43" s="76"/>
      <c r="I43" s="76"/>
      <c r="J43" s="76"/>
      <c r="K43" s="76"/>
      <c r="L43" s="76"/>
      <c r="M43" s="76"/>
      <c r="N43" s="76"/>
      <c r="O43" s="76"/>
      <c r="P43" s="76"/>
      <c r="Q43" s="76"/>
      <c r="R43" s="76"/>
      <c r="S43" s="76"/>
      <c r="T43" s="76"/>
      <c r="U43" s="76"/>
      <c r="V43" s="76"/>
      <c r="W43" s="76"/>
      <c r="X43" s="76"/>
      <c r="Y43" s="76"/>
      <c r="Z43" s="76"/>
      <c r="AA43" s="76">
        <v>340</v>
      </c>
      <c r="AB43" s="76">
        <v>338</v>
      </c>
      <c r="AC43" s="76">
        <v>350</v>
      </c>
      <c r="AD43" s="76">
        <v>336</v>
      </c>
      <c r="AE43" s="243">
        <v>425</v>
      </c>
      <c r="AF43" s="243">
        <v>408</v>
      </c>
      <c r="AG43" s="243">
        <v>420</v>
      </c>
      <c r="AH43" s="243">
        <v>424</v>
      </c>
      <c r="AI43" s="243"/>
      <c r="AJ43" s="243"/>
      <c r="AK43" s="243"/>
      <c r="AL43" s="243"/>
      <c r="AM43" s="243"/>
      <c r="AN43" s="243"/>
      <c r="AO43" s="243"/>
      <c r="AP43" s="243"/>
      <c r="AQ43" s="243"/>
      <c r="AR43" s="243"/>
      <c r="AS43" s="243"/>
      <c r="AT43" s="243"/>
      <c r="AU43" s="243"/>
      <c r="AV43" s="243"/>
      <c r="AW43" s="243"/>
      <c r="AX43" s="243"/>
      <c r="AY43" s="243"/>
      <c r="AZ43" s="243"/>
      <c r="BA43" s="243"/>
      <c r="BB43" s="243"/>
      <c r="BC43" s="243"/>
      <c r="BD43" s="243"/>
      <c r="BE43" s="243"/>
      <c r="BF43" s="243"/>
      <c r="BG43" s="243"/>
      <c r="BH43" s="243"/>
      <c r="BI43" s="243"/>
      <c r="BJ43" s="243"/>
      <c r="BK43" s="243"/>
      <c r="BL43" s="243"/>
      <c r="BM43" s="243"/>
      <c r="BN43" s="243"/>
      <c r="BO43" s="243"/>
      <c r="BP43" s="243"/>
      <c r="BQ43" s="243"/>
      <c r="BR43" s="243"/>
      <c r="BS43" s="243"/>
      <c r="BT43" s="243"/>
      <c r="BU43" s="243"/>
      <c r="BV43" s="243"/>
      <c r="BW43" s="243"/>
      <c r="BX43" s="243"/>
      <c r="BY43" s="243"/>
      <c r="BZ43" s="243"/>
      <c r="CA43" s="243"/>
      <c r="CB43" s="243"/>
      <c r="CC43" s="243"/>
      <c r="CD43" s="243"/>
      <c r="CE43" s="243"/>
      <c r="CF43" s="243"/>
      <c r="CG43" s="243"/>
      <c r="CH43" s="243"/>
      <c r="CI43" s="243"/>
      <c r="CJ43" s="243"/>
      <c r="CK43" s="243"/>
      <c r="CL43" s="243"/>
      <c r="CM43" s="243"/>
      <c r="CN43" s="243"/>
      <c r="CO43" s="243"/>
      <c r="CP43" s="243"/>
      <c r="CQ43" s="243"/>
      <c r="CR43" s="243"/>
      <c r="CS43" s="243"/>
      <c r="CT43" s="243"/>
      <c r="CU43" s="243"/>
      <c r="CV43" s="243"/>
      <c r="CW43" s="243"/>
      <c r="CX43" s="243"/>
      <c r="CY43" s="243"/>
      <c r="CZ43" s="243"/>
      <c r="DA43" s="243"/>
      <c r="DB43" s="243"/>
      <c r="DC43" s="243"/>
      <c r="DD43" s="243"/>
      <c r="DE43" s="243"/>
      <c r="DF43" s="243"/>
      <c r="DG43" s="243"/>
      <c r="DH43" s="243"/>
      <c r="DI43" s="243"/>
      <c r="DJ43" s="243"/>
      <c r="DK43" s="243"/>
      <c r="DL43" s="243"/>
      <c r="DM43" s="243"/>
      <c r="DN43" s="243"/>
      <c r="DP43" s="244" t="s">
        <v>120</v>
      </c>
      <c r="DQ43" s="235"/>
      <c r="DR43" s="235"/>
      <c r="DS43" s="235"/>
      <c r="DT43" s="235"/>
      <c r="DU43" s="235"/>
      <c r="DV43" s="235"/>
      <c r="DW43" s="235"/>
      <c r="DX43" s="235"/>
      <c r="DY43" s="235"/>
      <c r="DZ43" s="235"/>
      <c r="EA43" s="235">
        <v>679</v>
      </c>
      <c r="EB43" s="235">
        <v>1042</v>
      </c>
      <c r="EC43" s="235">
        <v>1114</v>
      </c>
      <c r="ED43" s="235">
        <f>SUM(AA43:AD43)</f>
        <v>1364</v>
      </c>
      <c r="EE43" s="235">
        <v>1674</v>
      </c>
      <c r="EF43" s="235"/>
      <c r="EG43" s="235"/>
      <c r="EH43" s="235"/>
      <c r="EI43" s="235"/>
      <c r="EJ43" s="235"/>
      <c r="EK43" s="235"/>
      <c r="EL43" s="235"/>
      <c r="EM43" s="235"/>
      <c r="EN43" s="235"/>
      <c r="EO43" s="235"/>
      <c r="EP43" s="76"/>
      <c r="EQ43" s="76"/>
      <c r="ER43" s="235">
        <f t="shared" si="23"/>
        <v>0</v>
      </c>
      <c r="ES43" s="235">
        <f t="shared" si="150"/>
        <v>0</v>
      </c>
      <c r="ET43" s="235">
        <f t="shared" si="151"/>
        <v>0</v>
      </c>
      <c r="EU43" s="235">
        <f t="shared" si="152"/>
        <v>0</v>
      </c>
      <c r="EV43" s="235">
        <f t="shared" si="153"/>
        <v>0</v>
      </c>
      <c r="EW43" s="235">
        <f t="shared" si="154"/>
        <v>0</v>
      </c>
      <c r="EX43" s="235">
        <f t="shared" si="174"/>
        <v>0</v>
      </c>
      <c r="EY43" s="235">
        <f t="shared" si="25"/>
        <v>0</v>
      </c>
      <c r="EZ43" s="345"/>
      <c r="FA43" s="345"/>
      <c r="FB43" s="345"/>
      <c r="FC43" s="345"/>
      <c r="FD43" s="345"/>
      <c r="FE43" s="345"/>
      <c r="FF43" s="345"/>
      <c r="FG43" s="345"/>
      <c r="FH43" s="345"/>
      <c r="FI43" s="345"/>
      <c r="FJ43" s="345"/>
      <c r="FM43"/>
    </row>
    <row r="44" spans="2:169" s="254" customFormat="1" x14ac:dyDescent="0.2">
      <c r="B44" t="s">
        <v>630</v>
      </c>
      <c r="C44" s="76"/>
      <c r="D44" s="76"/>
      <c r="E44" s="76"/>
      <c r="F44" s="76"/>
      <c r="G44" s="76"/>
      <c r="H44" s="76"/>
      <c r="I44" s="76"/>
      <c r="J44" s="76"/>
      <c r="K44" s="76"/>
      <c r="L44" s="76"/>
      <c r="M44" s="76"/>
      <c r="N44" s="76"/>
      <c r="O44" s="76"/>
      <c r="P44" s="76"/>
      <c r="Q44" s="76"/>
      <c r="R44" s="76"/>
      <c r="S44" s="76">
        <v>2</v>
      </c>
      <c r="T44" s="76">
        <v>10</v>
      </c>
      <c r="U44" s="76">
        <v>14</v>
      </c>
      <c r="V44" s="236" t="s">
        <v>419</v>
      </c>
      <c r="W44" s="236" t="s">
        <v>984</v>
      </c>
      <c r="X44" s="236" t="s">
        <v>420</v>
      </c>
      <c r="Y44" s="236" t="s">
        <v>415</v>
      </c>
      <c r="Z44" s="236" t="s">
        <v>421</v>
      </c>
      <c r="AA44" s="236" t="s">
        <v>423</v>
      </c>
      <c r="AB44" s="236" t="s">
        <v>424</v>
      </c>
      <c r="AC44" s="236" t="s">
        <v>425</v>
      </c>
      <c r="AD44" s="236" t="s">
        <v>922</v>
      </c>
      <c r="AE44" s="236" t="s">
        <v>427</v>
      </c>
      <c r="AF44" s="236" t="s">
        <v>428</v>
      </c>
      <c r="AG44" s="236" t="s">
        <v>429</v>
      </c>
      <c r="AH44" s="236" t="s">
        <v>430</v>
      </c>
      <c r="AI44" s="237" t="s">
        <v>432</v>
      </c>
      <c r="AJ44" s="237" t="s">
        <v>432</v>
      </c>
      <c r="AK44" s="237" t="s">
        <v>432</v>
      </c>
      <c r="AL44" s="237" t="s">
        <v>428</v>
      </c>
      <c r="AM44" s="237" t="s">
        <v>985</v>
      </c>
      <c r="AN44" s="237" t="s">
        <v>985</v>
      </c>
      <c r="AO44" s="243"/>
      <c r="AP44" s="243"/>
      <c r="AQ44" s="243">
        <v>128</v>
      </c>
      <c r="AR44" s="243">
        <v>132</v>
      </c>
      <c r="AS44" s="243">
        <v>130</v>
      </c>
      <c r="AT44" s="243">
        <v>141</v>
      </c>
      <c r="AU44" s="243">
        <v>149</v>
      </c>
      <c r="AV44" s="243">
        <v>152</v>
      </c>
      <c r="AW44" s="243">
        <v>138</v>
      </c>
      <c r="AX44" s="243">
        <v>102</v>
      </c>
      <c r="AY44" s="243">
        <v>101</v>
      </c>
      <c r="AZ44" s="243">
        <v>107</v>
      </c>
      <c r="BA44" s="243">
        <v>97</v>
      </c>
      <c r="BB44" s="243">
        <v>110</v>
      </c>
      <c r="BC44" s="243"/>
      <c r="BD44" s="243"/>
      <c r="BE44" s="243"/>
      <c r="BF44" s="243"/>
      <c r="BG44" s="243"/>
      <c r="BH44" s="243"/>
      <c r="BI44" s="76"/>
      <c r="BJ44" s="76"/>
      <c r="BK44" s="243"/>
      <c r="BL44" s="243"/>
      <c r="BM44" s="243"/>
      <c r="BN44" s="243"/>
      <c r="BO44" s="243"/>
      <c r="BP44" s="243"/>
      <c r="BQ44" s="243"/>
      <c r="BR44" s="243"/>
      <c r="BS44" s="243"/>
      <c r="BT44" s="243"/>
      <c r="BU44" s="243"/>
      <c r="BV44" s="243"/>
      <c r="BW44" s="243"/>
      <c r="BX44" s="243"/>
      <c r="BY44" s="243"/>
      <c r="BZ44" s="243"/>
      <c r="CA44" s="243"/>
      <c r="CB44" s="243"/>
      <c r="CC44" s="243"/>
      <c r="CD44" s="243"/>
      <c r="CE44" s="243"/>
      <c r="CF44" s="243"/>
      <c r="CG44" s="243"/>
      <c r="CH44" s="243"/>
      <c r="CI44" s="243"/>
      <c r="CJ44" s="243"/>
      <c r="CK44" s="243"/>
      <c r="CL44" s="243"/>
      <c r="CM44" s="243"/>
      <c r="CN44" s="243"/>
      <c r="CO44" s="243"/>
      <c r="CP44" s="243"/>
      <c r="CQ44" s="243"/>
      <c r="CR44" s="243"/>
      <c r="CS44" s="243"/>
      <c r="CT44" s="243"/>
      <c r="CU44" s="243"/>
      <c r="CV44" s="243"/>
      <c r="CW44" s="243"/>
      <c r="CX44" s="243"/>
      <c r="CY44" s="243"/>
      <c r="CZ44" s="243"/>
      <c r="DA44" s="243"/>
      <c r="DB44" s="243"/>
      <c r="DC44" s="243"/>
      <c r="DD44" s="243"/>
      <c r="DE44" s="243"/>
      <c r="DF44" s="243"/>
      <c r="DG44" s="243"/>
      <c r="DH44" s="243"/>
      <c r="DI44" s="243"/>
      <c r="DJ44" s="243"/>
      <c r="DK44" s="243"/>
      <c r="DL44" s="243"/>
      <c r="DM44" s="243"/>
      <c r="DN44" s="243"/>
      <c r="DP44" s="235"/>
      <c r="DQ44" s="235"/>
      <c r="DR44" s="235"/>
      <c r="DS44" s="235"/>
      <c r="DT44" s="235"/>
      <c r="DU44" s="235"/>
      <c r="DV44" s="235"/>
      <c r="DW44" s="235"/>
      <c r="DX44" s="235"/>
      <c r="DY44" s="235"/>
      <c r="DZ44" s="235"/>
      <c r="EA44" s="235"/>
      <c r="EB44" s="235">
        <v>25</v>
      </c>
      <c r="EC44" s="244" t="s">
        <v>422</v>
      </c>
      <c r="ED44" s="244" t="s">
        <v>426</v>
      </c>
      <c r="EE44" s="244" t="s">
        <v>431</v>
      </c>
      <c r="EF44" s="244" t="s">
        <v>433</v>
      </c>
      <c r="EG44" s="235"/>
      <c r="EH44" s="235">
        <f>SUM(AQ44:AT44)</f>
        <v>531</v>
      </c>
      <c r="EI44" s="235">
        <f>SUM(AU44:AX44)</f>
        <v>541</v>
      </c>
      <c r="EJ44" s="235">
        <f>SUM(AY44:BB44)</f>
        <v>415</v>
      </c>
      <c r="EK44" s="235"/>
      <c r="EL44" s="235"/>
      <c r="EM44" s="235"/>
      <c r="EN44" s="235"/>
      <c r="EO44" s="235"/>
      <c r="EP44" s="235"/>
      <c r="EQ44" s="235"/>
      <c r="ER44" s="235">
        <f t="shared" si="23"/>
        <v>0</v>
      </c>
      <c r="ES44" s="235">
        <f t="shared" si="150"/>
        <v>0</v>
      </c>
      <c r="ET44" s="235">
        <f t="shared" si="151"/>
        <v>0</v>
      </c>
      <c r="EU44" s="235">
        <f t="shared" si="152"/>
        <v>0</v>
      </c>
      <c r="EV44" s="235">
        <f t="shared" si="153"/>
        <v>0</v>
      </c>
      <c r="EW44" s="235">
        <f t="shared" si="154"/>
        <v>0</v>
      </c>
      <c r="EX44" s="235">
        <f t="shared" si="174"/>
        <v>0</v>
      </c>
      <c r="EY44" s="235">
        <f t="shared" si="25"/>
        <v>0</v>
      </c>
      <c r="EZ44" s="344"/>
      <c r="FA44" s="344"/>
      <c r="FB44" s="344"/>
      <c r="FC44" s="344"/>
      <c r="FD44" s="344"/>
      <c r="FE44" s="344"/>
      <c r="FF44" s="344"/>
      <c r="FG44" s="344"/>
      <c r="FH44" s="344"/>
      <c r="FI44" s="344"/>
      <c r="FJ44" s="344"/>
    </row>
    <row r="45" spans="2:169" s="254" customFormat="1" x14ac:dyDescent="0.2">
      <c r="B45" t="s">
        <v>1771</v>
      </c>
      <c r="C45" s="76"/>
      <c r="D45" s="76"/>
      <c r="E45" s="76"/>
      <c r="F45" s="76"/>
      <c r="G45" s="76"/>
      <c r="H45" s="76"/>
      <c r="I45" s="76"/>
      <c r="J45" s="76"/>
      <c r="K45" s="76"/>
      <c r="L45" s="76"/>
      <c r="M45" s="76"/>
      <c r="N45" s="76"/>
      <c r="O45" s="76"/>
      <c r="P45" s="76"/>
      <c r="Q45" s="76"/>
      <c r="R45" s="76"/>
      <c r="S45" s="76"/>
      <c r="T45" s="76"/>
      <c r="U45" s="76"/>
      <c r="V45" s="236"/>
      <c r="W45" s="236"/>
      <c r="X45" s="236"/>
      <c r="Y45" s="236"/>
      <c r="Z45" s="236"/>
      <c r="AA45" s="236"/>
      <c r="AB45" s="236"/>
      <c r="AC45" s="236"/>
      <c r="AD45" s="236"/>
      <c r="AE45" s="236"/>
      <c r="AF45" s="236"/>
      <c r="AG45" s="236"/>
      <c r="AH45" s="236"/>
      <c r="AI45" s="237"/>
      <c r="AJ45" s="237"/>
      <c r="AK45" s="237"/>
      <c r="AL45" s="237"/>
      <c r="AM45" s="237"/>
      <c r="AN45" s="237"/>
      <c r="AO45" s="243"/>
      <c r="AP45" s="243"/>
      <c r="AQ45" s="243"/>
      <c r="AR45" s="243"/>
      <c r="AS45" s="243"/>
      <c r="AT45" s="243"/>
      <c r="AU45" s="243"/>
      <c r="AV45" s="243"/>
      <c r="AW45" s="243"/>
      <c r="AX45" s="243"/>
      <c r="AY45" s="243"/>
      <c r="AZ45" s="243"/>
      <c r="BA45" s="243"/>
      <c r="BB45" s="243"/>
      <c r="BC45" s="243"/>
      <c r="BD45" s="243"/>
      <c r="BE45" s="243"/>
      <c r="BF45" s="243"/>
      <c r="BG45" s="243"/>
      <c r="BH45" s="243"/>
      <c r="BI45" s="76"/>
      <c r="BJ45" s="76"/>
      <c r="BK45" s="243"/>
      <c r="BL45" s="243"/>
      <c r="BM45" s="243"/>
      <c r="BN45" s="243"/>
      <c r="BO45" s="243"/>
      <c r="BP45" s="243"/>
      <c r="BQ45" s="243"/>
      <c r="BR45" s="243"/>
      <c r="BS45" s="243"/>
      <c r="BT45" s="243"/>
      <c r="BU45" s="243"/>
      <c r="BV45" s="243"/>
      <c r="BW45" s="243"/>
      <c r="BX45" s="243"/>
      <c r="BY45" s="243"/>
      <c r="BZ45" s="243"/>
      <c r="CA45" s="243"/>
      <c r="CB45" s="243"/>
      <c r="CC45" s="243"/>
      <c r="CD45" s="243"/>
      <c r="CE45" s="243"/>
      <c r="CF45" s="243">
        <v>26</v>
      </c>
      <c r="CG45" s="243">
        <v>210</v>
      </c>
      <c r="CH45" s="243">
        <v>167</v>
      </c>
      <c r="CI45" s="243">
        <v>140</v>
      </c>
      <c r="CJ45" s="243">
        <v>143</v>
      </c>
      <c r="CK45" s="243">
        <v>139</v>
      </c>
      <c r="CL45" s="243">
        <v>124</v>
      </c>
      <c r="CM45" s="243">
        <v>117</v>
      </c>
      <c r="CN45" s="243">
        <v>103</v>
      </c>
      <c r="CO45" s="243">
        <v>65</v>
      </c>
      <c r="CP45" s="243">
        <v>56</v>
      </c>
      <c r="CQ45" s="243">
        <v>0</v>
      </c>
      <c r="CR45" s="243">
        <v>0</v>
      </c>
      <c r="CS45" s="243">
        <v>0</v>
      </c>
      <c r="CT45" s="243">
        <v>0</v>
      </c>
      <c r="CU45" s="243">
        <v>0</v>
      </c>
      <c r="CV45" s="243">
        <v>0</v>
      </c>
      <c r="CW45" s="243">
        <v>0</v>
      </c>
      <c r="CX45" s="243">
        <v>0</v>
      </c>
      <c r="CY45" s="243"/>
      <c r="CZ45" s="243"/>
      <c r="DA45" s="243"/>
      <c r="DB45" s="243"/>
      <c r="DC45" s="243"/>
      <c r="DD45" s="243"/>
      <c r="DE45" s="243"/>
      <c r="DF45" s="243"/>
      <c r="DG45" s="243"/>
      <c r="DH45" s="243"/>
      <c r="DI45" s="243"/>
      <c r="DJ45" s="243"/>
      <c r="DK45" s="243"/>
      <c r="DL45" s="243"/>
      <c r="DM45" s="243"/>
      <c r="DN45" s="243"/>
      <c r="DP45" s="235"/>
      <c r="DQ45" s="235"/>
      <c r="DR45" s="235"/>
      <c r="DS45" s="235"/>
      <c r="DT45" s="235"/>
      <c r="DU45" s="235"/>
      <c r="DV45" s="235"/>
      <c r="DW45" s="235"/>
      <c r="DX45" s="235"/>
      <c r="DY45" s="235"/>
      <c r="DZ45" s="235"/>
      <c r="EA45" s="235"/>
      <c r="EB45" s="235"/>
      <c r="EC45" s="244"/>
      <c r="ED45" s="244"/>
      <c r="EE45" s="244"/>
      <c r="EF45" s="244"/>
      <c r="EG45" s="235"/>
      <c r="EH45" s="235"/>
      <c r="EI45" s="235"/>
      <c r="EJ45" s="235"/>
      <c r="EK45" s="235"/>
      <c r="EL45" s="235"/>
      <c r="EM45" s="235"/>
      <c r="EN45" s="235"/>
      <c r="EO45" s="235"/>
      <c r="EP45" s="235"/>
      <c r="EQ45" s="235"/>
      <c r="ER45" s="235">
        <f t="shared" si="23"/>
        <v>403</v>
      </c>
      <c r="ES45" s="235">
        <f t="shared" si="150"/>
        <v>546</v>
      </c>
      <c r="ET45" s="235">
        <f t="shared" si="151"/>
        <v>341</v>
      </c>
      <c r="EU45" s="235">
        <f t="shared" si="152"/>
        <v>0</v>
      </c>
      <c r="EV45" s="235">
        <f t="shared" si="153"/>
        <v>0</v>
      </c>
      <c r="EW45" s="235">
        <f t="shared" si="154"/>
        <v>0</v>
      </c>
      <c r="EX45" s="235"/>
      <c r="EY45" s="235"/>
      <c r="EZ45" s="344"/>
      <c r="FA45" s="344"/>
      <c r="FB45" s="344"/>
      <c r="FC45" s="344"/>
      <c r="FD45" s="344"/>
      <c r="FE45" s="344"/>
      <c r="FF45" s="344"/>
      <c r="FG45" s="344"/>
      <c r="FH45" s="344"/>
      <c r="FI45" s="344"/>
      <c r="FJ45" s="344"/>
    </row>
    <row r="46" spans="2:169" s="254" customFormat="1" x14ac:dyDescent="0.2">
      <c r="B46" t="s">
        <v>1683</v>
      </c>
      <c r="C46" s="76"/>
      <c r="D46" s="76"/>
      <c r="E46" s="76"/>
      <c r="F46" s="76"/>
      <c r="G46" s="76"/>
      <c r="H46" s="76"/>
      <c r="I46" s="76"/>
      <c r="J46" s="76"/>
      <c r="K46" s="76"/>
      <c r="L46" s="76"/>
      <c r="M46" s="76"/>
      <c r="N46" s="76"/>
      <c r="O46" s="76"/>
      <c r="P46" s="76"/>
      <c r="Q46" s="76"/>
      <c r="R46" s="76"/>
      <c r="S46" s="76"/>
      <c r="T46" s="76"/>
      <c r="U46" s="76"/>
      <c r="V46" s="236"/>
      <c r="W46" s="236"/>
      <c r="X46" s="236"/>
      <c r="Y46" s="236"/>
      <c r="Z46" s="236"/>
      <c r="AA46" s="236"/>
      <c r="AB46" s="236"/>
      <c r="AC46" s="236"/>
      <c r="AD46" s="236"/>
      <c r="AE46" s="236"/>
      <c r="AF46" s="236"/>
      <c r="AG46" s="236"/>
      <c r="AH46" s="236"/>
      <c r="AI46" s="237"/>
      <c r="AJ46" s="237"/>
      <c r="AK46" s="237"/>
      <c r="AL46" s="237"/>
      <c r="AM46" s="237"/>
      <c r="AN46" s="237"/>
      <c r="AO46" s="243"/>
      <c r="AP46" s="243"/>
      <c r="AQ46" s="243"/>
      <c r="AR46" s="243"/>
      <c r="AS46" s="243"/>
      <c r="AT46" s="243"/>
      <c r="AU46" s="243"/>
      <c r="AV46" s="243"/>
      <c r="AW46" s="243"/>
      <c r="AX46" s="243"/>
      <c r="AY46" s="243"/>
      <c r="AZ46" s="243"/>
      <c r="BA46" s="243"/>
      <c r="BB46" s="243"/>
      <c r="BC46" s="243"/>
      <c r="BD46" s="243"/>
      <c r="BE46" s="243"/>
      <c r="BF46" s="243"/>
      <c r="BG46" s="243"/>
      <c r="BH46" s="243"/>
      <c r="BI46" s="76"/>
      <c r="BJ46" s="76"/>
      <c r="BK46" s="243"/>
      <c r="BL46" s="243"/>
      <c r="BM46" s="243"/>
      <c r="BN46" s="243"/>
      <c r="BO46" s="243"/>
      <c r="BP46" s="243"/>
      <c r="BQ46" s="243"/>
      <c r="BR46" s="243"/>
      <c r="BS46" s="243"/>
      <c r="BT46" s="243"/>
      <c r="BU46" s="243"/>
      <c r="BV46" s="243"/>
      <c r="BW46" s="243"/>
      <c r="BX46" s="243"/>
      <c r="BY46" s="243"/>
      <c r="BZ46" s="243"/>
      <c r="CA46" s="243"/>
      <c r="CB46" s="243"/>
      <c r="CC46" s="243"/>
      <c r="CD46" s="243"/>
      <c r="CE46" s="243"/>
      <c r="CF46" s="243">
        <v>11</v>
      </c>
      <c r="CG46" s="243">
        <v>39</v>
      </c>
      <c r="CH46" s="243">
        <v>44</v>
      </c>
      <c r="CI46" s="243">
        <v>34</v>
      </c>
      <c r="CJ46" s="243">
        <v>40</v>
      </c>
      <c r="CK46" s="243">
        <v>36</v>
      </c>
      <c r="CL46" s="243">
        <v>39</v>
      </c>
      <c r="CM46" s="243">
        <v>35</v>
      </c>
      <c r="CN46" s="243">
        <v>37</v>
      </c>
      <c r="CO46" s="243">
        <v>31</v>
      </c>
      <c r="CP46" s="243">
        <v>32</v>
      </c>
      <c r="CQ46" s="243">
        <v>106</v>
      </c>
      <c r="CR46" s="243">
        <v>101</v>
      </c>
      <c r="CS46" s="243">
        <v>97</v>
      </c>
      <c r="CT46" s="243">
        <v>112</v>
      </c>
      <c r="CU46" s="243">
        <v>105</v>
      </c>
      <c r="CV46" s="243">
        <v>95</v>
      </c>
      <c r="CW46" s="243">
        <v>101</v>
      </c>
      <c r="CX46" s="243">
        <v>94</v>
      </c>
      <c r="CY46" s="243">
        <v>83</v>
      </c>
      <c r="CZ46" s="243">
        <v>78</v>
      </c>
      <c r="DA46" s="243">
        <v>78</v>
      </c>
      <c r="DB46" s="243">
        <v>73</v>
      </c>
      <c r="DC46" s="243">
        <v>70</v>
      </c>
      <c r="DD46" s="243">
        <v>66</v>
      </c>
      <c r="DE46" s="243">
        <v>63</v>
      </c>
      <c r="DF46" s="243">
        <v>61</v>
      </c>
      <c r="DG46" s="243">
        <v>56</v>
      </c>
      <c r="DH46" s="243">
        <v>71</v>
      </c>
      <c r="DI46" s="243">
        <v>72</v>
      </c>
      <c r="DJ46" s="243">
        <v>82</v>
      </c>
      <c r="DK46" s="243"/>
      <c r="DL46" s="243"/>
      <c r="DM46" s="243"/>
      <c r="DN46" s="243"/>
      <c r="DP46" s="235"/>
      <c r="DQ46" s="235"/>
      <c r="DR46" s="235"/>
      <c r="DS46" s="235"/>
      <c r="DT46" s="235"/>
      <c r="DU46" s="235"/>
      <c r="DV46" s="235"/>
      <c r="DW46" s="235"/>
      <c r="DX46" s="235"/>
      <c r="DY46" s="235"/>
      <c r="DZ46" s="235"/>
      <c r="EA46" s="235"/>
      <c r="EB46" s="235"/>
      <c r="EC46" s="244"/>
      <c r="ED46" s="244"/>
      <c r="EE46" s="244"/>
      <c r="EF46" s="244"/>
      <c r="EG46" s="235"/>
      <c r="EH46" s="235"/>
      <c r="EI46" s="235"/>
      <c r="EJ46" s="235"/>
      <c r="EK46" s="235"/>
      <c r="EL46" s="235"/>
      <c r="EM46" s="235"/>
      <c r="EN46" s="235"/>
      <c r="EO46" s="235"/>
      <c r="EP46" s="235"/>
      <c r="EQ46" s="235"/>
      <c r="ER46" s="235">
        <f t="shared" si="23"/>
        <v>94</v>
      </c>
      <c r="ES46" s="235">
        <f t="shared" si="150"/>
        <v>149</v>
      </c>
      <c r="ET46" s="235">
        <f t="shared" si="151"/>
        <v>135</v>
      </c>
      <c r="EU46" s="235">
        <f t="shared" si="152"/>
        <v>416</v>
      </c>
      <c r="EV46" s="235">
        <f t="shared" si="153"/>
        <v>395</v>
      </c>
      <c r="EW46" s="235">
        <f t="shared" si="154"/>
        <v>312</v>
      </c>
      <c r="EX46" s="235">
        <f>SUM(DC46:DF46)</f>
        <v>260</v>
      </c>
      <c r="EY46" s="235">
        <f t="shared" si="25"/>
        <v>281</v>
      </c>
      <c r="EZ46" s="344"/>
      <c r="FA46" s="344"/>
      <c r="FB46" s="344"/>
      <c r="FC46" s="344"/>
      <c r="FD46" s="344"/>
      <c r="FE46" s="344"/>
      <c r="FF46" s="344"/>
      <c r="FG46" s="344"/>
      <c r="FH46" s="344"/>
      <c r="FI46" s="344"/>
      <c r="FJ46" s="344"/>
    </row>
    <row r="47" spans="2:169" s="254" customFormat="1" ht="12.75" customHeight="1" x14ac:dyDescent="0.2">
      <c r="B47" t="s">
        <v>191</v>
      </c>
      <c r="C47" s="76"/>
      <c r="D47" s="76"/>
      <c r="E47" s="76"/>
      <c r="F47" s="76"/>
      <c r="G47" s="76"/>
      <c r="H47" s="76"/>
      <c r="I47" s="76"/>
      <c r="J47" s="76"/>
      <c r="K47" s="76"/>
      <c r="L47" s="76"/>
      <c r="M47" s="76"/>
      <c r="N47" s="76"/>
      <c r="O47" s="76"/>
      <c r="P47" s="76"/>
      <c r="Q47" s="76"/>
      <c r="R47" s="76"/>
      <c r="S47" s="76"/>
      <c r="T47" s="76"/>
      <c r="U47" s="76"/>
      <c r="V47" s="76"/>
      <c r="W47" s="268"/>
      <c r="X47" s="268"/>
      <c r="Y47" s="268"/>
      <c r="Z47" s="268"/>
      <c r="AA47" s="268"/>
      <c r="AB47" s="268"/>
      <c r="AC47" s="268"/>
      <c r="AD47" s="268"/>
      <c r="AE47" s="269"/>
      <c r="AF47" s="243"/>
      <c r="AG47" s="243"/>
      <c r="AH47" s="243"/>
      <c r="AI47" s="243"/>
      <c r="AJ47" s="243"/>
      <c r="AK47" s="243"/>
      <c r="AL47" s="243"/>
      <c r="AM47" s="243"/>
      <c r="AN47" s="243"/>
      <c r="AO47" s="243"/>
      <c r="AP47" s="243"/>
      <c r="AQ47" s="243"/>
      <c r="AR47" s="243"/>
      <c r="AS47" s="243"/>
      <c r="AT47" s="243"/>
      <c r="AU47" s="243"/>
      <c r="AV47" s="243"/>
      <c r="AW47" s="243"/>
      <c r="AX47" s="243"/>
      <c r="AY47" s="76"/>
      <c r="AZ47" s="76"/>
      <c r="BA47" s="76"/>
      <c r="BB47" s="76"/>
      <c r="BC47" s="76"/>
      <c r="BD47" s="76"/>
      <c r="BE47" s="76"/>
      <c r="BF47" s="76"/>
      <c r="BG47" s="76"/>
      <c r="BH47" s="76"/>
      <c r="BI47" s="76"/>
      <c r="BJ47" s="76"/>
      <c r="BK47" s="243">
        <v>27</v>
      </c>
      <c r="BL47" s="243">
        <v>49</v>
      </c>
      <c r="BM47" s="243">
        <v>68</v>
      </c>
      <c r="BN47" s="243">
        <v>95</v>
      </c>
      <c r="BO47" s="243">
        <v>158</v>
      </c>
      <c r="BP47" s="243">
        <v>189</v>
      </c>
      <c r="BQ47" s="243">
        <v>246</v>
      </c>
      <c r="BR47" s="243">
        <v>271</v>
      </c>
      <c r="BS47" s="243">
        <v>319</v>
      </c>
      <c r="BT47" s="243">
        <v>361</v>
      </c>
      <c r="BU47" s="243">
        <v>414</v>
      </c>
      <c r="BV47" s="243">
        <v>428</v>
      </c>
      <c r="BW47" s="243">
        <v>441</v>
      </c>
      <c r="BX47" s="243">
        <v>472</v>
      </c>
      <c r="BY47" s="243">
        <v>461</v>
      </c>
      <c r="BZ47" s="243">
        <v>494</v>
      </c>
      <c r="CA47" s="243">
        <v>567</v>
      </c>
      <c r="CB47" s="243">
        <v>594</v>
      </c>
      <c r="CC47" s="243">
        <v>529</v>
      </c>
      <c r="CD47" s="243">
        <v>598</v>
      </c>
      <c r="CE47" s="243">
        <v>513</v>
      </c>
      <c r="CF47" s="243">
        <v>642</v>
      </c>
      <c r="CG47" s="243">
        <v>635</v>
      </c>
      <c r="CH47" s="243">
        <v>710</v>
      </c>
      <c r="CI47" s="243">
        <v>578</v>
      </c>
      <c r="CJ47" s="243">
        <v>679</v>
      </c>
      <c r="CK47" s="243">
        <v>612</v>
      </c>
      <c r="CL47" s="243">
        <v>608</v>
      </c>
      <c r="CM47" s="243">
        <v>542</v>
      </c>
      <c r="CN47" s="243">
        <v>549</v>
      </c>
      <c r="CO47" s="243">
        <v>613</v>
      </c>
      <c r="CP47" s="243">
        <v>609</v>
      </c>
      <c r="CQ47" s="243">
        <v>527</v>
      </c>
      <c r="CR47" s="243">
        <v>559</v>
      </c>
      <c r="CS47" s="243">
        <v>630</v>
      </c>
      <c r="CT47" s="243">
        <v>629</v>
      </c>
      <c r="CU47" s="243">
        <v>589</v>
      </c>
      <c r="CV47" s="243">
        <v>569</v>
      </c>
      <c r="CW47" s="243">
        <v>636</v>
      </c>
      <c r="CX47" s="243">
        <v>644</v>
      </c>
      <c r="CY47" s="243">
        <v>508</v>
      </c>
      <c r="CZ47" s="243">
        <v>609</v>
      </c>
      <c r="DA47" s="243">
        <v>689</v>
      </c>
      <c r="DB47" s="243">
        <v>667</v>
      </c>
      <c r="DC47" s="243">
        <v>578</v>
      </c>
      <c r="DD47" s="243">
        <v>637</v>
      </c>
      <c r="DE47" s="243">
        <v>625</v>
      </c>
      <c r="DF47" s="243">
        <v>525</v>
      </c>
      <c r="DG47" s="243">
        <v>518</v>
      </c>
      <c r="DH47" s="243">
        <v>587</v>
      </c>
      <c r="DI47" s="243">
        <v>592</v>
      </c>
      <c r="DJ47" s="243">
        <v>676</v>
      </c>
      <c r="DK47" s="243">
        <v>530.25</v>
      </c>
      <c r="DL47" s="243">
        <v>530.25</v>
      </c>
      <c r="DM47" s="243">
        <v>530.25</v>
      </c>
      <c r="DN47" s="243">
        <v>530.25</v>
      </c>
      <c r="DP47" s="76"/>
      <c r="DQ47" s="76"/>
      <c r="DR47" s="76"/>
      <c r="DS47" s="76"/>
      <c r="DT47" s="76"/>
      <c r="DU47" s="76"/>
      <c r="DV47" s="76"/>
      <c r="DW47" s="76"/>
      <c r="DX47" s="76"/>
      <c r="DY47" s="76"/>
      <c r="DZ47" s="76"/>
      <c r="EA47" s="76"/>
      <c r="EB47" s="76"/>
      <c r="EC47" s="76"/>
      <c r="ED47" s="76"/>
      <c r="EE47" s="76"/>
      <c r="EF47" s="76"/>
      <c r="EG47" s="76"/>
      <c r="EH47" s="235"/>
      <c r="EI47" s="235"/>
      <c r="EJ47" s="235">
        <v>0</v>
      </c>
      <c r="EK47" s="235"/>
      <c r="EL47" s="235"/>
      <c r="EM47" s="235">
        <f>SUM(BK47:BN47)</f>
        <v>239</v>
      </c>
      <c r="EN47" s="235">
        <f>SUM(BO47:BR47)</f>
        <v>864</v>
      </c>
      <c r="EO47" s="235">
        <f>SUM(BS47:BV47)</f>
        <v>1522</v>
      </c>
      <c r="EP47" s="235">
        <f>EO47*1.1</f>
        <v>1674.2</v>
      </c>
      <c r="EQ47" s="235">
        <f>EP47*1.05</f>
        <v>1757.91</v>
      </c>
      <c r="ER47" s="235">
        <f t="shared" si="23"/>
        <v>2500</v>
      </c>
      <c r="ES47" s="235">
        <f t="shared" si="150"/>
        <v>2477</v>
      </c>
      <c r="ET47" s="235">
        <f t="shared" si="151"/>
        <v>2313</v>
      </c>
      <c r="EU47" s="235">
        <f t="shared" si="152"/>
        <v>2345</v>
      </c>
      <c r="EV47" s="235">
        <f t="shared" si="153"/>
        <v>2438</v>
      </c>
      <c r="EW47" s="235">
        <f t="shared" si="154"/>
        <v>2473</v>
      </c>
      <c r="EX47" s="235">
        <f>SUM(DC47:DF47)</f>
        <v>2365</v>
      </c>
      <c r="EY47" s="235">
        <f t="shared" si="25"/>
        <v>2373</v>
      </c>
      <c r="EZ47" s="235">
        <f>SUM(DK47:DN47)</f>
        <v>2121</v>
      </c>
      <c r="FA47" s="235">
        <f t="shared" ref="FA47:FC47" si="188">+EZ47*1.05</f>
        <v>2227.0500000000002</v>
      </c>
      <c r="FB47" s="235">
        <f t="shared" si="188"/>
        <v>2338.4025000000001</v>
      </c>
      <c r="FC47" s="235">
        <f t="shared" si="188"/>
        <v>2455.3226250000002</v>
      </c>
      <c r="FD47" s="235">
        <f>+FC47*0.5</f>
        <v>1227.6613125000001</v>
      </c>
      <c r="FE47" s="235">
        <f t="shared" ref="FE47" si="189">+FD47*0.5</f>
        <v>613.83065625000006</v>
      </c>
      <c r="FF47" s="235">
        <f t="shared" ref="FF47" si="190">+FE47*0.5</f>
        <v>306.91532812500003</v>
      </c>
      <c r="FG47" s="235">
        <f t="shared" ref="FG47" si="191">+FF47*0.5</f>
        <v>153.45766406250002</v>
      </c>
      <c r="FH47" s="235">
        <f t="shared" ref="FH47" si="192">+FG47*0.5</f>
        <v>76.728832031250008</v>
      </c>
      <c r="FI47" s="235">
        <f t="shared" ref="FI47" si="193">+FH47*0.5</f>
        <v>38.364416015625004</v>
      </c>
      <c r="FJ47" s="235">
        <f t="shared" ref="FJ47" si="194">+FI47*0.5</f>
        <v>19.182208007812502</v>
      </c>
      <c r="FM47"/>
    </row>
    <row r="48" spans="2:169" s="254" customFormat="1" ht="12.75" customHeight="1" x14ac:dyDescent="0.2">
      <c r="B48" t="s">
        <v>1550</v>
      </c>
      <c r="C48" s="76"/>
      <c r="D48" s="76"/>
      <c r="E48" s="76"/>
      <c r="F48" s="76"/>
      <c r="G48" s="76"/>
      <c r="H48" s="76"/>
      <c r="I48" s="76"/>
      <c r="J48" s="76"/>
      <c r="K48" s="76"/>
      <c r="L48" s="76"/>
      <c r="M48" s="76"/>
      <c r="N48" s="76"/>
      <c r="O48" s="76"/>
      <c r="P48" s="76"/>
      <c r="Q48" s="76"/>
      <c r="R48" s="76"/>
      <c r="S48" s="76"/>
      <c r="T48" s="76"/>
      <c r="U48" s="76"/>
      <c r="V48" s="76"/>
      <c r="W48" s="268"/>
      <c r="X48" s="268"/>
      <c r="Y48" s="268"/>
      <c r="Z48" s="268"/>
      <c r="AA48" s="268"/>
      <c r="AB48" s="268"/>
      <c r="AC48" s="268"/>
      <c r="AD48" s="268"/>
      <c r="AE48" s="269"/>
      <c r="AF48" s="243"/>
      <c r="AG48" s="243"/>
      <c r="AH48" s="243"/>
      <c r="AI48" s="243"/>
      <c r="AJ48" s="243"/>
      <c r="AK48" s="243"/>
      <c r="AL48" s="243"/>
      <c r="AM48" s="243"/>
      <c r="AN48" s="243"/>
      <c r="AO48" s="243"/>
      <c r="AP48" s="243"/>
      <c r="AQ48" s="243"/>
      <c r="AR48" s="243"/>
      <c r="AS48" s="243"/>
      <c r="AT48" s="243"/>
      <c r="AU48" s="243"/>
      <c r="AV48" s="243"/>
      <c r="AW48" s="243"/>
      <c r="AX48" s="243"/>
      <c r="AY48" s="76"/>
      <c r="AZ48" s="76"/>
      <c r="BA48" s="76"/>
      <c r="BB48" s="76"/>
      <c r="BC48" s="76"/>
      <c r="BD48" s="76"/>
      <c r="BE48" s="76"/>
      <c r="BF48" s="76"/>
      <c r="BG48" s="76"/>
      <c r="BH48" s="76"/>
      <c r="BI48" s="76"/>
      <c r="BJ48" s="76"/>
      <c r="BK48" s="243"/>
      <c r="BL48" s="243"/>
      <c r="BM48" s="243"/>
      <c r="BN48" s="243"/>
      <c r="BO48" s="243"/>
      <c r="BP48" s="243"/>
      <c r="BQ48" s="243"/>
      <c r="BR48" s="243"/>
      <c r="BS48" s="243">
        <v>94</v>
      </c>
      <c r="BT48" s="243">
        <v>117</v>
      </c>
      <c r="BU48" s="243">
        <v>174</v>
      </c>
      <c r="BV48" s="243">
        <v>201</v>
      </c>
      <c r="BW48" s="243">
        <v>278</v>
      </c>
      <c r="BX48" s="243">
        <v>318</v>
      </c>
      <c r="BY48" s="243">
        <v>340</v>
      </c>
      <c r="BZ48" s="243">
        <v>372</v>
      </c>
      <c r="CA48" s="243">
        <v>325</v>
      </c>
      <c r="CB48" s="243">
        <v>383</v>
      </c>
      <c r="CC48" s="243">
        <v>328</v>
      </c>
      <c r="CD48" s="243">
        <v>371</v>
      </c>
      <c r="CE48" s="243">
        <v>284</v>
      </c>
      <c r="CF48" s="243">
        <v>295</v>
      </c>
      <c r="CG48" s="243">
        <v>265</v>
      </c>
      <c r="CH48" s="243">
        <v>267</v>
      </c>
      <c r="CI48" s="243">
        <v>248</v>
      </c>
      <c r="CJ48" s="243">
        <v>215</v>
      </c>
      <c r="CK48" s="243">
        <v>190</v>
      </c>
      <c r="CL48" s="243">
        <v>228</v>
      </c>
      <c r="CM48" s="243">
        <v>202</v>
      </c>
      <c r="CN48" s="243">
        <v>177</v>
      </c>
      <c r="CO48" s="243">
        <v>179</v>
      </c>
      <c r="CP48" s="243">
        <v>177</v>
      </c>
      <c r="CQ48" s="243">
        <v>175</v>
      </c>
      <c r="CR48" s="243">
        <v>179</v>
      </c>
      <c r="CS48" s="243">
        <v>224</v>
      </c>
      <c r="CT48" s="243">
        <v>217</v>
      </c>
      <c r="CU48" s="243">
        <v>150</v>
      </c>
      <c r="CV48" s="243">
        <v>160</v>
      </c>
      <c r="CW48" s="243">
        <v>133</v>
      </c>
      <c r="CX48" s="243">
        <v>120</v>
      </c>
      <c r="CY48" s="243">
        <v>128</v>
      </c>
      <c r="CZ48" s="243">
        <v>120</v>
      </c>
      <c r="DA48" s="243">
        <v>109</v>
      </c>
      <c r="DB48" s="243">
        <v>91</v>
      </c>
      <c r="DC48" s="243"/>
      <c r="DD48" s="243"/>
      <c r="DE48" s="243"/>
      <c r="DF48" s="243"/>
      <c r="DG48" s="243"/>
      <c r="DH48" s="243"/>
      <c r="DI48" s="243"/>
      <c r="DJ48" s="243"/>
      <c r="DK48" s="243"/>
      <c r="DL48" s="243"/>
      <c r="DM48" s="243"/>
      <c r="DN48" s="243"/>
      <c r="DP48" s="76"/>
      <c r="DQ48" s="76"/>
      <c r="DR48" s="76"/>
      <c r="DS48" s="76"/>
      <c r="DT48" s="76"/>
      <c r="DU48" s="76"/>
      <c r="DV48" s="76"/>
      <c r="DW48" s="76"/>
      <c r="DX48" s="76"/>
      <c r="DY48" s="76"/>
      <c r="DZ48" s="76"/>
      <c r="EA48" s="76"/>
      <c r="EB48" s="76"/>
      <c r="EC48" s="76"/>
      <c r="ED48" s="76"/>
      <c r="EE48" s="76"/>
      <c r="EF48" s="76"/>
      <c r="EG48" s="76"/>
      <c r="EH48" s="235"/>
      <c r="EI48" s="235"/>
      <c r="EJ48" s="235"/>
      <c r="EK48" s="235"/>
      <c r="EL48" s="235"/>
      <c r="EM48" s="235"/>
      <c r="EN48" s="235"/>
      <c r="EO48" s="235"/>
      <c r="EP48" s="235"/>
      <c r="EQ48" s="235"/>
      <c r="ER48" s="235">
        <f t="shared" si="23"/>
        <v>1111</v>
      </c>
      <c r="ES48" s="235">
        <f t="shared" si="150"/>
        <v>881</v>
      </c>
      <c r="ET48" s="235">
        <f t="shared" si="151"/>
        <v>735</v>
      </c>
      <c r="EU48" s="235">
        <f t="shared" si="152"/>
        <v>795</v>
      </c>
      <c r="EV48" s="235">
        <f t="shared" si="153"/>
        <v>563</v>
      </c>
      <c r="EW48" s="235">
        <f t="shared" si="154"/>
        <v>448</v>
      </c>
      <c r="EX48" s="235"/>
      <c r="EY48" s="235"/>
      <c r="EZ48" s="344"/>
      <c r="FA48" s="344"/>
      <c r="FB48" s="344"/>
      <c r="FC48" s="344"/>
      <c r="FD48" s="344"/>
      <c r="FE48" s="344"/>
      <c r="FF48" s="344"/>
      <c r="FG48" s="344"/>
      <c r="FH48" s="344"/>
      <c r="FI48" s="344"/>
      <c r="FJ48" s="344"/>
      <c r="FM48"/>
    </row>
    <row r="49" spans="1:172" s="254" customFormat="1" ht="12.75" customHeight="1" x14ac:dyDescent="0.2">
      <c r="B49" t="s">
        <v>1223</v>
      </c>
      <c r="C49" s="76"/>
      <c r="D49" s="76"/>
      <c r="E49" s="76"/>
      <c r="F49" s="76"/>
      <c r="G49" s="76"/>
      <c r="H49" s="76"/>
      <c r="I49" s="76"/>
      <c r="J49" s="76"/>
      <c r="K49" s="243">
        <v>700</v>
      </c>
      <c r="L49" s="243">
        <v>748</v>
      </c>
      <c r="M49" s="243">
        <v>723</v>
      </c>
      <c r="N49" s="243">
        <v>633</v>
      </c>
      <c r="O49" s="243">
        <v>742</v>
      </c>
      <c r="P49" s="243">
        <v>749</v>
      </c>
      <c r="Q49" s="243">
        <v>698</v>
      </c>
      <c r="R49" s="243">
        <v>651</v>
      </c>
      <c r="S49" s="243">
        <v>781</v>
      </c>
      <c r="T49" s="243">
        <v>847</v>
      </c>
      <c r="U49" s="243">
        <v>769</v>
      </c>
      <c r="V49" s="76">
        <v>651</v>
      </c>
      <c r="W49" s="76">
        <v>669</v>
      </c>
      <c r="X49" s="76">
        <v>632</v>
      </c>
      <c r="Y49" s="76">
        <v>615</v>
      </c>
      <c r="Z49" s="76">
        <v>699</v>
      </c>
      <c r="AA49" s="76">
        <v>731</v>
      </c>
      <c r="AB49" s="76">
        <v>789</v>
      </c>
      <c r="AC49" s="76">
        <v>745</v>
      </c>
      <c r="AD49" s="76">
        <v>836</v>
      </c>
      <c r="AE49" s="243">
        <f>5376-SUM(AE3:AE42)</f>
        <v>1116</v>
      </c>
      <c r="AF49" s="243">
        <f>5427-SUM(AF3:AF42)</f>
        <v>1072</v>
      </c>
      <c r="AG49" s="243">
        <f>5485-SUM(AG3:AG44)</f>
        <v>660</v>
      </c>
      <c r="AH49" s="243">
        <f>5840-SUM(AH3:AH44)</f>
        <v>759</v>
      </c>
      <c r="AI49" s="243">
        <f>5755-SUM(AI3:AI44)</f>
        <v>1286</v>
      </c>
      <c r="AJ49" s="243">
        <f>5628-SUM(AJ3:AJ42)</f>
        <v>1165</v>
      </c>
      <c r="AK49" s="243">
        <f>5457-SUM(AK3:AK44)</f>
        <v>1064</v>
      </c>
      <c r="AL49" s="243">
        <f>5482-SUM(AL3:AL44)</f>
        <v>1050</v>
      </c>
      <c r="AM49" s="243">
        <f>5626-SUM(AM3:AM44)</f>
        <v>1149</v>
      </c>
      <c r="AN49" s="243">
        <f>5810-SUM(AN3:AN47)</f>
        <v>1243</v>
      </c>
      <c r="AO49" s="243">
        <f>5881-SUM(AO3:AO47)</f>
        <v>1220</v>
      </c>
      <c r="AP49" s="243">
        <f>5950-SUM(AP3:AP47)</f>
        <v>1242</v>
      </c>
      <c r="AQ49" s="243">
        <f>6221-SUM(AQ3:AQ44)+AQ11</f>
        <v>1086</v>
      </c>
      <c r="AR49" s="243">
        <f>6149-SUM(AR3:AR47)+AR11</f>
        <v>1077</v>
      </c>
      <c r="AS49" s="243">
        <f>6099-SUM(AS3:AS47)+AS11</f>
        <v>1118</v>
      </c>
      <c r="AT49" s="243">
        <f>1402-AT42</f>
        <v>1187</v>
      </c>
      <c r="AU49" s="243">
        <f>6429-SUM(AU3:AU47)</f>
        <v>1067.5500000000002</v>
      </c>
      <c r="AV49" s="243">
        <f>1486-AV11-AV18</f>
        <v>1322</v>
      </c>
      <c r="AW49" s="243">
        <f>1530-AW11-AW18</f>
        <v>1362</v>
      </c>
      <c r="AX49" s="243">
        <f>1408-AX18-AX11</f>
        <v>1220</v>
      </c>
      <c r="AY49" s="243">
        <f>1444-AY18-AY11</f>
        <v>1231</v>
      </c>
      <c r="AZ49" s="243">
        <f>1557-AZ18-AZ11</f>
        <v>1318</v>
      </c>
      <c r="BA49" s="243">
        <f>1561-BA18-BA11</f>
        <v>1313</v>
      </c>
      <c r="BB49" s="243">
        <f>1726-BB11-BB18</f>
        <v>1441</v>
      </c>
      <c r="BC49" s="243">
        <f>1672-BC11</f>
        <v>1564</v>
      </c>
      <c r="BD49" s="243">
        <f>1732-BD11</f>
        <v>1630</v>
      </c>
      <c r="BE49" s="243">
        <f>1749-BE11</f>
        <v>1651</v>
      </c>
      <c r="BF49" s="243">
        <f>1767-BF11-65-67</f>
        <v>1519</v>
      </c>
      <c r="BG49" s="243">
        <f>1870-BG23-BG6-BG4-BG11-BG30</f>
        <v>1415</v>
      </c>
      <c r="BH49" s="243">
        <f>2003-BH23-BH6-BH11-BH4</f>
        <v>1553</v>
      </c>
      <c r="BI49" s="243">
        <f>5982-SUM(BI3:BI47)</f>
        <v>1438</v>
      </c>
      <c r="BJ49" s="243">
        <f>2264-BJ23-BJ6-BJ11-BJ4</f>
        <v>1730</v>
      </c>
      <c r="BK49" s="243">
        <f>6133-SUM(BK3:BK47)</f>
        <v>1557</v>
      </c>
      <c r="BL49" s="243">
        <f>1284+23+308+754-BL16-BL35+23</f>
        <v>1759</v>
      </c>
      <c r="BM49" s="243">
        <f>21+317+711+20+673</f>
        <v>1742</v>
      </c>
      <c r="BN49" s="243">
        <f>22+409+713+23+673</f>
        <v>1840</v>
      </c>
      <c r="BO49" s="243">
        <f>523+97+737+197+21</f>
        <v>1575</v>
      </c>
      <c r="BP49" s="243">
        <f>23+260+689+111+569</f>
        <v>1652</v>
      </c>
      <c r="BQ49" s="243">
        <f>18+243+653+113+576</f>
        <v>1603</v>
      </c>
      <c r="BR49" s="243">
        <f>19+281+657+94+579</f>
        <v>1630</v>
      </c>
      <c r="BS49" s="243">
        <f>234+640+102+666</f>
        <v>1642</v>
      </c>
      <c r="BT49" s="243">
        <v>581</v>
      </c>
      <c r="BU49" s="243">
        <v>527</v>
      </c>
      <c r="BV49" s="243">
        <v>551</v>
      </c>
      <c r="BW49" s="243">
        <v>574</v>
      </c>
      <c r="BX49" s="243">
        <v>586</v>
      </c>
      <c r="BY49" s="243">
        <v>522</v>
      </c>
      <c r="BZ49" s="243">
        <v>492</v>
      </c>
      <c r="CA49" s="243">
        <v>423</v>
      </c>
      <c r="CB49" s="243">
        <v>412</v>
      </c>
      <c r="CC49" s="243">
        <v>386</v>
      </c>
      <c r="CD49" s="243">
        <v>375</v>
      </c>
      <c r="CE49" s="243">
        <v>431</v>
      </c>
      <c r="CF49" s="243">
        <v>407</v>
      </c>
      <c r="CG49" s="243">
        <v>447</v>
      </c>
      <c r="CH49" s="243">
        <v>413</v>
      </c>
      <c r="CI49" s="243">
        <v>415</v>
      </c>
      <c r="CJ49" s="243">
        <v>388</v>
      </c>
      <c r="CK49" s="243">
        <v>334</v>
      </c>
      <c r="CL49" s="243">
        <v>333</v>
      </c>
      <c r="CM49" s="243">
        <v>374</v>
      </c>
      <c r="CN49" s="243">
        <v>368</v>
      </c>
      <c r="CO49" s="243">
        <v>325</v>
      </c>
      <c r="CP49" s="243">
        <v>286</v>
      </c>
      <c r="CQ49" s="243">
        <v>302</v>
      </c>
      <c r="CR49" s="243">
        <v>312</v>
      </c>
      <c r="CS49" s="243">
        <v>294</v>
      </c>
      <c r="CT49" s="243">
        <v>278</v>
      </c>
      <c r="CU49" s="243">
        <f>305-CU35</f>
        <v>178</v>
      </c>
      <c r="CV49" s="243">
        <v>293</v>
      </c>
      <c r="CW49" s="243">
        <v>251</v>
      </c>
      <c r="CX49" s="243">
        <v>198</v>
      </c>
      <c r="CY49" s="243">
        <v>274</v>
      </c>
      <c r="CZ49" s="243">
        <v>243</v>
      </c>
      <c r="DA49" s="243">
        <v>236</v>
      </c>
      <c r="DB49" s="243">
        <v>213</v>
      </c>
      <c r="DC49" s="243">
        <v>349</v>
      </c>
      <c r="DD49" s="243">
        <v>313</v>
      </c>
      <c r="DE49" s="243">
        <v>332</v>
      </c>
      <c r="DF49" s="243">
        <v>312</v>
      </c>
      <c r="DG49" s="243">
        <v>311</v>
      </c>
      <c r="DH49" s="243">
        <v>305</v>
      </c>
      <c r="DI49" s="243">
        <v>292</v>
      </c>
      <c r="DJ49" s="243">
        <v>281</v>
      </c>
      <c r="DK49" s="243">
        <f t="shared" ref="DK49" si="195">+DG49</f>
        <v>311</v>
      </c>
      <c r="DL49" s="243">
        <f t="shared" ref="DL49" si="196">+DH49</f>
        <v>305</v>
      </c>
      <c r="DM49" s="243">
        <f t="shared" ref="DM49" si="197">+DI49</f>
        <v>292</v>
      </c>
      <c r="DN49" s="243">
        <f t="shared" ref="DN49" si="198">+DJ49</f>
        <v>281</v>
      </c>
      <c r="DP49" s="274" t="s">
        <v>120</v>
      </c>
      <c r="DQ49" s="271"/>
      <c r="DR49" s="271"/>
      <c r="DS49" s="271"/>
      <c r="DT49" s="271"/>
      <c r="DU49" s="271"/>
      <c r="DV49" s="235">
        <v>1857</v>
      </c>
      <c r="DW49" s="235">
        <v>2307</v>
      </c>
      <c r="DX49" s="235">
        <v>2025</v>
      </c>
      <c r="DY49" s="235">
        <v>1976</v>
      </c>
      <c r="DZ49" s="235">
        <v>1656</v>
      </c>
      <c r="EA49" s="235">
        <f>SUM(X49:AA49)</f>
        <v>2677</v>
      </c>
      <c r="EB49" s="235">
        <f>SUM(Y49:AB49)</f>
        <v>2834</v>
      </c>
      <c r="EC49" s="235">
        <f>SUM(Z49:AC49)</f>
        <v>2964</v>
      </c>
      <c r="ED49" s="235">
        <f>SUM(AA49:AD49)</f>
        <v>3101</v>
      </c>
      <c r="EE49" s="235">
        <f>22128-SUM(EE8:EE42)</f>
        <v>6625</v>
      </c>
      <c r="EF49" s="235">
        <f>22322-SUM(EF8:EF42)</f>
        <v>6921.6</v>
      </c>
      <c r="EG49" s="235">
        <f t="shared" ref="EG49:EG63" si="199">SUM(AM49:AP49)</f>
        <v>4854</v>
      </c>
      <c r="EH49" s="235">
        <f t="shared" ref="EH49:EH63" si="200">SUM(AQ49:AT49)</f>
        <v>4468</v>
      </c>
      <c r="EI49" s="235">
        <f t="shared" ref="EI49:EI61" si="201">SUM(AU49:AX49)</f>
        <v>4971.55</v>
      </c>
      <c r="EJ49" s="235">
        <f t="shared" ref="EJ49:EJ61" si="202">SUM(AY49:BB49)</f>
        <v>5303</v>
      </c>
      <c r="EK49" s="235">
        <f t="shared" ref="EK49:EK61" si="203">SUM(BC49:BF49)</f>
        <v>6364</v>
      </c>
      <c r="EL49" s="235">
        <f>SUM(BG49:BJ49)</f>
        <v>6136</v>
      </c>
      <c r="EM49" s="235">
        <f t="shared" ref="EM49:EM63" si="204">SUM(BK49:BN49)</f>
        <v>6898</v>
      </c>
      <c r="EN49" s="235">
        <f>SUM(BO49:BR49)</f>
        <v>6460</v>
      </c>
      <c r="EO49" s="235">
        <f>EN49*0.95</f>
        <v>6137</v>
      </c>
      <c r="EP49" s="235">
        <f>EO49</f>
        <v>6137</v>
      </c>
      <c r="EQ49" s="235">
        <f>EP49</f>
        <v>6137</v>
      </c>
      <c r="ER49" s="235">
        <f t="shared" si="23"/>
        <v>1698</v>
      </c>
      <c r="ES49" s="235">
        <f t="shared" si="150"/>
        <v>1470</v>
      </c>
      <c r="ET49" s="235">
        <f t="shared" si="151"/>
        <v>1353</v>
      </c>
      <c r="EU49" s="235">
        <f t="shared" si="152"/>
        <v>1186</v>
      </c>
      <c r="EV49" s="235">
        <f t="shared" si="153"/>
        <v>920</v>
      </c>
      <c r="EW49" s="235">
        <f t="shared" si="154"/>
        <v>966</v>
      </c>
      <c r="EX49" s="235">
        <f>SUM(DC49:DF49)</f>
        <v>1306</v>
      </c>
      <c r="EY49" s="235">
        <f t="shared" si="25"/>
        <v>1189</v>
      </c>
      <c r="EZ49" s="235">
        <f>SUM(DK49:DN49)</f>
        <v>1189</v>
      </c>
      <c r="FA49" s="235">
        <f t="shared" ref="FA49" si="205">EZ49</f>
        <v>1189</v>
      </c>
      <c r="FB49" s="235">
        <f t="shared" ref="FB49" si="206">FA49</f>
        <v>1189</v>
      </c>
      <c r="FC49" s="235">
        <f t="shared" ref="FC49" si="207">FB49</f>
        <v>1189</v>
      </c>
      <c r="FD49" s="235">
        <f t="shared" ref="FD49" si="208">FC49</f>
        <v>1189</v>
      </c>
      <c r="FE49" s="235">
        <f t="shared" ref="FE49" si="209">FD49</f>
        <v>1189</v>
      </c>
      <c r="FF49" s="235">
        <f t="shared" ref="FF49" si="210">FE49</f>
        <v>1189</v>
      </c>
      <c r="FG49" s="235">
        <f t="shared" ref="FG49" si="211">FF49</f>
        <v>1189</v>
      </c>
      <c r="FH49" s="235">
        <f t="shared" ref="FH49" si="212">FG49</f>
        <v>1189</v>
      </c>
      <c r="FI49" s="235">
        <f t="shared" ref="FI49" si="213">FH49</f>
        <v>1189</v>
      </c>
      <c r="FJ49" s="235">
        <f t="shared" ref="FJ49" si="214">FI49</f>
        <v>1189</v>
      </c>
    </row>
    <row r="50" spans="1:172" s="254" customFormat="1" ht="12.75" customHeight="1" x14ac:dyDescent="0.2">
      <c r="B50" t="s">
        <v>1944</v>
      </c>
      <c r="C50" s="243">
        <f>G50/0.67</f>
        <v>362.68656716417911</v>
      </c>
      <c r="D50" s="243">
        <f>H50/0.61</f>
        <v>380.32786885245901</v>
      </c>
      <c r="E50" s="243">
        <f>I50/0.65</f>
        <v>316.92307692307691</v>
      </c>
      <c r="F50" s="243">
        <f>143+125</f>
        <v>268</v>
      </c>
      <c r="G50" s="76">
        <f>124+119</f>
        <v>243</v>
      </c>
      <c r="H50" s="76">
        <f>119+113</f>
        <v>232</v>
      </c>
      <c r="I50" s="76">
        <f>102+104</f>
        <v>206</v>
      </c>
      <c r="J50" s="76">
        <f>104+122</f>
        <v>226</v>
      </c>
      <c r="K50" s="243">
        <v>223</v>
      </c>
      <c r="L50" s="243">
        <v>242</v>
      </c>
      <c r="M50" s="243">
        <v>229</v>
      </c>
      <c r="N50" s="243">
        <v>241</v>
      </c>
      <c r="O50" s="243">
        <f>111+137</f>
        <v>248</v>
      </c>
      <c r="P50" s="243">
        <f>117+131</f>
        <v>248</v>
      </c>
      <c r="Q50" s="243">
        <f>149.4+121.4</f>
        <v>270.8</v>
      </c>
      <c r="R50" s="243">
        <f>165+124</f>
        <v>289</v>
      </c>
      <c r="S50" s="243">
        <f>167+143</f>
        <v>310</v>
      </c>
      <c r="T50" s="243">
        <v>341</v>
      </c>
      <c r="U50" s="243">
        <v>326</v>
      </c>
      <c r="V50" s="76">
        <v>366</v>
      </c>
      <c r="W50" s="76">
        <v>369</v>
      </c>
      <c r="X50" s="76">
        <v>409</v>
      </c>
      <c r="Y50" s="76">
        <v>415</v>
      </c>
      <c r="Z50" s="76">
        <v>449</v>
      </c>
      <c r="AA50" s="76">
        <v>420</v>
      </c>
      <c r="AB50" s="76">
        <v>599</v>
      </c>
      <c r="AC50" s="76">
        <v>791</v>
      </c>
      <c r="AD50" s="76">
        <v>896</v>
      </c>
      <c r="AE50" s="243">
        <v>877</v>
      </c>
      <c r="AF50" s="243">
        <v>664</v>
      </c>
      <c r="AG50" s="243">
        <v>756</v>
      </c>
      <c r="AH50" s="243">
        <v>915</v>
      </c>
      <c r="AI50" s="243">
        <v>969</v>
      </c>
      <c r="AJ50" s="243">
        <v>1014</v>
      </c>
      <c r="AK50" s="243">
        <v>994</v>
      </c>
      <c r="AL50" s="243">
        <v>1005</v>
      </c>
      <c r="AM50" s="243">
        <v>1075</v>
      </c>
      <c r="AN50" s="243">
        <v>1068</v>
      </c>
      <c r="AO50" s="243">
        <v>983</v>
      </c>
      <c r="AP50" s="243">
        <v>961</v>
      </c>
      <c r="AQ50" s="243">
        <v>928</v>
      </c>
      <c r="AR50" s="243">
        <v>852</v>
      </c>
      <c r="AS50" s="243">
        <v>777</v>
      </c>
      <c r="AT50" s="243">
        <v>868</v>
      </c>
      <c r="AU50" s="243">
        <v>835</v>
      </c>
      <c r="AV50" s="243">
        <v>852</v>
      </c>
      <c r="AW50" s="243">
        <v>726</v>
      </c>
      <c r="AX50" s="243">
        <v>722</v>
      </c>
      <c r="AY50" s="243">
        <v>668</v>
      </c>
      <c r="AZ50" s="243">
        <v>674</v>
      </c>
      <c r="BA50" s="243">
        <v>640</v>
      </c>
      <c r="BB50" s="243">
        <v>697</v>
      </c>
      <c r="BC50" s="243">
        <v>672</v>
      </c>
      <c r="BD50" s="243">
        <v>655</v>
      </c>
      <c r="BE50" s="243">
        <v>596</v>
      </c>
      <c r="BF50" s="243">
        <v>629</v>
      </c>
      <c r="BG50" s="243">
        <v>635</v>
      </c>
      <c r="BH50" s="243">
        <v>587</v>
      </c>
      <c r="BI50" s="243">
        <v>526</v>
      </c>
      <c r="BJ50" s="243">
        <v>540</v>
      </c>
      <c r="BK50" s="243">
        <v>482</v>
      </c>
      <c r="BL50" s="243">
        <v>504</v>
      </c>
      <c r="BM50" s="243">
        <v>493</v>
      </c>
      <c r="BN50" s="243">
        <v>506</v>
      </c>
      <c r="BO50" s="243">
        <v>513</v>
      </c>
      <c r="BP50" s="243">
        <v>529</v>
      </c>
      <c r="BQ50" s="243">
        <v>501</v>
      </c>
      <c r="BR50" s="243">
        <v>534</v>
      </c>
      <c r="BS50" s="243">
        <v>541</v>
      </c>
      <c r="BT50" s="243">
        <v>567</v>
      </c>
      <c r="BU50" s="243">
        <v>542</v>
      </c>
      <c r="BV50" s="243">
        <v>558</v>
      </c>
      <c r="BW50" s="243">
        <v>529</v>
      </c>
      <c r="BX50" s="243">
        <v>544</v>
      </c>
      <c r="BY50" s="243">
        <v>524</v>
      </c>
      <c r="BZ50" s="243">
        <v>439</v>
      </c>
      <c r="CA50" s="243">
        <v>443</v>
      </c>
      <c r="CB50" s="243">
        <v>470</v>
      </c>
      <c r="CC50" s="243">
        <v>451</v>
      </c>
      <c r="CD50" s="243">
        <v>485</v>
      </c>
      <c r="CE50" s="243">
        <v>499</v>
      </c>
      <c r="CF50" s="243">
        <v>523</v>
      </c>
      <c r="CG50" s="243">
        <v>553</v>
      </c>
      <c r="CH50" s="243">
        <v>568</v>
      </c>
      <c r="CI50" s="243">
        <v>640</v>
      </c>
      <c r="CJ50" s="243">
        <v>667</v>
      </c>
      <c r="CK50" s="243">
        <v>653</v>
      </c>
      <c r="CL50" s="243">
        <v>686</v>
      </c>
      <c r="CM50" s="243">
        <v>732</v>
      </c>
      <c r="CN50" s="243">
        <v>750</v>
      </c>
      <c r="CO50" s="243">
        <v>741</v>
      </c>
      <c r="CP50" s="243">
        <v>774</v>
      </c>
      <c r="CQ50" s="243">
        <v>727</v>
      </c>
      <c r="CR50" s="243">
        <v>590</v>
      </c>
      <c r="CS50" s="243">
        <v>836</v>
      </c>
      <c r="CT50" s="243">
        <v>893</v>
      </c>
      <c r="CU50" s="243">
        <v>949</v>
      </c>
      <c r="CV50" s="243">
        <v>1046</v>
      </c>
      <c r="CW50" s="243">
        <v>957</v>
      </c>
      <c r="CX50" s="243">
        <v>1019</v>
      </c>
      <c r="CY50" s="243">
        <v>1092</v>
      </c>
      <c r="CZ50" s="243">
        <v>1049</v>
      </c>
      <c r="DA50" s="243">
        <v>1060</v>
      </c>
      <c r="DB50" s="243">
        <v>994</v>
      </c>
      <c r="DC50" s="243">
        <v>1092</v>
      </c>
      <c r="DD50" s="243">
        <f>1196+331+93</f>
        <v>1620</v>
      </c>
      <c r="DE50" s="243">
        <v>1161</v>
      </c>
      <c r="DF50" s="243">
        <v>1239</v>
      </c>
      <c r="DG50" s="243">
        <v>1344</v>
      </c>
      <c r="DH50" s="243">
        <v>1323</v>
      </c>
      <c r="DI50" s="243">
        <v>1279</v>
      </c>
      <c r="DJ50" s="243">
        <v>1321</v>
      </c>
      <c r="DK50" s="243">
        <f t="shared" ref="DK50:DK53" si="215">+DG50*1.03</f>
        <v>1384.32</v>
      </c>
      <c r="DL50" s="243">
        <f t="shared" ref="DL50:DL53" si="216">+DH50*1.03</f>
        <v>1362.69</v>
      </c>
      <c r="DM50" s="243">
        <f t="shared" ref="DM50:DM53" si="217">+DI50*1.03</f>
        <v>1317.3700000000001</v>
      </c>
      <c r="DN50" s="243">
        <f t="shared" ref="DN50:DN53" si="218">+DJ50*1.03</f>
        <v>1360.63</v>
      </c>
      <c r="DP50" s="271"/>
      <c r="DQ50" s="271"/>
      <c r="DR50" s="271"/>
      <c r="DS50" s="271"/>
      <c r="DT50" s="271"/>
      <c r="DU50" s="271"/>
      <c r="DV50" s="271"/>
      <c r="DW50" s="235">
        <f>+DX50/0.98</f>
        <v>1362.2448979591836</v>
      </c>
      <c r="DX50" s="235">
        <v>1335</v>
      </c>
      <c r="DY50" s="235">
        <f>SUM(G50:J50)</f>
        <v>907</v>
      </c>
      <c r="DZ50" s="235">
        <v>942</v>
      </c>
      <c r="EA50" s="235">
        <f t="shared" ref="EA50:EA62" si="219">SUM(O50:R50)</f>
        <v>1055.8</v>
      </c>
      <c r="EB50" s="235">
        <f t="shared" ref="EB50:EB62" si="220">SUM(S50:V50)</f>
        <v>1343</v>
      </c>
      <c r="EC50" s="235">
        <f t="shared" ref="EC50:EC62" si="221">SUM(W50:Z50)</f>
        <v>1642</v>
      </c>
      <c r="ED50" s="235">
        <f t="shared" ref="ED50:ED63" si="222">SUM(AA50:AD50)</f>
        <v>2706</v>
      </c>
      <c r="EE50" s="235">
        <f t="shared" ref="EE50:EE63" si="223">SUM(AE50:AH50)</f>
        <v>3212</v>
      </c>
      <c r="EF50" s="235">
        <f t="shared" ref="EF50:EF63" si="224">SUM(AI50:AL50)</f>
        <v>3982</v>
      </c>
      <c r="EG50" s="235">
        <f t="shared" si="199"/>
        <v>4087</v>
      </c>
      <c r="EH50" s="235">
        <f t="shared" si="200"/>
        <v>3425</v>
      </c>
      <c r="EI50" s="235">
        <f t="shared" si="201"/>
        <v>3135</v>
      </c>
      <c r="EJ50" s="235">
        <f t="shared" si="202"/>
        <v>2679</v>
      </c>
      <c r="EK50" s="235">
        <f t="shared" si="203"/>
        <v>2552</v>
      </c>
      <c r="EL50" s="235">
        <f t="shared" ref="EL50:EL63" si="225">SUM(BG50:BJ50)</f>
        <v>2288</v>
      </c>
      <c r="EM50" s="235">
        <f t="shared" si="204"/>
        <v>1985</v>
      </c>
      <c r="EN50" s="235">
        <f t="shared" ref="EN50:EN61" si="226">SUM(BO50:BR50)</f>
        <v>2077</v>
      </c>
      <c r="EO50" s="235">
        <f>EN50*1.02</f>
        <v>2118.54</v>
      </c>
      <c r="EP50" s="235">
        <f t="shared" ref="EP50:EQ50" si="227">EO50*1.02</f>
        <v>2160.9108000000001</v>
      </c>
      <c r="EQ50" s="235">
        <f t="shared" si="227"/>
        <v>2204.1290160000003</v>
      </c>
      <c r="ER50" s="235">
        <f t="shared" si="23"/>
        <v>2143</v>
      </c>
      <c r="ES50" s="235">
        <f t="shared" ref="ES50:ES54" si="228">SUM(CI50:CL50)</f>
        <v>2646</v>
      </c>
      <c r="ET50" s="235">
        <f t="shared" ref="ET50:ET54" si="229">SUM(CM50:CP50)</f>
        <v>2997</v>
      </c>
      <c r="EU50" s="235">
        <f t="shared" ref="EU50:EU54" si="230">SUM(CQ50:CT50)</f>
        <v>3046</v>
      </c>
      <c r="EV50" s="235">
        <f t="shared" ref="EV50:EV54" si="231">SUM(CU50:CX50)</f>
        <v>3971</v>
      </c>
      <c r="EW50" s="235">
        <f t="shared" ref="EW50:EW54" si="232">SUM(CY50:DB50)</f>
        <v>4195</v>
      </c>
      <c r="EX50" s="235">
        <f t="shared" ref="EX50:EY50" si="233">EW50*1.02</f>
        <v>4278.8999999999996</v>
      </c>
      <c r="EY50" s="235">
        <f t="shared" si="233"/>
        <v>4364.4780000000001</v>
      </c>
      <c r="EZ50" s="235">
        <f>SUM(DK50:DN50)</f>
        <v>5425.01</v>
      </c>
      <c r="FA50" s="235">
        <f t="shared" ref="FA50" si="234">EZ50*1.02</f>
        <v>5533.5102000000006</v>
      </c>
      <c r="FB50" s="235">
        <f t="shared" ref="FB50" si="235">FA50*1.02</f>
        <v>5644.1804040000006</v>
      </c>
      <c r="FC50" s="235">
        <f t="shared" ref="FC50" si="236">FB50*1.02</f>
        <v>5757.0640120800008</v>
      </c>
      <c r="FD50" s="235">
        <f t="shared" ref="FD50" si="237">FC50*1.02</f>
        <v>5872.2052923216006</v>
      </c>
      <c r="FE50" s="235">
        <f t="shared" ref="FE50" si="238">FD50*1.02</f>
        <v>5989.6493981680323</v>
      </c>
      <c r="FF50" s="235">
        <f t="shared" ref="FF50" si="239">FE50*1.02</f>
        <v>6109.4423861313935</v>
      </c>
      <c r="FG50" s="235">
        <f t="shared" ref="FG50" si="240">FF50*1.02</f>
        <v>6231.631233854021</v>
      </c>
      <c r="FH50" s="235">
        <f t="shared" ref="FH50" si="241">FG50*1.02</f>
        <v>6356.2638585311015</v>
      </c>
      <c r="FI50" s="235">
        <f t="shared" ref="FI50" si="242">FH50*1.02</f>
        <v>6483.3891357017237</v>
      </c>
      <c r="FJ50" s="235">
        <f t="shared" ref="FJ50" si="243">FI50*1.02</f>
        <v>6613.0569184157584</v>
      </c>
      <c r="FM50"/>
    </row>
    <row r="51" spans="1:172" s="254" customFormat="1" ht="12.75" customHeight="1" x14ac:dyDescent="0.2">
      <c r="B51" t="s">
        <v>1945</v>
      </c>
      <c r="C51" s="243"/>
      <c r="D51" s="243"/>
      <c r="E51" s="243"/>
      <c r="F51" s="243"/>
      <c r="G51" s="76"/>
      <c r="H51" s="76"/>
      <c r="I51" s="76"/>
      <c r="J51" s="76"/>
      <c r="K51" s="243"/>
      <c r="L51" s="243"/>
      <c r="M51" s="243"/>
      <c r="N51" s="243"/>
      <c r="O51" s="243"/>
      <c r="P51" s="243"/>
      <c r="Q51" s="243"/>
      <c r="R51" s="243"/>
      <c r="S51" s="243"/>
      <c r="T51" s="243"/>
      <c r="U51" s="243"/>
      <c r="V51" s="76"/>
      <c r="W51" s="76"/>
      <c r="X51" s="76"/>
      <c r="Y51" s="76"/>
      <c r="Z51" s="76"/>
      <c r="AA51" s="76"/>
      <c r="AB51" s="76"/>
      <c r="AC51" s="76"/>
      <c r="AD51" s="76"/>
      <c r="AE51" s="243"/>
      <c r="AF51" s="243"/>
      <c r="AG51" s="243"/>
      <c r="AH51" s="243"/>
      <c r="AI51" s="243"/>
      <c r="AJ51" s="243"/>
      <c r="AK51" s="243"/>
      <c r="AL51" s="243"/>
      <c r="AM51" s="243"/>
      <c r="AN51" s="243"/>
      <c r="AO51" s="243"/>
      <c r="AP51" s="243"/>
      <c r="AQ51" s="243"/>
      <c r="AR51" s="243"/>
      <c r="AS51" s="243"/>
      <c r="AT51" s="243"/>
      <c r="AU51" s="243"/>
      <c r="AV51" s="243"/>
      <c r="AW51" s="243"/>
      <c r="AX51" s="243"/>
      <c r="AY51" s="243"/>
      <c r="AZ51" s="243"/>
      <c r="BA51" s="243"/>
      <c r="BB51" s="243"/>
      <c r="BC51" s="243"/>
      <c r="BD51" s="243"/>
      <c r="BE51" s="243"/>
      <c r="BF51" s="243"/>
      <c r="BG51" s="243"/>
      <c r="BH51" s="243"/>
      <c r="BI51" s="243"/>
      <c r="BJ51" s="243"/>
      <c r="BK51" s="243"/>
      <c r="BL51" s="243"/>
      <c r="BM51" s="243"/>
      <c r="BN51" s="243"/>
      <c r="BO51" s="243"/>
      <c r="BP51" s="243"/>
      <c r="BQ51" s="243"/>
      <c r="BR51" s="243"/>
      <c r="BS51" s="243"/>
      <c r="BT51" s="243"/>
      <c r="BU51" s="243"/>
      <c r="BV51" s="243"/>
      <c r="BW51" s="243"/>
      <c r="BX51" s="243"/>
      <c r="BY51" s="243"/>
      <c r="BZ51" s="243"/>
      <c r="CA51" s="243"/>
      <c r="CB51" s="243"/>
      <c r="CC51" s="243"/>
      <c r="CD51" s="243"/>
      <c r="CE51" s="243"/>
      <c r="CF51" s="243"/>
      <c r="CG51" s="243"/>
      <c r="CH51" s="243"/>
      <c r="CI51" s="243"/>
      <c r="CJ51" s="243"/>
      <c r="CK51" s="243"/>
      <c r="CL51" s="243"/>
      <c r="CM51" s="243"/>
      <c r="CN51" s="243"/>
      <c r="CO51" s="243"/>
      <c r="CP51" s="243"/>
      <c r="CQ51" s="243"/>
      <c r="CR51" s="243"/>
      <c r="CS51" s="243"/>
      <c r="CT51" s="243"/>
      <c r="CU51" s="243"/>
      <c r="CV51" s="243"/>
      <c r="CW51" s="243"/>
      <c r="CX51" s="243"/>
      <c r="CY51" s="243"/>
      <c r="CZ51" s="243"/>
      <c r="DA51" s="243"/>
      <c r="DB51" s="243">
        <v>31</v>
      </c>
      <c r="DC51" s="243">
        <v>324</v>
      </c>
      <c r="DD51" s="243"/>
      <c r="DE51" s="243">
        <v>311</v>
      </c>
      <c r="DF51" s="243">
        <v>340</v>
      </c>
      <c r="DG51" s="243">
        <v>371</v>
      </c>
      <c r="DH51" s="243">
        <v>379</v>
      </c>
      <c r="DI51" s="243">
        <v>362</v>
      </c>
      <c r="DJ51" s="243">
        <v>384</v>
      </c>
      <c r="DK51" s="243">
        <f t="shared" si="215"/>
        <v>382.13</v>
      </c>
      <c r="DL51" s="243">
        <f t="shared" si="216"/>
        <v>390.37</v>
      </c>
      <c r="DM51" s="243">
        <f t="shared" si="217"/>
        <v>372.86</v>
      </c>
      <c r="DN51" s="243">
        <f t="shared" si="218"/>
        <v>395.52</v>
      </c>
      <c r="DP51" s="271"/>
      <c r="DQ51" s="271"/>
      <c r="DR51" s="271"/>
      <c r="DS51" s="271"/>
      <c r="DT51" s="271"/>
      <c r="DU51" s="271"/>
      <c r="DV51" s="271"/>
      <c r="DW51" s="235"/>
      <c r="DX51" s="235"/>
      <c r="DY51" s="235"/>
      <c r="DZ51" s="235"/>
      <c r="EA51" s="235"/>
      <c r="EB51" s="235"/>
      <c r="EC51" s="235"/>
      <c r="ED51" s="235"/>
      <c r="EE51" s="235"/>
      <c r="EF51" s="235"/>
      <c r="EG51" s="235"/>
      <c r="EH51" s="235"/>
      <c r="EI51" s="235"/>
      <c r="EJ51" s="235"/>
      <c r="EK51" s="235"/>
      <c r="EL51" s="235"/>
      <c r="EM51" s="235"/>
      <c r="EN51" s="235"/>
      <c r="EO51" s="235"/>
      <c r="EP51" s="235"/>
      <c r="EQ51" s="235"/>
      <c r="ER51" s="235">
        <f t="shared" si="23"/>
        <v>0</v>
      </c>
      <c r="ES51" s="235"/>
      <c r="ET51" s="235"/>
      <c r="EU51" s="235"/>
      <c r="EV51" s="235"/>
      <c r="EW51" s="235"/>
      <c r="EX51" s="235"/>
      <c r="EY51" s="235"/>
      <c r="EZ51" s="344"/>
      <c r="FA51" s="344"/>
      <c r="FB51" s="344"/>
      <c r="FC51" s="344"/>
      <c r="FD51" s="344"/>
      <c r="FE51" s="344"/>
      <c r="FF51" s="344"/>
      <c r="FG51" s="344"/>
      <c r="FH51" s="344"/>
      <c r="FI51" s="344"/>
      <c r="FJ51" s="344"/>
      <c r="FM51"/>
    </row>
    <row r="52" spans="1:172" s="254" customFormat="1" ht="12.75" customHeight="1" x14ac:dyDescent="0.2">
      <c r="B52" t="s">
        <v>1959</v>
      </c>
      <c r="C52" s="243"/>
      <c r="D52" s="243"/>
      <c r="E52" s="243"/>
      <c r="F52" s="243"/>
      <c r="G52" s="76"/>
      <c r="H52" s="76"/>
      <c r="I52" s="76"/>
      <c r="J52" s="76"/>
      <c r="K52" s="243"/>
      <c r="L52" s="243"/>
      <c r="M52" s="243"/>
      <c r="N52" s="243"/>
      <c r="O52" s="243"/>
      <c r="P52" s="243"/>
      <c r="Q52" s="243"/>
      <c r="R52" s="243"/>
      <c r="S52" s="243"/>
      <c r="T52" s="243"/>
      <c r="U52" s="243"/>
      <c r="V52" s="76"/>
      <c r="W52" s="76"/>
      <c r="X52" s="76"/>
      <c r="Y52" s="76"/>
      <c r="Z52" s="76"/>
      <c r="AA52" s="76"/>
      <c r="AB52" s="76"/>
      <c r="AC52" s="76"/>
      <c r="AD52" s="76"/>
      <c r="AE52" s="243"/>
      <c r="AF52" s="243"/>
      <c r="AG52" s="243"/>
      <c r="AH52" s="243"/>
      <c r="AI52" s="243"/>
      <c r="AJ52" s="243"/>
      <c r="AK52" s="243"/>
      <c r="AL52" s="243"/>
      <c r="AM52" s="243"/>
      <c r="AN52" s="243"/>
      <c r="AO52" s="243"/>
      <c r="AP52" s="243"/>
      <c r="AQ52" s="243"/>
      <c r="AR52" s="243"/>
      <c r="AS52" s="243"/>
      <c r="AT52" s="243"/>
      <c r="AU52" s="243"/>
      <c r="AV52" s="243"/>
      <c r="AW52" s="243"/>
      <c r="AX52" s="243"/>
      <c r="AY52" s="243"/>
      <c r="AZ52" s="243"/>
      <c r="BA52" s="243"/>
      <c r="BB52" s="243"/>
      <c r="BC52" s="243"/>
      <c r="BD52" s="243"/>
      <c r="BE52" s="243"/>
      <c r="BF52" s="243"/>
      <c r="BG52" s="243"/>
      <c r="BH52" s="243"/>
      <c r="BI52" s="243"/>
      <c r="BJ52" s="243"/>
      <c r="BK52" s="243"/>
      <c r="BL52" s="243"/>
      <c r="BM52" s="243"/>
      <c r="BN52" s="243"/>
      <c r="BO52" s="243"/>
      <c r="BP52" s="243"/>
      <c r="BQ52" s="243"/>
      <c r="BR52" s="243"/>
      <c r="BS52" s="243"/>
      <c r="BT52" s="243"/>
      <c r="BU52" s="243"/>
      <c r="BV52" s="243"/>
      <c r="BW52" s="243"/>
      <c r="BX52" s="243"/>
      <c r="BY52" s="243"/>
      <c r="BZ52" s="243"/>
      <c r="CA52" s="243"/>
      <c r="CB52" s="243"/>
      <c r="CC52" s="243"/>
      <c r="CD52" s="243"/>
      <c r="CE52" s="243"/>
      <c r="CF52" s="243"/>
      <c r="CG52" s="243"/>
      <c r="CH52" s="243"/>
      <c r="CI52" s="243"/>
      <c r="CJ52" s="243"/>
      <c r="CK52" s="243"/>
      <c r="CL52" s="243"/>
      <c r="CM52" s="243"/>
      <c r="CN52" s="243"/>
      <c r="CO52" s="243"/>
      <c r="CP52" s="243"/>
      <c r="CQ52" s="243"/>
      <c r="CR52" s="243"/>
      <c r="CS52" s="243"/>
      <c r="CT52" s="243"/>
      <c r="CU52" s="243"/>
      <c r="CV52" s="243"/>
      <c r="CW52" s="243"/>
      <c r="CX52" s="243"/>
      <c r="CY52" s="243"/>
      <c r="CZ52" s="243"/>
      <c r="DA52" s="243"/>
      <c r="DB52" s="243"/>
      <c r="DC52" s="243"/>
      <c r="DD52" s="243"/>
      <c r="DE52" s="243"/>
      <c r="DF52" s="243"/>
      <c r="DG52" s="243"/>
      <c r="DH52" s="243"/>
      <c r="DI52" s="243">
        <v>229</v>
      </c>
      <c r="DJ52" s="243">
        <v>258</v>
      </c>
      <c r="DK52" s="243"/>
      <c r="DL52" s="243"/>
      <c r="DM52" s="243"/>
      <c r="DN52" s="243"/>
      <c r="DP52" s="271"/>
      <c r="DQ52" s="271"/>
      <c r="DR52" s="271"/>
      <c r="DS52" s="271"/>
      <c r="DT52" s="271"/>
      <c r="DU52" s="271"/>
      <c r="DV52" s="271"/>
      <c r="DW52" s="235"/>
      <c r="DX52" s="235"/>
      <c r="DY52" s="235"/>
      <c r="DZ52" s="235"/>
      <c r="EA52" s="235"/>
      <c r="EB52" s="235"/>
      <c r="EC52" s="235"/>
      <c r="ED52" s="235"/>
      <c r="EE52" s="235"/>
      <c r="EF52" s="235"/>
      <c r="EG52" s="235"/>
      <c r="EH52" s="235"/>
      <c r="EI52" s="235"/>
      <c r="EJ52" s="235"/>
      <c r="EK52" s="235"/>
      <c r="EL52" s="235"/>
      <c r="EM52" s="235"/>
      <c r="EN52" s="235"/>
      <c r="EO52" s="235"/>
      <c r="EP52" s="235"/>
      <c r="EQ52" s="235"/>
      <c r="ER52" s="235">
        <f t="shared" si="23"/>
        <v>0</v>
      </c>
      <c r="ES52" s="235"/>
      <c r="ET52" s="235"/>
      <c r="EU52" s="235"/>
      <c r="EV52" s="235"/>
      <c r="EW52" s="235"/>
      <c r="EX52" s="235"/>
      <c r="EY52" s="235"/>
      <c r="EZ52" s="344"/>
      <c r="FA52" s="344"/>
      <c r="FB52" s="344"/>
      <c r="FC52" s="344"/>
      <c r="FD52" s="344"/>
      <c r="FE52" s="344"/>
      <c r="FF52" s="344"/>
      <c r="FG52" s="344"/>
      <c r="FH52" s="344"/>
      <c r="FI52" s="344"/>
      <c r="FJ52" s="344"/>
      <c r="FM52"/>
    </row>
    <row r="53" spans="1:172" s="254" customFormat="1" ht="12.75" customHeight="1" x14ac:dyDescent="0.2">
      <c r="B53" t="s">
        <v>1946</v>
      </c>
      <c r="C53" s="243"/>
      <c r="D53" s="243"/>
      <c r="E53" s="243"/>
      <c r="F53" s="243"/>
      <c r="G53" s="76"/>
      <c r="H53" s="76"/>
      <c r="I53" s="76"/>
      <c r="J53" s="76"/>
      <c r="K53" s="243"/>
      <c r="L53" s="243"/>
      <c r="M53" s="243"/>
      <c r="N53" s="243"/>
      <c r="O53" s="243"/>
      <c r="P53" s="243"/>
      <c r="Q53" s="243"/>
      <c r="R53" s="243"/>
      <c r="S53" s="243"/>
      <c r="T53" s="243"/>
      <c r="U53" s="243"/>
      <c r="V53" s="76"/>
      <c r="W53" s="76"/>
      <c r="X53" s="76"/>
      <c r="Y53" s="76"/>
      <c r="Z53" s="76"/>
      <c r="AA53" s="76"/>
      <c r="AB53" s="76"/>
      <c r="AC53" s="76"/>
      <c r="AD53" s="76"/>
      <c r="AE53" s="243"/>
      <c r="AF53" s="243"/>
      <c r="AG53" s="243"/>
      <c r="AH53" s="243"/>
      <c r="AI53" s="243"/>
      <c r="AJ53" s="243"/>
      <c r="AK53" s="243"/>
      <c r="AL53" s="243"/>
      <c r="AM53" s="243"/>
      <c r="AN53" s="243"/>
      <c r="AO53" s="243"/>
      <c r="AP53" s="243"/>
      <c r="AQ53" s="243"/>
      <c r="AR53" s="243"/>
      <c r="AS53" s="243"/>
      <c r="AT53" s="243"/>
      <c r="AU53" s="243"/>
      <c r="AV53" s="243"/>
      <c r="AW53" s="243"/>
      <c r="AX53" s="243"/>
      <c r="AY53" s="243"/>
      <c r="AZ53" s="243"/>
      <c r="BA53" s="243"/>
      <c r="BB53" s="243"/>
      <c r="BC53" s="243"/>
      <c r="BD53" s="243"/>
      <c r="BE53" s="243"/>
      <c r="BF53" s="243"/>
      <c r="BG53" s="243"/>
      <c r="BH53" s="243"/>
      <c r="BI53" s="243"/>
      <c r="BJ53" s="243"/>
      <c r="BK53" s="243"/>
      <c r="BL53" s="243"/>
      <c r="BM53" s="243"/>
      <c r="BN53" s="243"/>
      <c r="BO53" s="243"/>
      <c r="BP53" s="243"/>
      <c r="BQ53" s="243"/>
      <c r="BR53" s="243"/>
      <c r="BS53" s="243"/>
      <c r="BT53" s="243"/>
      <c r="BU53" s="243"/>
      <c r="BV53" s="243"/>
      <c r="BW53" s="243"/>
      <c r="BX53" s="243"/>
      <c r="BY53" s="243"/>
      <c r="BZ53" s="243"/>
      <c r="CA53" s="243"/>
      <c r="CB53" s="243"/>
      <c r="CC53" s="243"/>
      <c r="CD53" s="243"/>
      <c r="CE53" s="243"/>
      <c r="CF53" s="243"/>
      <c r="CG53" s="243"/>
      <c r="CH53" s="243"/>
      <c r="CI53" s="243"/>
      <c r="CJ53" s="243"/>
      <c r="CK53" s="243"/>
      <c r="CL53" s="243"/>
      <c r="CM53" s="243"/>
      <c r="CN53" s="243"/>
      <c r="CO53" s="243"/>
      <c r="CP53" s="243"/>
      <c r="CQ53" s="243"/>
      <c r="CR53" s="243"/>
      <c r="CS53" s="243"/>
      <c r="CT53" s="243"/>
      <c r="CU53" s="243"/>
      <c r="CV53" s="243"/>
      <c r="CW53" s="243"/>
      <c r="CX53" s="243"/>
      <c r="CY53" s="243"/>
      <c r="CZ53" s="243"/>
      <c r="DA53" s="243"/>
      <c r="DB53" s="243">
        <v>73</v>
      </c>
      <c r="DC53" s="243">
        <v>87</v>
      </c>
      <c r="DD53" s="243"/>
      <c r="DE53" s="243">
        <v>87</v>
      </c>
      <c r="DF53" s="243">
        <v>89</v>
      </c>
      <c r="DG53" s="243">
        <v>92</v>
      </c>
      <c r="DH53" s="243">
        <f>77+93</f>
        <v>170</v>
      </c>
      <c r="DI53" s="243">
        <v>96</v>
      </c>
      <c r="DJ53" s="243">
        <v>99</v>
      </c>
      <c r="DK53" s="243">
        <f t="shared" si="215"/>
        <v>94.76</v>
      </c>
      <c r="DL53" s="243">
        <f t="shared" si="216"/>
        <v>175.1</v>
      </c>
      <c r="DM53" s="243">
        <f t="shared" si="217"/>
        <v>98.88</v>
      </c>
      <c r="DN53" s="243">
        <f t="shared" si="218"/>
        <v>101.97</v>
      </c>
      <c r="DP53" s="271"/>
      <c r="DQ53" s="271"/>
      <c r="DR53" s="271"/>
      <c r="DS53" s="271"/>
      <c r="DT53" s="271"/>
      <c r="DU53" s="271"/>
      <c r="DV53" s="271"/>
      <c r="DW53" s="235"/>
      <c r="DX53" s="235"/>
      <c r="DY53" s="235"/>
      <c r="DZ53" s="235"/>
      <c r="EA53" s="235"/>
      <c r="EB53" s="235"/>
      <c r="EC53" s="235"/>
      <c r="ED53" s="235"/>
      <c r="EE53" s="235"/>
      <c r="EF53" s="235"/>
      <c r="EG53" s="235"/>
      <c r="EH53" s="235"/>
      <c r="EI53" s="235"/>
      <c r="EJ53" s="235"/>
      <c r="EK53" s="235"/>
      <c r="EL53" s="235"/>
      <c r="EM53" s="235"/>
      <c r="EN53" s="235"/>
      <c r="EO53" s="235"/>
      <c r="EP53" s="235"/>
      <c r="EQ53" s="235"/>
      <c r="ER53" s="235">
        <f t="shared" si="23"/>
        <v>0</v>
      </c>
      <c r="ES53" s="235"/>
      <c r="ET53" s="235"/>
      <c r="EU53" s="235"/>
      <c r="EV53" s="235"/>
      <c r="EW53" s="235"/>
      <c r="EX53" s="235"/>
      <c r="EY53" s="235"/>
      <c r="EZ53" s="344"/>
      <c r="FA53" s="344"/>
      <c r="FB53" s="344"/>
      <c r="FC53" s="344"/>
      <c r="FD53" s="344"/>
      <c r="FE53" s="344"/>
      <c r="FF53" s="344"/>
      <c r="FG53" s="344"/>
      <c r="FH53" s="344"/>
      <c r="FI53" s="344"/>
      <c r="FJ53" s="344"/>
      <c r="FM53"/>
    </row>
    <row r="54" spans="1:172" s="254" customFormat="1" ht="12.75" customHeight="1" x14ac:dyDescent="0.2">
      <c r="B54" t="s">
        <v>1531</v>
      </c>
      <c r="C54" s="76"/>
      <c r="D54" s="76"/>
      <c r="E54" s="76"/>
      <c r="F54" s="76"/>
      <c r="G54" s="76"/>
      <c r="H54" s="76"/>
      <c r="I54" s="76"/>
      <c r="J54" s="76"/>
      <c r="K54" s="243">
        <v>428</v>
      </c>
      <c r="L54" s="243">
        <v>420</v>
      </c>
      <c r="M54" s="243">
        <v>420</v>
      </c>
      <c r="N54" s="243">
        <v>434</v>
      </c>
      <c r="O54" s="243">
        <v>471</v>
      </c>
      <c r="P54" s="243">
        <v>456</v>
      </c>
      <c r="Q54" s="243">
        <v>429</v>
      </c>
      <c r="R54" s="243">
        <v>460</v>
      </c>
      <c r="S54" s="243">
        <v>511</v>
      </c>
      <c r="T54" s="243">
        <v>508</v>
      </c>
      <c r="U54" s="243">
        <v>495</v>
      </c>
      <c r="V54" s="76">
        <v>540</v>
      </c>
      <c r="W54" s="76">
        <v>617</v>
      </c>
      <c r="X54" s="76">
        <v>633</v>
      </c>
      <c r="Y54" s="76">
        <v>615</v>
      </c>
      <c r="Z54" s="76">
        <v>672</v>
      </c>
      <c r="AA54" s="76">
        <v>739</v>
      </c>
      <c r="AB54" s="76">
        <v>748</v>
      </c>
      <c r="AC54" s="76">
        <v>718</v>
      </c>
      <c r="AD54" s="76">
        <v>802</v>
      </c>
      <c r="AE54" s="243">
        <v>839</v>
      </c>
      <c r="AF54" s="243">
        <v>839</v>
      </c>
      <c r="AG54" s="243">
        <v>790</v>
      </c>
      <c r="AH54" s="243">
        <v>952</v>
      </c>
      <c r="AI54" s="243">
        <v>993</v>
      </c>
      <c r="AJ54" s="243">
        <v>980</v>
      </c>
      <c r="AK54" s="243">
        <v>897</v>
      </c>
      <c r="AL54" s="243">
        <v>977</v>
      </c>
      <c r="AM54" s="243">
        <v>1039</v>
      </c>
      <c r="AN54" s="243">
        <v>1035</v>
      </c>
      <c r="AO54" s="243">
        <v>971</v>
      </c>
      <c r="AP54" s="243">
        <v>1060</v>
      </c>
      <c r="AQ54" s="243">
        <v>1157</v>
      </c>
      <c r="AR54" s="243">
        <v>1135</v>
      </c>
      <c r="AS54" s="243">
        <v>1086</v>
      </c>
      <c r="AT54" s="243">
        <v>1209</v>
      </c>
      <c r="AU54" s="243">
        <v>1253</v>
      </c>
      <c r="AV54" s="243">
        <v>1289</v>
      </c>
      <c r="AW54" s="243">
        <v>1195</v>
      </c>
      <c r="AX54" s="243">
        <v>1252</v>
      </c>
      <c r="AY54" s="243">
        <v>1292</v>
      </c>
      <c r="AZ54" s="243">
        <v>1323</v>
      </c>
      <c r="BA54" s="243">
        <v>1284</v>
      </c>
      <c r="BB54" s="243">
        <v>1473</v>
      </c>
      <c r="BC54" s="243">
        <v>1454</v>
      </c>
      <c r="BD54" s="243">
        <v>1375</v>
      </c>
      <c r="BE54" s="243">
        <v>1309</v>
      </c>
      <c r="BF54" s="243">
        <v>1447</v>
      </c>
      <c r="BG54" s="243">
        <v>1503</v>
      </c>
      <c r="BH54" s="243">
        <v>1469</v>
      </c>
      <c r="BI54" s="243">
        <v>1384</v>
      </c>
      <c r="BJ54" s="243">
        <v>1453</v>
      </c>
      <c r="BK54" s="243">
        <v>1493</v>
      </c>
      <c r="BL54" s="243">
        <v>1628</v>
      </c>
      <c r="BM54" s="243">
        <v>2290</v>
      </c>
      <c r="BN54" s="243">
        <v>2388</v>
      </c>
      <c r="BO54" s="243">
        <v>2385</v>
      </c>
      <c r="BP54" s="243">
        <v>2385</v>
      </c>
      <c r="BQ54" s="243">
        <v>2283</v>
      </c>
      <c r="BR54" s="243">
        <v>2456</v>
      </c>
      <c r="BS54" s="243">
        <v>2421</v>
      </c>
      <c r="BT54" s="243">
        <v>2469</v>
      </c>
      <c r="BU54" s="243">
        <v>2344</v>
      </c>
      <c r="BV54" s="243">
        <v>2441</v>
      </c>
      <c r="BW54" s="243">
        <v>2328</v>
      </c>
      <c r="BX54" s="243">
        <v>2330</v>
      </c>
      <c r="BY54" s="243">
        <v>2181</v>
      </c>
      <c r="BZ54" s="243">
        <v>2423</v>
      </c>
      <c r="CA54" s="243">
        <v>2341</v>
      </c>
      <c r="CB54" s="243">
        <v>2355</v>
      </c>
      <c r="CC54" s="243">
        <v>2251</v>
      </c>
      <c r="CD54" s="243">
        <v>2387</v>
      </c>
      <c r="CE54" s="243">
        <v>2325</v>
      </c>
      <c r="CF54" s="243">
        <v>2343</v>
      </c>
      <c r="CG54" s="243">
        <v>2204</v>
      </c>
      <c r="CH54" s="243">
        <v>2339</v>
      </c>
      <c r="CI54" s="243">
        <v>2250</v>
      </c>
      <c r="CJ54" s="243">
        <v>2262</v>
      </c>
      <c r="CK54" s="243">
        <v>2111</v>
      </c>
      <c r="CL54" s="243">
        <v>2262</v>
      </c>
      <c r="CM54" s="243">
        <v>2204</v>
      </c>
      <c r="CN54" s="243">
        <v>2224</v>
      </c>
      <c r="CO54" s="243">
        <v>2138</v>
      </c>
      <c r="CP54" s="243">
        <v>2273</v>
      </c>
      <c r="CQ54" s="243">
        <v>2038</v>
      </c>
      <c r="CR54" s="243">
        <v>1451</v>
      </c>
      <c r="CS54" s="243">
        <v>2083</v>
      </c>
      <c r="CT54" s="243">
        <v>2191</v>
      </c>
      <c r="CU54" s="243">
        <v>2113</v>
      </c>
      <c r="CV54" s="243">
        <v>2227</v>
      </c>
      <c r="CW54" s="243">
        <v>2093</v>
      </c>
      <c r="CX54" s="243">
        <v>2155</v>
      </c>
      <c r="CY54" s="243">
        <v>2188</v>
      </c>
      <c r="CZ54" s="243">
        <v>2157</v>
      </c>
      <c r="DA54" s="243">
        <v>2095</v>
      </c>
      <c r="DB54" s="243">
        <v>2148</v>
      </c>
      <c r="DC54" s="243">
        <v>2245</v>
      </c>
      <c r="DD54" s="243">
        <f>397+363+739+766</f>
        <v>2265</v>
      </c>
      <c r="DE54" s="243">
        <v>2164</v>
      </c>
      <c r="DF54" s="243">
        <v>2268</v>
      </c>
      <c r="DG54" s="243">
        <v>2340</v>
      </c>
      <c r="DH54" s="243">
        <v>2312</v>
      </c>
      <c r="DI54" s="243">
        <v>2191</v>
      </c>
      <c r="DJ54" s="243">
        <v>2315</v>
      </c>
      <c r="DK54" s="243">
        <f t="shared" ref="DK54:DN54" si="244">+DG54*1.05</f>
        <v>2457</v>
      </c>
      <c r="DL54" s="243">
        <f t="shared" si="244"/>
        <v>2427.6</v>
      </c>
      <c r="DM54" s="243">
        <f t="shared" si="244"/>
        <v>2300.5500000000002</v>
      </c>
      <c r="DN54" s="243">
        <f t="shared" si="244"/>
        <v>2430.75</v>
      </c>
      <c r="DP54" s="271"/>
      <c r="DQ54" s="271"/>
      <c r="DR54" s="271"/>
      <c r="DS54" s="271"/>
      <c r="DT54" s="271"/>
      <c r="DU54" s="271"/>
      <c r="DV54" s="271"/>
      <c r="DW54" s="271"/>
      <c r="DX54" s="271"/>
      <c r="DY54" s="235">
        <v>795</v>
      </c>
      <c r="DZ54" s="235">
        <v>1751</v>
      </c>
      <c r="EA54" s="235">
        <f t="shared" si="219"/>
        <v>1816</v>
      </c>
      <c r="EB54" s="235">
        <f t="shared" si="220"/>
        <v>2054</v>
      </c>
      <c r="EC54" s="235">
        <f t="shared" si="221"/>
        <v>2537</v>
      </c>
      <c r="ED54" s="235">
        <f t="shared" si="222"/>
        <v>3007</v>
      </c>
      <c r="EE54" s="235">
        <f t="shared" si="223"/>
        <v>3420</v>
      </c>
      <c r="EF54" s="235">
        <f t="shared" si="224"/>
        <v>3847</v>
      </c>
      <c r="EG54" s="235">
        <f t="shared" si="199"/>
        <v>4105</v>
      </c>
      <c r="EH54" s="235">
        <f t="shared" si="200"/>
        <v>4587</v>
      </c>
      <c r="EI54" s="235">
        <f t="shared" si="201"/>
        <v>4989</v>
      </c>
      <c r="EJ54" s="235">
        <f t="shared" si="202"/>
        <v>5372</v>
      </c>
      <c r="EK54" s="235">
        <f t="shared" si="203"/>
        <v>5585</v>
      </c>
      <c r="EL54" s="235">
        <f t="shared" si="225"/>
        <v>5809</v>
      </c>
      <c r="EM54" s="235">
        <f t="shared" si="204"/>
        <v>7799</v>
      </c>
      <c r="EN54" s="235">
        <f t="shared" si="226"/>
        <v>9509</v>
      </c>
      <c r="EO54" s="235">
        <f t="shared" ref="EO54:EQ54" si="245">EN54*1.03</f>
        <v>9794.27</v>
      </c>
      <c r="EP54" s="235">
        <f t="shared" si="245"/>
        <v>10088.098100000001</v>
      </c>
      <c r="EQ54" s="235">
        <f t="shared" si="245"/>
        <v>10390.741043000002</v>
      </c>
      <c r="ER54" s="235">
        <f t="shared" si="23"/>
        <v>9211</v>
      </c>
      <c r="ES54" s="235">
        <f t="shared" si="228"/>
        <v>8885</v>
      </c>
      <c r="ET54" s="235">
        <f t="shared" si="229"/>
        <v>8839</v>
      </c>
      <c r="EU54" s="235">
        <f t="shared" si="230"/>
        <v>7763</v>
      </c>
      <c r="EV54" s="235">
        <f t="shared" si="231"/>
        <v>8588</v>
      </c>
      <c r="EW54" s="235">
        <f t="shared" si="232"/>
        <v>8588</v>
      </c>
      <c r="EX54" s="235">
        <f t="shared" ref="EX54" si="246">EW54*1.03</f>
        <v>8845.64</v>
      </c>
      <c r="EY54" s="235">
        <f t="shared" ref="EY54" si="247">EX54*1.03</f>
        <v>9111.0092000000004</v>
      </c>
      <c r="EZ54" s="235">
        <f t="shared" ref="EZ54" si="248">EY54*1.03</f>
        <v>9384.339476000001</v>
      </c>
      <c r="FA54" s="235">
        <f t="shared" ref="FA54" si="249">EZ54*1.03</f>
        <v>9665.869660280001</v>
      </c>
      <c r="FB54" s="235">
        <f t="shared" ref="FB54" si="250">FA54*1.03</f>
        <v>9955.8457500884015</v>
      </c>
      <c r="FC54" s="235">
        <f t="shared" ref="FC54" si="251">FB54*1.03</f>
        <v>10254.521122591053</v>
      </c>
      <c r="FD54" s="235">
        <f t="shared" ref="FD54" si="252">FC54*1.03</f>
        <v>10562.156756268785</v>
      </c>
      <c r="FE54" s="235">
        <f t="shared" ref="FE54" si="253">FD54*1.03</f>
        <v>10879.02145895685</v>
      </c>
      <c r="FF54" s="235">
        <f t="shared" ref="FF54" si="254">FE54*1.03</f>
        <v>11205.392102725555</v>
      </c>
      <c r="FG54" s="235">
        <f t="shared" ref="FG54" si="255">FF54*1.03</f>
        <v>11541.553865807322</v>
      </c>
      <c r="FH54" s="235">
        <f t="shared" ref="FH54" si="256">FG54*1.03</f>
        <v>11887.800481781542</v>
      </c>
      <c r="FI54" s="235">
        <f t="shared" ref="FI54" si="257">FH54*1.03</f>
        <v>12244.434496234988</v>
      </c>
      <c r="FJ54" s="235">
        <f t="shared" ref="FJ54" si="258">FI54*1.03</f>
        <v>12611.767531122037</v>
      </c>
      <c r="FM54"/>
    </row>
    <row r="55" spans="1:172" s="254" customFormat="1" ht="12.75" customHeight="1" x14ac:dyDescent="0.2">
      <c r="B55" t="s">
        <v>229</v>
      </c>
      <c r="C55" s="243">
        <f>G55/1.04</f>
        <v>381.73076923076923</v>
      </c>
      <c r="D55" s="243">
        <f>H55/1.03</f>
        <v>383.49514563106794</v>
      </c>
      <c r="E55" s="243">
        <f>I55/1.04</f>
        <v>374.03846153846155</v>
      </c>
      <c r="F55" s="243">
        <f>147+231</f>
        <v>378</v>
      </c>
      <c r="G55" s="243">
        <f>156+241</f>
        <v>397</v>
      </c>
      <c r="H55" s="243">
        <f>158+237</f>
        <v>395</v>
      </c>
      <c r="I55" s="243">
        <f>164+225</f>
        <v>389</v>
      </c>
      <c r="J55" s="243">
        <f>172+254</f>
        <v>426</v>
      </c>
      <c r="K55" s="243">
        <v>480</v>
      </c>
      <c r="L55" s="243">
        <v>475</v>
      </c>
      <c r="M55" s="243">
        <v>467</v>
      </c>
      <c r="N55" s="243">
        <v>495</v>
      </c>
      <c r="O55" s="243">
        <v>482</v>
      </c>
      <c r="P55" s="243">
        <v>509</v>
      </c>
      <c r="Q55" s="243">
        <v>482</v>
      </c>
      <c r="R55" s="243">
        <v>503</v>
      </c>
      <c r="S55" s="243">
        <v>519</v>
      </c>
      <c r="T55" s="243">
        <v>530</v>
      </c>
      <c r="U55" s="243">
        <v>532</v>
      </c>
      <c r="V55" s="76">
        <v>618</v>
      </c>
      <c r="W55" s="76">
        <v>564</v>
      </c>
      <c r="X55" s="76">
        <v>606</v>
      </c>
      <c r="Y55" s="76">
        <v>596</v>
      </c>
      <c r="Z55" s="76">
        <v>620</v>
      </c>
      <c r="AA55" s="76">
        <v>629</v>
      </c>
      <c r="AB55" s="76">
        <v>673</v>
      </c>
      <c r="AC55" s="76">
        <v>640</v>
      </c>
      <c r="AD55" s="76">
        <v>697</v>
      </c>
      <c r="AE55" s="243">
        <v>681</v>
      </c>
      <c r="AF55" s="243">
        <v>716</v>
      </c>
      <c r="AG55" s="243">
        <v>687</v>
      </c>
      <c r="AH55" s="243">
        <v>753</v>
      </c>
      <c r="AI55" s="243">
        <v>787</v>
      </c>
      <c r="AJ55" s="243">
        <v>798</v>
      </c>
      <c r="AK55" s="243">
        <v>745</v>
      </c>
      <c r="AL55" s="243">
        <v>769</v>
      </c>
      <c r="AM55" s="243">
        <v>774</v>
      </c>
      <c r="AN55" s="243">
        <v>816</v>
      </c>
      <c r="AO55" s="243">
        <v>796</v>
      </c>
      <c r="AP55" s="243">
        <v>827</v>
      </c>
      <c r="AQ55" s="243">
        <v>870</v>
      </c>
      <c r="AR55" s="243">
        <v>901</v>
      </c>
      <c r="AS55" s="243">
        <v>877</v>
      </c>
      <c r="AT55" s="243">
        <v>944</v>
      </c>
      <c r="AU55" s="243">
        <v>945</v>
      </c>
      <c r="AV55" s="243">
        <v>1020</v>
      </c>
      <c r="AW55" s="243">
        <v>957</v>
      </c>
      <c r="AX55" s="243">
        <v>918</v>
      </c>
      <c r="AY55" s="243">
        <v>953</v>
      </c>
      <c r="AZ55" s="243">
        <v>1041</v>
      </c>
      <c r="BA55" s="243">
        <v>1019</v>
      </c>
      <c r="BB55" s="243">
        <v>1109</v>
      </c>
      <c r="BC55" s="243">
        <v>1147</v>
      </c>
      <c r="BD55" s="243">
        <v>1132</v>
      </c>
      <c r="BE55" s="243">
        <v>1072</v>
      </c>
      <c r="BF55" s="243">
        <v>1152</v>
      </c>
      <c r="BG55" s="243">
        <v>1193</v>
      </c>
      <c r="BH55" s="243">
        <v>1257</v>
      </c>
      <c r="BI55" s="243">
        <v>1187</v>
      </c>
      <c r="BJ55" s="243">
        <v>1233</v>
      </c>
      <c r="BK55" s="243"/>
      <c r="BL55" s="243"/>
      <c r="BM55" s="243"/>
      <c r="BN55" s="243"/>
      <c r="BO55" s="243"/>
      <c r="BP55" s="243"/>
      <c r="BQ55" s="243"/>
      <c r="BR55" s="243"/>
      <c r="BS55" s="243"/>
      <c r="BT55" s="243"/>
      <c r="BU55" s="243"/>
      <c r="BV55" s="243"/>
      <c r="BW55" s="243"/>
      <c r="BX55" s="243"/>
      <c r="BY55" s="243"/>
      <c r="BZ55" s="243"/>
      <c r="CA55" s="243"/>
      <c r="CB55" s="243"/>
      <c r="CC55" s="243"/>
      <c r="CD55" s="243"/>
      <c r="CE55" s="243"/>
      <c r="CF55" s="243"/>
      <c r="CG55" s="243"/>
      <c r="CH55" s="243"/>
      <c r="CI55" s="243"/>
      <c r="CJ55" s="243"/>
      <c r="CK55" s="243"/>
      <c r="CL55" s="243"/>
      <c r="CM55" s="243"/>
      <c r="CN55" s="243"/>
      <c r="CO55" s="243"/>
      <c r="CP55" s="243"/>
      <c r="CQ55" s="243"/>
      <c r="CR55" s="243"/>
      <c r="CS55" s="243"/>
      <c r="CT55" s="243"/>
      <c r="CU55" s="243"/>
      <c r="CV55" s="243"/>
      <c r="CW55" s="243"/>
      <c r="CX55" s="243"/>
      <c r="CY55" s="243"/>
      <c r="CZ55" s="243"/>
      <c r="DA55" s="243"/>
      <c r="DB55" s="243"/>
      <c r="DC55" s="243"/>
      <c r="DD55" s="243"/>
      <c r="DE55" s="243"/>
      <c r="DF55" s="243"/>
      <c r="DG55" s="243"/>
      <c r="DH55" s="243"/>
      <c r="DI55" s="243"/>
      <c r="DJ55" s="243"/>
      <c r="DK55" s="243"/>
      <c r="DL55" s="243"/>
      <c r="DM55" s="243"/>
      <c r="DN55" s="243"/>
      <c r="DP55" s="271"/>
      <c r="DQ55" s="271"/>
      <c r="DR55" s="271"/>
      <c r="DS55" s="271"/>
      <c r="DT55" s="271"/>
      <c r="DU55" s="271"/>
      <c r="DV55" s="271"/>
      <c r="DW55" s="235">
        <f>DX55*1</f>
        <v>1525</v>
      </c>
      <c r="DX55" s="235">
        <f>586+939</f>
        <v>1525</v>
      </c>
      <c r="DY55" s="235">
        <f>SUM(G55:J55)</f>
        <v>1607</v>
      </c>
      <c r="DZ55" s="235">
        <f>1828+108</f>
        <v>1936</v>
      </c>
      <c r="EA55" s="235">
        <f t="shared" si="219"/>
        <v>1976</v>
      </c>
      <c r="EB55" s="235">
        <f t="shared" si="220"/>
        <v>2199</v>
      </c>
      <c r="EC55" s="235">
        <f t="shared" si="221"/>
        <v>2386</v>
      </c>
      <c r="ED55" s="235">
        <f t="shared" si="222"/>
        <v>2639</v>
      </c>
      <c r="EE55" s="235">
        <f t="shared" si="223"/>
        <v>2837</v>
      </c>
      <c r="EF55" s="235">
        <f t="shared" si="224"/>
        <v>3099</v>
      </c>
      <c r="EG55" s="235">
        <f t="shared" si="199"/>
        <v>3213</v>
      </c>
      <c r="EH55" s="235">
        <f t="shared" si="200"/>
        <v>3592</v>
      </c>
      <c r="EI55" s="235">
        <f t="shared" si="201"/>
        <v>3840</v>
      </c>
      <c r="EJ55" s="235">
        <f t="shared" si="202"/>
        <v>4122</v>
      </c>
      <c r="EK55" s="235">
        <f t="shared" si="203"/>
        <v>4503</v>
      </c>
      <c r="EL55" s="235">
        <f t="shared" si="225"/>
        <v>4870</v>
      </c>
      <c r="EM55" s="235"/>
      <c r="EN55" s="235"/>
      <c r="EO55" s="235"/>
      <c r="EP55" s="235"/>
      <c r="EQ55" s="235"/>
      <c r="ER55" s="235">
        <f t="shared" si="23"/>
        <v>0</v>
      </c>
      <c r="ES55" s="235"/>
      <c r="ET55" s="235"/>
      <c r="EU55" s="235"/>
      <c r="EV55" s="235"/>
      <c r="EW55" s="235"/>
      <c r="EX55" s="235"/>
      <c r="EY55" s="235"/>
      <c r="EZ55" s="344"/>
      <c r="FA55" s="344"/>
      <c r="FB55" s="344"/>
      <c r="FC55" s="344"/>
      <c r="FD55" s="344"/>
      <c r="FE55" s="344"/>
      <c r="FF55" s="344"/>
      <c r="FG55" s="344"/>
      <c r="FH55" s="344"/>
      <c r="FI55" s="344"/>
      <c r="FJ55" s="344"/>
      <c r="FM55"/>
    </row>
    <row r="56" spans="1:172" s="254" customFormat="1" ht="12.75" customHeight="1" x14ac:dyDescent="0.2">
      <c r="B56" t="s">
        <v>333</v>
      </c>
      <c r="C56" s="243">
        <f>G56/1.16</f>
        <v>244.82758620689657</v>
      </c>
      <c r="D56" s="243">
        <f>H56/1.17</f>
        <v>247.86324786324789</v>
      </c>
      <c r="E56" s="243">
        <f>I56/1.17</f>
        <v>252.13675213675216</v>
      </c>
      <c r="F56" s="243">
        <f>164+100</f>
        <v>264</v>
      </c>
      <c r="G56" s="243">
        <f>171+113</f>
        <v>284</v>
      </c>
      <c r="H56" s="243">
        <f>178+112</f>
        <v>290</v>
      </c>
      <c r="I56" s="243">
        <f>193+102</f>
        <v>295</v>
      </c>
      <c r="J56" s="243">
        <f>196+127</f>
        <v>323</v>
      </c>
      <c r="K56" s="243">
        <v>427</v>
      </c>
      <c r="L56" s="243">
        <v>431</v>
      </c>
      <c r="M56" s="243">
        <v>431</v>
      </c>
      <c r="N56" s="243">
        <v>450</v>
      </c>
      <c r="O56" s="243">
        <v>448</v>
      </c>
      <c r="P56" s="243">
        <v>463</v>
      </c>
      <c r="Q56" s="243">
        <v>447</v>
      </c>
      <c r="R56" s="243">
        <v>482</v>
      </c>
      <c r="S56" s="243">
        <v>475</v>
      </c>
      <c r="T56" s="243">
        <v>499</v>
      </c>
      <c r="U56" s="243">
        <v>503</v>
      </c>
      <c r="V56" s="76">
        <v>523</v>
      </c>
      <c r="W56" s="76">
        <v>521</v>
      </c>
      <c r="X56" s="76">
        <v>575</v>
      </c>
      <c r="Y56" s="76">
        <v>571</v>
      </c>
      <c r="Z56" s="76">
        <v>625</v>
      </c>
      <c r="AA56" s="76">
        <v>623</v>
      </c>
      <c r="AB56" s="76">
        <v>649</v>
      </c>
      <c r="AC56" s="76">
        <v>622</v>
      </c>
      <c r="AD56" s="76">
        <v>693</v>
      </c>
      <c r="AE56" s="243">
        <v>665</v>
      </c>
      <c r="AF56" s="243">
        <v>710</v>
      </c>
      <c r="AG56" s="243">
        <v>672</v>
      </c>
      <c r="AH56" s="243">
        <v>802</v>
      </c>
      <c r="AI56" s="243">
        <v>767</v>
      </c>
      <c r="AJ56" s="243">
        <v>785</v>
      </c>
      <c r="AK56" s="243">
        <v>723</v>
      </c>
      <c r="AL56" s="243">
        <v>823</v>
      </c>
      <c r="AM56" s="243">
        <v>794</v>
      </c>
      <c r="AN56" s="243">
        <v>857</v>
      </c>
      <c r="AO56" s="243">
        <v>826</v>
      </c>
      <c r="AP56" s="243">
        <v>900</v>
      </c>
      <c r="AQ56" s="243">
        <v>891</v>
      </c>
      <c r="AR56" s="243">
        <v>957</v>
      </c>
      <c r="AS56" s="243">
        <v>922</v>
      </c>
      <c r="AT56" s="243">
        <v>1064</v>
      </c>
      <c r="AU56" s="243">
        <v>1003</v>
      </c>
      <c r="AV56" s="243">
        <v>1124</v>
      </c>
      <c r="AW56" s="243">
        <v>1042</v>
      </c>
      <c r="AX56" s="243">
        <v>1117</v>
      </c>
      <c r="AY56" s="243">
        <v>1015</v>
      </c>
      <c r="AZ56" s="243">
        <v>1115</v>
      </c>
      <c r="BA56" s="243">
        <v>1106</v>
      </c>
      <c r="BB56" s="243">
        <v>1256</v>
      </c>
      <c r="BC56" s="243">
        <v>1168</v>
      </c>
      <c r="BD56" s="243">
        <v>1196</v>
      </c>
      <c r="BE56" s="243">
        <v>1137</v>
      </c>
      <c r="BF56" s="243">
        <v>1257</v>
      </c>
      <c r="BG56" s="243">
        <v>1221</v>
      </c>
      <c r="BH56" s="243">
        <v>1295</v>
      </c>
      <c r="BI56" s="243">
        <v>1231</v>
      </c>
      <c r="BJ56" s="243">
        <v>1333</v>
      </c>
      <c r="BK56" s="243"/>
      <c r="BL56" s="243"/>
      <c r="BM56" s="243"/>
      <c r="BN56" s="243"/>
      <c r="BO56" s="243"/>
      <c r="BP56" s="243"/>
      <c r="BQ56" s="243"/>
      <c r="BR56" s="243"/>
      <c r="BS56" s="243"/>
      <c r="BT56" s="243"/>
      <c r="BU56" s="243"/>
      <c r="BV56" s="243"/>
      <c r="BW56" s="243"/>
      <c r="BX56" s="243"/>
      <c r="BY56" s="243"/>
      <c r="BZ56" s="243"/>
      <c r="CA56" s="243"/>
      <c r="CB56" s="243"/>
      <c r="CC56" s="243"/>
      <c r="CD56" s="243"/>
      <c r="CE56" s="243"/>
      <c r="CF56" s="243"/>
      <c r="CG56" s="243"/>
      <c r="CH56" s="243"/>
      <c r="CI56" s="243"/>
      <c r="CJ56" s="243"/>
      <c r="CK56" s="243"/>
      <c r="CL56" s="243"/>
      <c r="CM56" s="243"/>
      <c r="CN56" s="243"/>
      <c r="CO56" s="243"/>
      <c r="CP56" s="243"/>
      <c r="CQ56" s="243"/>
      <c r="CR56" s="243"/>
      <c r="CS56" s="243"/>
      <c r="CT56" s="243"/>
      <c r="CU56" s="243"/>
      <c r="CV56" s="243"/>
      <c r="CW56" s="243"/>
      <c r="CX56" s="243"/>
      <c r="CY56" s="243"/>
      <c r="CZ56" s="243"/>
      <c r="DA56" s="243"/>
      <c r="DB56" s="243"/>
      <c r="DC56" s="243"/>
      <c r="DD56" s="243"/>
      <c r="DE56" s="243"/>
      <c r="DF56" s="243"/>
      <c r="DG56" s="243"/>
      <c r="DH56" s="243"/>
      <c r="DI56" s="243"/>
      <c r="DJ56" s="243"/>
      <c r="DK56" s="243"/>
      <c r="DL56" s="243"/>
      <c r="DM56" s="243"/>
      <c r="DN56" s="243"/>
      <c r="DP56" s="271"/>
      <c r="DQ56" s="271"/>
      <c r="DR56" s="271"/>
      <c r="DS56" s="271"/>
      <c r="DT56" s="271"/>
      <c r="DU56" s="271"/>
      <c r="DV56" s="271"/>
      <c r="DW56" s="235">
        <f>+DX56/1.16</f>
        <v>869.67895362663512</v>
      </c>
      <c r="DX56" s="235">
        <f>SUM(C56:F56)</f>
        <v>1008.8275862068966</v>
      </c>
      <c r="DY56" s="235">
        <f>SUM(G56:J56)</f>
        <v>1192</v>
      </c>
      <c r="DZ56" s="235">
        <f>SUM(K56:N56)</f>
        <v>1739</v>
      </c>
      <c r="EA56" s="235">
        <f t="shared" si="219"/>
        <v>1840</v>
      </c>
      <c r="EB56" s="235">
        <f t="shared" si="220"/>
        <v>2000</v>
      </c>
      <c r="EC56" s="235">
        <f t="shared" si="221"/>
        <v>2292</v>
      </c>
      <c r="ED56" s="235">
        <f t="shared" si="222"/>
        <v>2587</v>
      </c>
      <c r="EE56" s="235">
        <f t="shared" si="223"/>
        <v>2849</v>
      </c>
      <c r="EF56" s="235">
        <f t="shared" si="224"/>
        <v>3098</v>
      </c>
      <c r="EG56" s="235">
        <f t="shared" si="199"/>
        <v>3377</v>
      </c>
      <c r="EH56" s="235">
        <f t="shared" si="200"/>
        <v>3834</v>
      </c>
      <c r="EI56" s="235">
        <f t="shared" si="201"/>
        <v>4286</v>
      </c>
      <c r="EJ56" s="235">
        <f t="shared" si="202"/>
        <v>4492</v>
      </c>
      <c r="EK56" s="235">
        <f t="shared" si="203"/>
        <v>4758</v>
      </c>
      <c r="EL56" s="235">
        <f t="shared" si="225"/>
        <v>5080</v>
      </c>
      <c r="EM56" s="235"/>
      <c r="EN56" s="235"/>
      <c r="EO56" s="235"/>
      <c r="EP56" s="235"/>
      <c r="EQ56" s="235"/>
      <c r="ER56" s="235">
        <f t="shared" si="23"/>
        <v>0</v>
      </c>
      <c r="ES56" s="235"/>
      <c r="ET56" s="235"/>
      <c r="EU56" s="235"/>
      <c r="EV56" s="235"/>
      <c r="EW56" s="235"/>
      <c r="EX56" s="235"/>
      <c r="EY56" s="235"/>
      <c r="EZ56" s="344"/>
      <c r="FA56" s="344"/>
      <c r="FB56" s="344"/>
      <c r="FC56" s="344"/>
      <c r="FD56" s="344"/>
      <c r="FE56" s="344"/>
      <c r="FF56" s="344"/>
      <c r="FG56" s="344"/>
      <c r="FH56" s="344"/>
      <c r="FI56" s="344"/>
      <c r="FJ56" s="344"/>
      <c r="FM56"/>
    </row>
    <row r="57" spans="1:172" s="254" customFormat="1" ht="12.75" customHeight="1" x14ac:dyDescent="0.2">
      <c r="B57" t="s">
        <v>1624</v>
      </c>
      <c r="C57" s="243"/>
      <c r="D57" s="243"/>
      <c r="E57" s="243"/>
      <c r="F57" s="243"/>
      <c r="G57" s="243"/>
      <c r="H57" s="243"/>
      <c r="I57" s="243"/>
      <c r="J57" s="243"/>
      <c r="K57" s="243"/>
      <c r="L57" s="243"/>
      <c r="M57" s="243"/>
      <c r="N57" s="243"/>
      <c r="O57" s="243"/>
      <c r="P57" s="243"/>
      <c r="Q57" s="243"/>
      <c r="R57" s="243"/>
      <c r="S57" s="243"/>
      <c r="T57" s="243"/>
      <c r="U57" s="243"/>
      <c r="V57" s="76"/>
      <c r="W57" s="76"/>
      <c r="X57" s="76"/>
      <c r="Y57" s="76"/>
      <c r="Z57" s="76"/>
      <c r="AA57" s="76"/>
      <c r="AB57" s="76"/>
      <c r="AC57" s="76"/>
      <c r="AD57" s="76"/>
      <c r="AE57" s="243"/>
      <c r="AF57" s="243"/>
      <c r="AG57" s="243"/>
      <c r="AH57" s="243"/>
      <c r="AI57" s="243"/>
      <c r="AJ57" s="243"/>
      <c r="AK57" s="243"/>
      <c r="AL57" s="243"/>
      <c r="AM57" s="243"/>
      <c r="AN57" s="243"/>
      <c r="AO57" s="243"/>
      <c r="AP57" s="243"/>
      <c r="AQ57" s="243"/>
      <c r="AR57" s="243"/>
      <c r="AS57" s="243"/>
      <c r="AT57" s="243"/>
      <c r="AU57" s="243"/>
      <c r="AV57" s="243"/>
      <c r="AW57" s="243"/>
      <c r="AX57" s="243"/>
      <c r="AY57" s="243"/>
      <c r="AZ57" s="243"/>
      <c r="BA57" s="243"/>
      <c r="BB57" s="243"/>
      <c r="BC57" s="243"/>
      <c r="BD57" s="243"/>
      <c r="BE57" s="243"/>
      <c r="BF57" s="243"/>
      <c r="BG57" s="237">
        <f>577+216</f>
        <v>793</v>
      </c>
      <c r="BH57" s="243"/>
      <c r="BI57" s="243">
        <f>576+220</f>
        <v>796</v>
      </c>
      <c r="BJ57" s="243">
        <f>634+238</f>
        <v>872</v>
      </c>
      <c r="BK57" s="243">
        <f>628+244</f>
        <v>872</v>
      </c>
      <c r="BL57" s="243">
        <f>646+230</f>
        <v>876</v>
      </c>
      <c r="BM57" s="243">
        <f>597+232</f>
        <v>829</v>
      </c>
      <c r="BN57" s="243">
        <f>655+246</f>
        <v>901</v>
      </c>
      <c r="BO57" s="243">
        <f>627+212</f>
        <v>839</v>
      </c>
      <c r="BP57" s="243">
        <f>656+234</f>
        <v>890</v>
      </c>
      <c r="BQ57" s="243">
        <f>626+220</f>
        <v>846</v>
      </c>
      <c r="BR57" s="243">
        <f>683+246</f>
        <v>929</v>
      </c>
      <c r="BS57" s="243">
        <v>874</v>
      </c>
      <c r="BT57" s="243">
        <v>905</v>
      </c>
      <c r="BU57" s="243">
        <v>858</v>
      </c>
      <c r="BV57" s="243">
        <f>849+374</f>
        <v>1223</v>
      </c>
      <c r="BW57" s="243">
        <f>770+353</f>
        <v>1123</v>
      </c>
      <c r="BX57" s="243">
        <v>879</v>
      </c>
      <c r="BY57" s="243">
        <f>795+342</f>
        <v>1137</v>
      </c>
      <c r="BZ57" s="243">
        <f>870+396</f>
        <v>1266</v>
      </c>
      <c r="CA57" s="243">
        <f>816+342</f>
        <v>1158</v>
      </c>
      <c r="CB57" s="243">
        <f>909+361</f>
        <v>1270</v>
      </c>
      <c r="CC57" s="243">
        <f>884+337</f>
        <v>1221</v>
      </c>
      <c r="CD57" s="243">
        <f>908+377</f>
        <v>1285</v>
      </c>
      <c r="CE57" s="243">
        <f>877+320</f>
        <v>1197</v>
      </c>
      <c r="CF57" s="243">
        <f>933+337</f>
        <v>1270</v>
      </c>
      <c r="CG57" s="243">
        <f>923+318</f>
        <v>1241</v>
      </c>
      <c r="CH57" s="243">
        <f>1023+365</f>
        <v>1388</v>
      </c>
      <c r="CI57" s="243">
        <f>966+330</f>
        <v>1296</v>
      </c>
      <c r="CJ57" s="243">
        <f>1005+341</f>
        <v>1346</v>
      </c>
      <c r="CK57" s="243">
        <f>976+320</f>
        <v>1296</v>
      </c>
      <c r="CL57" s="243">
        <f>1055+351</f>
        <v>1406</v>
      </c>
      <c r="CM57" s="243">
        <f>980+325</f>
        <v>1305</v>
      </c>
      <c r="CN57" s="243">
        <f>1029+206</f>
        <v>1235</v>
      </c>
      <c r="CO57" s="243">
        <f>1010+200</f>
        <v>1210</v>
      </c>
      <c r="CP57" s="243">
        <f>1076+195</f>
        <v>1271</v>
      </c>
      <c r="CQ57" s="243">
        <v>948</v>
      </c>
      <c r="CR57" s="243">
        <v>775</v>
      </c>
      <c r="CS57" s="243">
        <v>1000</v>
      </c>
      <c r="CT57" s="243">
        <v>1116</v>
      </c>
      <c r="CU57" s="243">
        <v>1118</v>
      </c>
      <c r="CV57" s="243">
        <v>1168</v>
      </c>
      <c r="CW57" s="243">
        <v>1144</v>
      </c>
      <c r="CX57" s="243">
        <v>1192</v>
      </c>
      <c r="CY57" s="243">
        <v>1146</v>
      </c>
      <c r="CZ57" s="243">
        <v>1156</v>
      </c>
      <c r="DA57" s="243">
        <v>1158</v>
      </c>
      <c r="DB57" s="243">
        <v>1109</v>
      </c>
      <c r="DC57" s="243">
        <v>1118</v>
      </c>
      <c r="DD57" s="243">
        <v>1222</v>
      </c>
      <c r="DE57" s="243">
        <v>1164</v>
      </c>
      <c r="DF57" s="243">
        <v>1167</v>
      </c>
      <c r="DG57" s="243">
        <v>1087</v>
      </c>
      <c r="DH57" s="243">
        <v>1141</v>
      </c>
      <c r="DI57" s="243">
        <v>1109</v>
      </c>
      <c r="DJ57" s="243">
        <v>1151</v>
      </c>
      <c r="DK57" s="243">
        <f t="shared" ref="DK57:DK58" si="259">+DG57*1.01</f>
        <v>1097.8700000000001</v>
      </c>
      <c r="DL57" s="243">
        <f t="shared" ref="DL57:DL58" si="260">+DH57*1.01</f>
        <v>1152.4100000000001</v>
      </c>
      <c r="DM57" s="243">
        <f t="shared" ref="DM57:DM58" si="261">+DI57*1.01</f>
        <v>1120.0899999999999</v>
      </c>
      <c r="DN57" s="243">
        <f t="shared" ref="DN57:DN58" si="262">+DJ57*1.01</f>
        <v>1162.51</v>
      </c>
      <c r="DP57" s="271"/>
      <c r="DQ57" s="271"/>
      <c r="DR57" s="271"/>
      <c r="DS57" s="271"/>
      <c r="DT57" s="271"/>
      <c r="DU57" s="271"/>
      <c r="DV57" s="271"/>
      <c r="DW57" s="235"/>
      <c r="DX57" s="235"/>
      <c r="DY57" s="235"/>
      <c r="DZ57" s="235"/>
      <c r="EA57" s="235"/>
      <c r="EB57" s="235"/>
      <c r="EC57" s="235"/>
      <c r="ED57" s="235"/>
      <c r="EE57" s="235"/>
      <c r="EF57" s="235"/>
      <c r="EG57" s="235"/>
      <c r="EH57" s="235"/>
      <c r="EI57" s="235"/>
      <c r="EJ57" s="235"/>
      <c r="EK57" s="235"/>
      <c r="EL57" s="235"/>
      <c r="EM57" s="235">
        <f t="shared" si="204"/>
        <v>3478</v>
      </c>
      <c r="EN57" s="235">
        <f t="shared" si="226"/>
        <v>3504</v>
      </c>
      <c r="EO57" s="235">
        <f t="shared" ref="EO57:EQ57" si="263">+EN57*1.01</f>
        <v>3539.04</v>
      </c>
      <c r="EP57" s="235">
        <f t="shared" si="263"/>
        <v>3574.4304000000002</v>
      </c>
      <c r="EQ57" s="235">
        <f t="shared" si="263"/>
        <v>3610.174704</v>
      </c>
      <c r="ER57" s="235">
        <f t="shared" si="23"/>
        <v>5096</v>
      </c>
      <c r="ES57" s="235">
        <f t="shared" ref="ES57:ES61" si="264">SUM(CI57:CL57)</f>
        <v>5344</v>
      </c>
      <c r="ET57" s="235">
        <f t="shared" ref="ET57:ET61" si="265">SUM(CM57:CP57)</f>
        <v>5021</v>
      </c>
      <c r="EU57" s="235">
        <f t="shared" ref="EU57:EU61" si="266">SUM(CQ57:CT57)</f>
        <v>3839</v>
      </c>
      <c r="EV57" s="235">
        <f t="shared" ref="EV57:EV61" si="267">SUM(CU57:CX57)</f>
        <v>4622</v>
      </c>
      <c r="EW57" s="235">
        <f t="shared" ref="EW57:EW58" si="268">SUM(CY57:DB57)</f>
        <v>4569</v>
      </c>
      <c r="EX57" s="235">
        <f t="shared" ref="EX57:EX58" si="269">+EW57*1.01</f>
        <v>4614.6899999999996</v>
      </c>
      <c r="EY57" s="235">
        <f t="shared" ref="EY57:EY58" si="270">+EX57*1.01</f>
        <v>4660.8368999999993</v>
      </c>
      <c r="EZ57" s="235">
        <f t="shared" ref="EZ57:EZ58" si="271">+EY57*1.01</f>
        <v>4707.4452689999989</v>
      </c>
      <c r="FA57" s="235">
        <f t="shared" ref="FA57:FA58" si="272">+EZ57*1.01</f>
        <v>4754.5197216899987</v>
      </c>
      <c r="FB57" s="235">
        <f t="shared" ref="FB57:FB58" si="273">+FA57*1.01</f>
        <v>4802.064918906899</v>
      </c>
      <c r="FC57" s="235">
        <f t="shared" ref="FC57:FC58" si="274">+FB57*1.01</f>
        <v>4850.0855680959685</v>
      </c>
      <c r="FD57" s="235">
        <f t="shared" ref="FD57:FD58" si="275">+FC57*1.01</f>
        <v>4898.5864237769283</v>
      </c>
      <c r="FE57" s="235">
        <f t="shared" ref="FE57:FE58" si="276">+FD57*1.01</f>
        <v>4947.5722880146977</v>
      </c>
      <c r="FF57" s="235">
        <f t="shared" ref="FF57:FF58" si="277">+FE57*1.01</f>
        <v>4997.048010894845</v>
      </c>
      <c r="FG57" s="235">
        <f t="shared" ref="FG57:FG58" si="278">+FF57*1.01</f>
        <v>5047.0184910037933</v>
      </c>
      <c r="FH57" s="235">
        <f t="shared" ref="FH57:FH58" si="279">+FG57*1.01</f>
        <v>5097.4886759138317</v>
      </c>
      <c r="FI57" s="235">
        <f t="shared" ref="FI57:FI58" si="280">+FH57*1.01</f>
        <v>5148.4635626729696</v>
      </c>
      <c r="FJ57" s="235">
        <f t="shared" ref="FJ57:FJ58" si="281">+FI57*1.01</f>
        <v>5199.9481982996995</v>
      </c>
      <c r="FM57"/>
    </row>
    <row r="58" spans="1:172" s="254" customFormat="1" ht="12.75" customHeight="1" x14ac:dyDescent="0.2">
      <c r="B58" t="s">
        <v>1532</v>
      </c>
      <c r="C58" s="243"/>
      <c r="D58" s="243"/>
      <c r="E58" s="243"/>
      <c r="F58" s="243"/>
      <c r="G58" s="243"/>
      <c r="H58" s="243"/>
      <c r="I58" s="243"/>
      <c r="J58" s="243"/>
      <c r="K58" s="243"/>
      <c r="L58" s="243"/>
      <c r="M58" s="243"/>
      <c r="N58" s="243"/>
      <c r="O58" s="243"/>
      <c r="P58" s="243"/>
      <c r="Q58" s="243"/>
      <c r="R58" s="243"/>
      <c r="S58" s="243"/>
      <c r="T58" s="243"/>
      <c r="U58" s="243"/>
      <c r="V58" s="76"/>
      <c r="W58" s="76"/>
      <c r="X58" s="76"/>
      <c r="Y58" s="76"/>
      <c r="Z58" s="76"/>
      <c r="AA58" s="76"/>
      <c r="AB58" s="76"/>
      <c r="AC58" s="76"/>
      <c r="AD58" s="76"/>
      <c r="AE58" s="243"/>
      <c r="AF58" s="243"/>
      <c r="AG58" s="243"/>
      <c r="AH58" s="243"/>
      <c r="AI58" s="243"/>
      <c r="AJ58" s="243"/>
      <c r="AK58" s="243"/>
      <c r="AL58" s="243"/>
      <c r="AM58" s="243"/>
      <c r="AN58" s="243"/>
      <c r="AO58" s="243"/>
      <c r="AP58" s="243"/>
      <c r="AQ58" s="243"/>
      <c r="AR58" s="243"/>
      <c r="AS58" s="243"/>
      <c r="AT58" s="243"/>
      <c r="AU58" s="243"/>
      <c r="AV58" s="243"/>
      <c r="AW58" s="243"/>
      <c r="AX58" s="243"/>
      <c r="AY58" s="243"/>
      <c r="AZ58" s="243"/>
      <c r="BA58" s="243"/>
      <c r="BB58" s="243"/>
      <c r="BC58" s="243"/>
      <c r="BD58" s="243"/>
      <c r="BE58" s="243"/>
      <c r="BF58" s="243"/>
      <c r="BG58" s="237" t="s">
        <v>1538</v>
      </c>
      <c r="BH58" s="243"/>
      <c r="BI58" s="243">
        <v>1622</v>
      </c>
      <c r="BJ58" s="243">
        <v>1694</v>
      </c>
      <c r="BK58" s="243">
        <v>1625</v>
      </c>
      <c r="BL58" s="243">
        <v>1640</v>
      </c>
      <c r="BM58" s="243">
        <v>1551</v>
      </c>
      <c r="BN58" s="243">
        <v>1667</v>
      </c>
      <c r="BO58" s="243">
        <v>1508</v>
      </c>
      <c r="BP58" s="243">
        <v>1588</v>
      </c>
      <c r="BQ58" s="243">
        <v>1534</v>
      </c>
      <c r="BR58" s="243">
        <v>1639</v>
      </c>
      <c r="BS58" s="243">
        <v>1508</v>
      </c>
      <c r="BT58" s="243">
        <v>1575</v>
      </c>
      <c r="BU58" s="243">
        <v>1521</v>
      </c>
      <c r="BV58" s="243">
        <v>1253</v>
      </c>
      <c r="BW58" s="243">
        <v>1133</v>
      </c>
      <c r="BX58" s="243">
        <v>1449</v>
      </c>
      <c r="BY58" s="243">
        <v>1083</v>
      </c>
      <c r="BZ58" s="243">
        <v>1147</v>
      </c>
      <c r="CA58" s="243">
        <v>1070</v>
      </c>
      <c r="CB58" s="243">
        <v>1127</v>
      </c>
      <c r="CC58" s="243">
        <v>1063</v>
      </c>
      <c r="CD58" s="243">
        <v>1102</v>
      </c>
      <c r="CE58" s="243">
        <v>1074</v>
      </c>
      <c r="CF58" s="243">
        <v>1114</v>
      </c>
      <c r="CG58" s="243">
        <v>1105</v>
      </c>
      <c r="CH58" s="243">
        <v>1170</v>
      </c>
      <c r="CI58" s="243">
        <v>1127</v>
      </c>
      <c r="CJ58" s="243">
        <v>1169</v>
      </c>
      <c r="CK58" s="243">
        <v>1080</v>
      </c>
      <c r="CL58" s="243">
        <v>1181</v>
      </c>
      <c r="CM58" s="243">
        <v>1089</v>
      </c>
      <c r="CN58" s="243">
        <v>1119</v>
      </c>
      <c r="CO58" s="243">
        <v>1101</v>
      </c>
      <c r="CP58" s="243">
        <v>1171</v>
      </c>
      <c r="CQ58" s="243">
        <v>1153</v>
      </c>
      <c r="CR58" s="243">
        <v>775</v>
      </c>
      <c r="CS58" s="243">
        <v>1152</v>
      </c>
      <c r="CT58" s="243">
        <v>1312</v>
      </c>
      <c r="CU58" s="243">
        <v>1254</v>
      </c>
      <c r="CV58" s="243">
        <v>1354</v>
      </c>
      <c r="CW58" s="243">
        <v>1261</v>
      </c>
      <c r="CX58" s="243">
        <v>1321</v>
      </c>
      <c r="CY58" s="243">
        <v>1288</v>
      </c>
      <c r="CZ58" s="243">
        <v>1294</v>
      </c>
      <c r="DA58" s="243">
        <v>1264</v>
      </c>
      <c r="DB58" s="243">
        <v>1275</v>
      </c>
      <c r="DC58" s="243">
        <v>1316</v>
      </c>
      <c r="DD58" s="243">
        <v>1372</v>
      </c>
      <c r="DE58" s="243">
        <v>1314</v>
      </c>
      <c r="DF58" s="243">
        <v>1364</v>
      </c>
      <c r="DG58" s="243">
        <v>1330</v>
      </c>
      <c r="DH58" s="243">
        <v>1346</v>
      </c>
      <c r="DI58" s="243">
        <v>1325</v>
      </c>
      <c r="DJ58" s="243">
        <v>1357</v>
      </c>
      <c r="DK58" s="243">
        <f t="shared" si="259"/>
        <v>1343.3</v>
      </c>
      <c r="DL58" s="243">
        <f t="shared" si="260"/>
        <v>1359.46</v>
      </c>
      <c r="DM58" s="243">
        <f t="shared" si="261"/>
        <v>1338.25</v>
      </c>
      <c r="DN58" s="243">
        <f t="shared" si="262"/>
        <v>1370.57</v>
      </c>
      <c r="DP58" s="271"/>
      <c r="DQ58" s="271"/>
      <c r="DR58" s="271"/>
      <c r="DS58" s="271"/>
      <c r="DT58" s="271"/>
      <c r="DU58" s="271"/>
      <c r="DV58" s="271"/>
      <c r="DW58" s="235"/>
      <c r="DX58" s="235"/>
      <c r="DY58" s="235"/>
      <c r="DZ58" s="235"/>
      <c r="EA58" s="235"/>
      <c r="EB58" s="235"/>
      <c r="EC58" s="235"/>
      <c r="ED58" s="235"/>
      <c r="EE58" s="235"/>
      <c r="EF58" s="235"/>
      <c r="EG58" s="235"/>
      <c r="EH58" s="235"/>
      <c r="EI58" s="235"/>
      <c r="EJ58" s="235"/>
      <c r="EK58" s="235"/>
      <c r="EL58" s="235"/>
      <c r="EM58" s="235">
        <f t="shared" si="204"/>
        <v>6483</v>
      </c>
      <c r="EN58" s="235">
        <f t="shared" si="226"/>
        <v>6269</v>
      </c>
      <c r="EO58" s="235">
        <f t="shared" ref="EO58:EQ58" si="282">+EN58*1.01</f>
        <v>6331.6900000000005</v>
      </c>
      <c r="EP58" s="235">
        <f t="shared" si="282"/>
        <v>6395.0069000000003</v>
      </c>
      <c r="EQ58" s="235">
        <f t="shared" si="282"/>
        <v>6458.9569690000008</v>
      </c>
      <c r="ER58" s="235">
        <f t="shared" si="23"/>
        <v>4463</v>
      </c>
      <c r="ES58" s="235">
        <f t="shared" si="264"/>
        <v>4557</v>
      </c>
      <c r="ET58" s="235">
        <f t="shared" si="265"/>
        <v>4480</v>
      </c>
      <c r="EU58" s="235">
        <f t="shared" si="266"/>
        <v>4392</v>
      </c>
      <c r="EV58" s="235">
        <f t="shared" si="267"/>
        <v>5190</v>
      </c>
      <c r="EW58" s="235">
        <f t="shared" si="268"/>
        <v>5121</v>
      </c>
      <c r="EX58" s="235">
        <f t="shared" si="269"/>
        <v>5172.21</v>
      </c>
      <c r="EY58" s="235">
        <f t="shared" si="270"/>
        <v>5223.9321</v>
      </c>
      <c r="EZ58" s="235">
        <f t="shared" si="271"/>
        <v>5276.171421</v>
      </c>
      <c r="FA58" s="235">
        <f t="shared" si="272"/>
        <v>5328.9331352099998</v>
      </c>
      <c r="FB58" s="235">
        <f t="shared" si="273"/>
        <v>5382.2224665620997</v>
      </c>
      <c r="FC58" s="235">
        <f t="shared" si="274"/>
        <v>5436.0446912277212</v>
      </c>
      <c r="FD58" s="235">
        <f t="shared" si="275"/>
        <v>5490.4051381399986</v>
      </c>
      <c r="FE58" s="235">
        <f t="shared" si="276"/>
        <v>5545.3091895213984</v>
      </c>
      <c r="FF58" s="235">
        <f t="shared" si="277"/>
        <v>5600.7622814166125</v>
      </c>
      <c r="FG58" s="235">
        <f t="shared" si="278"/>
        <v>5656.7699042307786</v>
      </c>
      <c r="FH58" s="235">
        <f t="shared" si="279"/>
        <v>5713.3376032730866</v>
      </c>
      <c r="FI58" s="235">
        <f t="shared" si="280"/>
        <v>5770.4709793058173</v>
      </c>
      <c r="FJ58" s="235">
        <f t="shared" si="281"/>
        <v>5828.1756890988754</v>
      </c>
      <c r="FM58"/>
    </row>
    <row r="59" spans="1:172" s="254" customFormat="1" ht="12.75" customHeight="1" x14ac:dyDescent="0.2">
      <c r="B59" t="s">
        <v>1117</v>
      </c>
      <c r="C59" s="243">
        <f>G59/1.1</f>
        <v>210.90909090909088</v>
      </c>
      <c r="D59" s="243">
        <f>H59/0.95</f>
        <v>229.47368421052633</v>
      </c>
      <c r="E59" s="243">
        <f>I59/1.08</f>
        <v>241.66666666666666</v>
      </c>
      <c r="F59" s="243">
        <f>177+74</f>
        <v>251</v>
      </c>
      <c r="G59" s="243">
        <f>166+66</f>
        <v>232</v>
      </c>
      <c r="H59" s="243">
        <f>146+72</f>
        <v>218</v>
      </c>
      <c r="I59" s="243">
        <f>198+63</f>
        <v>261</v>
      </c>
      <c r="J59" s="243">
        <f>195+92</f>
        <v>287</v>
      </c>
      <c r="K59" s="243">
        <f>184+76</f>
        <v>260</v>
      </c>
      <c r="L59" s="243">
        <f>168+78</f>
        <v>246</v>
      </c>
      <c r="M59" s="243">
        <f>192+71</f>
        <v>263</v>
      </c>
      <c r="N59" s="243">
        <f>177+97</f>
        <v>274</v>
      </c>
      <c r="O59" s="243">
        <v>233</v>
      </c>
      <c r="P59" s="243">
        <v>252</v>
      </c>
      <c r="Q59" s="243">
        <v>254</v>
      </c>
      <c r="R59" s="243">
        <v>249</v>
      </c>
      <c r="S59" s="243">
        <v>263</v>
      </c>
      <c r="T59" s="243">
        <v>266</v>
      </c>
      <c r="U59" s="243">
        <v>293</v>
      </c>
      <c r="V59" s="76">
        <v>285</v>
      </c>
      <c r="W59" s="76">
        <v>318</v>
      </c>
      <c r="X59" s="76">
        <v>353</v>
      </c>
      <c r="Y59" s="76">
        <v>324</v>
      </c>
      <c r="Z59" s="76">
        <v>347</v>
      </c>
      <c r="AA59" s="76">
        <v>348</v>
      </c>
      <c r="AB59" s="76">
        <v>330</v>
      </c>
      <c r="AC59" s="76">
        <v>362</v>
      </c>
      <c r="AD59" s="76">
        <v>387</v>
      </c>
      <c r="AE59" s="243">
        <v>400</v>
      </c>
      <c r="AF59" s="243">
        <v>420</v>
      </c>
      <c r="AG59" s="243">
        <v>420</v>
      </c>
      <c r="AH59" s="243">
        <v>461</v>
      </c>
      <c r="AI59" s="243">
        <v>501</v>
      </c>
      <c r="AJ59" s="243">
        <v>474</v>
      </c>
      <c r="AK59" s="243">
        <v>462</v>
      </c>
      <c r="AL59" s="243">
        <v>473</v>
      </c>
      <c r="AM59" s="243">
        <v>504</v>
      </c>
      <c r="AN59" s="243">
        <v>522</v>
      </c>
      <c r="AO59" s="243">
        <v>505</v>
      </c>
      <c r="AP59" s="243">
        <v>542</v>
      </c>
      <c r="AQ59" s="243">
        <v>549</v>
      </c>
      <c r="AR59" s="243">
        <v>596</v>
      </c>
      <c r="AS59" s="243">
        <v>585</v>
      </c>
      <c r="AT59" s="243">
        <v>643</v>
      </c>
      <c r="AU59" s="243">
        <v>615</v>
      </c>
      <c r="AV59" s="243">
        <v>674</v>
      </c>
      <c r="AW59" s="243">
        <v>667</v>
      </c>
      <c r="AX59" s="243">
        <v>579</v>
      </c>
      <c r="AY59" s="243">
        <v>541</v>
      </c>
      <c r="AZ59" s="243">
        <v>610</v>
      </c>
      <c r="BA59" s="243">
        <v>634</v>
      </c>
      <c r="BB59" s="243">
        <v>655</v>
      </c>
      <c r="BC59" s="243">
        <v>597</v>
      </c>
      <c r="BD59" s="243">
        <v>616</v>
      </c>
      <c r="BE59" s="243">
        <v>613</v>
      </c>
      <c r="BF59" s="243">
        <v>644</v>
      </c>
      <c r="BG59" s="243">
        <v>637</v>
      </c>
      <c r="BH59" s="243">
        <v>681</v>
      </c>
      <c r="BI59" s="243">
        <v>664</v>
      </c>
      <c r="BJ59" s="243">
        <v>670</v>
      </c>
      <c r="BK59" s="243">
        <v>670</v>
      </c>
      <c r="BL59" s="243">
        <v>673</v>
      </c>
      <c r="BM59" s="243">
        <v>629</v>
      </c>
      <c r="BN59" s="243">
        <v>644</v>
      </c>
      <c r="BO59" s="243">
        <v>600</v>
      </c>
      <c r="BP59" s="243">
        <v>589</v>
      </c>
      <c r="BQ59" s="243">
        <v>557</v>
      </c>
      <c r="BR59" s="243">
        <v>563</v>
      </c>
      <c r="BS59" s="243">
        <v>512</v>
      </c>
      <c r="BT59" s="243">
        <v>558</v>
      </c>
      <c r="BU59" s="243">
        <v>558</v>
      </c>
      <c r="BV59" s="243">
        <v>514</v>
      </c>
      <c r="BW59" s="243">
        <v>484</v>
      </c>
      <c r="BX59" s="243">
        <v>494</v>
      </c>
      <c r="BY59" s="243">
        <v>470</v>
      </c>
      <c r="BZ59" s="243">
        <v>480</v>
      </c>
      <c r="CA59" s="243">
        <v>429</v>
      </c>
      <c r="CB59" s="243">
        <v>471</v>
      </c>
      <c r="CC59" s="243">
        <v>427</v>
      </c>
      <c r="CD59" s="243">
        <v>462</v>
      </c>
      <c r="CE59" s="243">
        <v>399</v>
      </c>
      <c r="CF59" s="243">
        <v>421</v>
      </c>
      <c r="CG59" s="243">
        <v>405</v>
      </c>
      <c r="CH59" s="243">
        <v>390</v>
      </c>
      <c r="CI59" s="243">
        <v>339</v>
      </c>
      <c r="CJ59" s="243">
        <v>355</v>
      </c>
      <c r="CK59" s="243">
        <v>315</v>
      </c>
      <c r="CL59" s="243"/>
      <c r="CM59" s="243"/>
      <c r="CN59" s="243"/>
      <c r="CO59" s="243"/>
      <c r="CP59" s="243"/>
      <c r="CQ59" s="243"/>
      <c r="CR59" s="243"/>
      <c r="CS59" s="243"/>
      <c r="CT59" s="243"/>
      <c r="CU59" s="243"/>
      <c r="CV59" s="243"/>
      <c r="CW59" s="243"/>
      <c r="CX59" s="243"/>
      <c r="CY59" s="243"/>
      <c r="CZ59" s="243"/>
      <c r="DA59" s="243"/>
      <c r="DB59" s="243"/>
      <c r="DC59" s="243"/>
      <c r="DD59" s="243"/>
      <c r="DE59" s="243"/>
      <c r="DF59" s="243"/>
      <c r="DG59" s="243"/>
      <c r="DH59" s="243"/>
      <c r="DI59" s="243"/>
      <c r="DJ59" s="243"/>
      <c r="DK59" s="243"/>
      <c r="DL59" s="243"/>
      <c r="DM59" s="243"/>
      <c r="DN59" s="243"/>
      <c r="DP59" s="271"/>
      <c r="DQ59" s="271"/>
      <c r="DR59" s="271"/>
      <c r="DS59" s="271"/>
      <c r="DT59" s="271"/>
      <c r="DU59" s="271"/>
      <c r="DV59" s="271"/>
      <c r="DW59" s="235">
        <f>+DX59/1.15</f>
        <v>811.34734068372518</v>
      </c>
      <c r="DX59" s="235">
        <f>SUM(C59:F59)</f>
        <v>933.04944178628386</v>
      </c>
      <c r="DY59" s="235">
        <f>SUM(G59:J59)</f>
        <v>998</v>
      </c>
      <c r="DZ59" s="235">
        <f>SUM(K59:N59)</f>
        <v>1043</v>
      </c>
      <c r="EA59" s="235">
        <f t="shared" si="219"/>
        <v>988</v>
      </c>
      <c r="EB59" s="235">
        <f t="shared" si="220"/>
        <v>1107</v>
      </c>
      <c r="EC59" s="235">
        <f t="shared" si="221"/>
        <v>1342</v>
      </c>
      <c r="ED59" s="235">
        <f t="shared" si="222"/>
        <v>1427</v>
      </c>
      <c r="EE59" s="235">
        <f t="shared" si="223"/>
        <v>1701</v>
      </c>
      <c r="EF59" s="235">
        <f t="shared" si="224"/>
        <v>1910</v>
      </c>
      <c r="EG59" s="235">
        <f t="shared" si="199"/>
        <v>2073</v>
      </c>
      <c r="EH59" s="235">
        <f t="shared" si="200"/>
        <v>2373</v>
      </c>
      <c r="EI59" s="235">
        <f t="shared" si="201"/>
        <v>2535</v>
      </c>
      <c r="EJ59" s="235">
        <f t="shared" si="202"/>
        <v>2440</v>
      </c>
      <c r="EK59" s="235">
        <f t="shared" si="203"/>
        <v>2470</v>
      </c>
      <c r="EL59" s="235">
        <f t="shared" si="225"/>
        <v>2652</v>
      </c>
      <c r="EM59" s="235">
        <f t="shared" si="204"/>
        <v>2616</v>
      </c>
      <c r="EN59" s="235">
        <f t="shared" si="226"/>
        <v>2309</v>
      </c>
      <c r="EO59" s="235">
        <f>+EN59*0.995</f>
        <v>2297.4549999999999</v>
      </c>
      <c r="EP59" s="235">
        <f t="shared" ref="EP59:EQ59" si="283">+EO59*0.995</f>
        <v>2285.967725</v>
      </c>
      <c r="EQ59" s="235">
        <f t="shared" si="283"/>
        <v>2274.5378863749997</v>
      </c>
      <c r="ER59" s="235">
        <f t="shared" si="23"/>
        <v>1615</v>
      </c>
      <c r="ES59" s="235">
        <f t="shared" si="264"/>
        <v>1009</v>
      </c>
      <c r="ET59" s="235"/>
      <c r="EU59" s="235"/>
      <c r="EV59" s="235"/>
      <c r="EW59" s="235"/>
      <c r="EX59" s="235"/>
      <c r="EY59" s="235"/>
      <c r="EZ59" s="344"/>
      <c r="FA59" s="344"/>
      <c r="FB59" s="344"/>
      <c r="FC59" s="344"/>
      <c r="FD59" s="344"/>
      <c r="FE59" s="344"/>
      <c r="FF59" s="344"/>
      <c r="FG59" s="344"/>
      <c r="FH59" s="344"/>
      <c r="FI59" s="344"/>
      <c r="FJ59" s="344"/>
      <c r="FM59"/>
    </row>
    <row r="60" spans="1:172" s="254" customFormat="1" ht="12.75" customHeight="1" x14ac:dyDescent="0.2">
      <c r="B60" t="s">
        <v>1123</v>
      </c>
      <c r="C60" s="243">
        <f>G60/0.94</f>
        <v>255.31914893617022</v>
      </c>
      <c r="D60" s="243">
        <f>H60/0.92</f>
        <v>259.78260869565219</v>
      </c>
      <c r="E60" s="243">
        <f>I60/0.94</f>
        <v>238.29787234042556</v>
      </c>
      <c r="F60" s="243">
        <f>141+141</f>
        <v>282</v>
      </c>
      <c r="G60" s="243">
        <f>120+120</f>
        <v>240</v>
      </c>
      <c r="H60" s="243">
        <f>116+123</f>
        <v>239</v>
      </c>
      <c r="I60" s="243">
        <f>109+115</f>
        <v>224</v>
      </c>
      <c r="J60" s="243">
        <f>141+144</f>
        <v>285</v>
      </c>
      <c r="K60" s="243">
        <f>114+120</f>
        <v>234</v>
      </c>
      <c r="L60" s="243">
        <f>121+118</f>
        <v>239</v>
      </c>
      <c r="M60" s="243">
        <f>108+118</f>
        <v>226</v>
      </c>
      <c r="N60" s="243">
        <f>114+127</f>
        <v>241</v>
      </c>
      <c r="O60" s="243">
        <v>249</v>
      </c>
      <c r="P60" s="243">
        <v>250</v>
      </c>
      <c r="Q60" s="243">
        <v>238</v>
      </c>
      <c r="R60" s="243">
        <v>241</v>
      </c>
      <c r="S60" s="243">
        <v>263</v>
      </c>
      <c r="T60" s="243">
        <v>254</v>
      </c>
      <c r="U60" s="243">
        <v>254</v>
      </c>
      <c r="V60" s="76">
        <v>252</v>
      </c>
      <c r="W60" s="76">
        <v>269</v>
      </c>
      <c r="X60" s="76">
        <v>269</v>
      </c>
      <c r="Y60" s="76">
        <v>274</v>
      </c>
      <c r="Z60" s="76">
        <v>282</v>
      </c>
      <c r="AA60" s="76">
        <v>286</v>
      </c>
      <c r="AB60" s="76">
        <v>294</v>
      </c>
      <c r="AC60" s="76">
        <v>287</v>
      </c>
      <c r="AD60" s="76">
        <v>309</v>
      </c>
      <c r="AE60" s="243">
        <v>303</v>
      </c>
      <c r="AF60" s="243">
        <v>317</v>
      </c>
      <c r="AG60" s="243">
        <v>309</v>
      </c>
      <c r="AH60" s="243">
        <v>344</v>
      </c>
      <c r="AI60" s="243">
        <v>355</v>
      </c>
      <c r="AJ60" s="243">
        <v>366</v>
      </c>
      <c r="AK60" s="243">
        <v>343</v>
      </c>
      <c r="AL60" s="243">
        <v>344</v>
      </c>
      <c r="AM60" s="243">
        <v>370</v>
      </c>
      <c r="AN60" s="243">
        <v>368</v>
      </c>
      <c r="AO60" s="243">
        <v>360</v>
      </c>
      <c r="AP60" s="243">
        <v>390</v>
      </c>
      <c r="AQ60" s="243">
        <v>393</v>
      </c>
      <c r="AR60" s="243">
        <v>406</v>
      </c>
      <c r="AS60" s="243">
        <v>404</v>
      </c>
      <c r="AT60" s="243">
        <v>456</v>
      </c>
      <c r="AU60" s="243">
        <v>443</v>
      </c>
      <c r="AV60" s="243">
        <v>476</v>
      </c>
      <c r="AW60" s="243">
        <v>470</v>
      </c>
      <c r="AX60" s="243">
        <v>452</v>
      </c>
      <c r="AY60" s="243">
        <v>467</v>
      </c>
      <c r="AZ60" s="243">
        <v>494</v>
      </c>
      <c r="BA60" s="243">
        <v>501</v>
      </c>
      <c r="BB60" s="243">
        <v>501</v>
      </c>
      <c r="BC60" s="243">
        <v>525</v>
      </c>
      <c r="BD60" s="243">
        <v>494</v>
      </c>
      <c r="BE60" s="243">
        <v>498</v>
      </c>
      <c r="BF60" s="243">
        <v>536</v>
      </c>
      <c r="BG60" s="243">
        <v>521</v>
      </c>
      <c r="BH60" s="243">
        <v>550</v>
      </c>
      <c r="BI60" s="243">
        <v>539</v>
      </c>
      <c r="BJ60" s="243">
        <v>554</v>
      </c>
      <c r="BK60" s="243">
        <v>512</v>
      </c>
      <c r="BL60" s="243">
        <v>514</v>
      </c>
      <c r="BM60" s="243">
        <v>513</v>
      </c>
      <c r="BN60" s="243">
        <v>530</v>
      </c>
      <c r="BO60" s="243">
        <v>477</v>
      </c>
      <c r="BP60" s="243">
        <v>483</v>
      </c>
      <c r="BQ60" s="243">
        <v>459</v>
      </c>
      <c r="BR60" s="243">
        <v>466</v>
      </c>
      <c r="BS60" s="243">
        <v>443</v>
      </c>
      <c r="BT60" s="243">
        <v>461</v>
      </c>
      <c r="BU60" s="243">
        <v>44</v>
      </c>
      <c r="BV60" s="243">
        <v>14</v>
      </c>
      <c r="BW60" s="243">
        <v>30</v>
      </c>
      <c r="BX60" s="243">
        <v>16</v>
      </c>
      <c r="BY60" s="243">
        <v>16</v>
      </c>
      <c r="BZ60" s="243">
        <v>24</v>
      </c>
      <c r="CA60" s="243">
        <v>28</v>
      </c>
      <c r="CB60" s="243">
        <v>31</v>
      </c>
      <c r="CC60" s="243">
        <v>7</v>
      </c>
      <c r="CD60" s="243"/>
      <c r="CE60" s="243">
        <v>1</v>
      </c>
      <c r="CF60" s="243"/>
      <c r="CG60" s="243"/>
      <c r="CH60" s="243"/>
      <c r="CI60" s="243"/>
      <c r="CJ60" s="243"/>
      <c r="CK60" s="243"/>
      <c r="CL60" s="243"/>
      <c r="CM60" s="243"/>
      <c r="CN60" s="243"/>
      <c r="CO60" s="243"/>
      <c r="CP60" s="243"/>
      <c r="CQ60" s="243"/>
      <c r="CR60" s="243"/>
      <c r="CS60" s="243"/>
      <c r="CT60" s="243"/>
      <c r="CU60" s="243"/>
      <c r="CV60" s="243"/>
      <c r="CW60" s="243"/>
      <c r="CX60" s="243"/>
      <c r="CY60" s="243"/>
      <c r="CZ60" s="243"/>
      <c r="DA60" s="243"/>
      <c r="DB60" s="243"/>
      <c r="DC60" s="243"/>
      <c r="DD60" s="243"/>
      <c r="DE60" s="243"/>
      <c r="DF60" s="243"/>
      <c r="DG60" s="243"/>
      <c r="DH60" s="243"/>
      <c r="DI60" s="243"/>
      <c r="DJ60" s="243"/>
      <c r="DK60" s="243"/>
      <c r="DL60" s="243"/>
      <c r="DM60" s="243"/>
      <c r="DN60" s="243"/>
      <c r="DP60" s="271"/>
      <c r="DQ60" s="271"/>
      <c r="DR60" s="271"/>
      <c r="DS60" s="271"/>
      <c r="DT60" s="271"/>
      <c r="DU60" s="271"/>
      <c r="DV60" s="271"/>
      <c r="DW60" s="235">
        <f>+DX60/0.96</f>
        <v>1083.3333333333335</v>
      </c>
      <c r="DX60" s="235">
        <v>1040</v>
      </c>
      <c r="DY60" s="235">
        <f>SUM(G60:J60)</f>
        <v>988</v>
      </c>
      <c r="DZ60" s="235">
        <f>SUM(K60:N60)</f>
        <v>940</v>
      </c>
      <c r="EA60" s="235">
        <f t="shared" si="219"/>
        <v>978</v>
      </c>
      <c r="EB60" s="235">
        <f t="shared" si="220"/>
        <v>1023</v>
      </c>
      <c r="EC60" s="235">
        <f t="shared" si="221"/>
        <v>1094</v>
      </c>
      <c r="ED60" s="235">
        <f t="shared" si="222"/>
        <v>1176</v>
      </c>
      <c r="EE60" s="235">
        <f t="shared" si="223"/>
        <v>1273</v>
      </c>
      <c r="EF60" s="235">
        <f t="shared" si="224"/>
        <v>1408</v>
      </c>
      <c r="EG60" s="235">
        <f t="shared" si="199"/>
        <v>1488</v>
      </c>
      <c r="EH60" s="235">
        <f t="shared" si="200"/>
        <v>1659</v>
      </c>
      <c r="EI60" s="235">
        <f t="shared" si="201"/>
        <v>1841</v>
      </c>
      <c r="EJ60" s="235">
        <f t="shared" si="202"/>
        <v>1963</v>
      </c>
      <c r="EK60" s="235">
        <f t="shared" si="203"/>
        <v>2053</v>
      </c>
      <c r="EL60" s="235">
        <f t="shared" si="225"/>
        <v>2164</v>
      </c>
      <c r="EM60" s="235">
        <f t="shared" si="204"/>
        <v>2069</v>
      </c>
      <c r="EN60" s="235">
        <f t="shared" si="226"/>
        <v>1885</v>
      </c>
      <c r="EO60" s="235">
        <f>+EN60*0.995</f>
        <v>1875.575</v>
      </c>
      <c r="EP60" s="235">
        <f t="shared" ref="EP60:EQ60" si="284">+EO60*0.995</f>
        <v>1866.1971250000001</v>
      </c>
      <c r="EQ60" s="235">
        <f t="shared" si="284"/>
        <v>1856.8661393750001</v>
      </c>
      <c r="ER60" s="235">
        <f t="shared" si="23"/>
        <v>1</v>
      </c>
      <c r="ES60" s="235">
        <f t="shared" si="264"/>
        <v>0</v>
      </c>
      <c r="ET60" s="235"/>
      <c r="EU60" s="235"/>
      <c r="EV60" s="235"/>
      <c r="EW60" s="235"/>
      <c r="EX60" s="235"/>
      <c r="EY60" s="235"/>
      <c r="EZ60" s="344"/>
      <c r="FA60" s="344"/>
      <c r="FB60" s="344"/>
      <c r="FC60" s="344"/>
      <c r="FD60" s="344"/>
      <c r="FE60" s="344"/>
      <c r="FF60" s="344"/>
      <c r="FG60" s="344"/>
      <c r="FH60" s="344"/>
      <c r="FI60" s="344"/>
      <c r="FJ60" s="344"/>
      <c r="FM60"/>
    </row>
    <row r="61" spans="1:172" ht="12.75" customHeight="1" x14ac:dyDescent="0.2">
      <c r="B61" t="s">
        <v>334</v>
      </c>
      <c r="C61" s="243">
        <f>G61/1.03</f>
        <v>200.97087378640776</v>
      </c>
      <c r="D61" s="243">
        <f>H61/1</f>
        <v>210</v>
      </c>
      <c r="E61" s="243">
        <f>H61/0.95</f>
        <v>221.05263157894737</v>
      </c>
      <c r="F61" s="243">
        <f>99+107</f>
        <v>206</v>
      </c>
      <c r="G61" s="243">
        <f>100+107</f>
        <v>207</v>
      </c>
      <c r="H61" s="243">
        <f>94+116</f>
        <v>210</v>
      </c>
      <c r="I61" s="243">
        <f>95+122</f>
        <v>217</v>
      </c>
      <c r="J61" s="243">
        <f>92+128</f>
        <v>220</v>
      </c>
      <c r="K61" s="243">
        <v>221</v>
      </c>
      <c r="L61" s="243">
        <v>234</v>
      </c>
      <c r="M61" s="243">
        <v>249</v>
      </c>
      <c r="N61" s="243">
        <v>233</v>
      </c>
      <c r="O61" s="243">
        <v>242</v>
      </c>
      <c r="P61" s="243">
        <v>255</v>
      </c>
      <c r="Q61" s="243">
        <v>274</v>
      </c>
      <c r="R61" s="243">
        <v>260</v>
      </c>
      <c r="S61" s="243">
        <v>264</v>
      </c>
      <c r="T61" s="243">
        <v>265</v>
      </c>
      <c r="U61" s="243">
        <v>282</v>
      </c>
      <c r="V61" s="76">
        <v>252</v>
      </c>
      <c r="W61" s="76">
        <v>270</v>
      </c>
      <c r="X61" s="76">
        <v>288</v>
      </c>
      <c r="Y61" s="76">
        <v>312</v>
      </c>
      <c r="Z61" s="76">
        <v>298</v>
      </c>
      <c r="AA61" s="76">
        <v>300</v>
      </c>
      <c r="AB61" s="76">
        <v>317</v>
      </c>
      <c r="AC61" s="76">
        <v>342</v>
      </c>
      <c r="AD61" s="76">
        <v>339</v>
      </c>
      <c r="AE61" s="243">
        <v>354</v>
      </c>
      <c r="AF61" s="243">
        <v>377</v>
      </c>
      <c r="AG61" s="243">
        <v>392</v>
      </c>
      <c r="AH61" s="243">
        <v>407</v>
      </c>
      <c r="AI61" s="243">
        <v>407</v>
      </c>
      <c r="AJ61" s="243">
        <v>426</v>
      </c>
      <c r="AK61" s="243">
        <v>443</v>
      </c>
      <c r="AL61" s="243">
        <v>418</v>
      </c>
      <c r="AM61" s="243">
        <v>441</v>
      </c>
      <c r="AN61" s="243">
        <v>474</v>
      </c>
      <c r="AO61" s="243">
        <v>493</v>
      </c>
      <c r="AP61" s="243">
        <v>471</v>
      </c>
      <c r="AQ61" s="243">
        <v>513</v>
      </c>
      <c r="AR61" s="243">
        <v>553</v>
      </c>
      <c r="AS61" s="243">
        <v>577</v>
      </c>
      <c r="AT61" s="243">
        <v>566</v>
      </c>
      <c r="AU61" s="243">
        <v>607</v>
      </c>
      <c r="AV61" s="243">
        <v>639</v>
      </c>
      <c r="AW61" s="243">
        <v>652</v>
      </c>
      <c r="AX61" s="243">
        <v>602</v>
      </c>
      <c r="AY61" s="243">
        <v>599</v>
      </c>
      <c r="AZ61" s="243">
        <v>630</v>
      </c>
      <c r="BA61" s="243">
        <v>659</v>
      </c>
      <c r="BB61" s="243">
        <v>618</v>
      </c>
      <c r="BC61" s="243">
        <v>664</v>
      </c>
      <c r="BD61" s="243">
        <v>662</v>
      </c>
      <c r="BE61" s="243">
        <v>695</v>
      </c>
      <c r="BF61" s="243">
        <v>659</v>
      </c>
      <c r="BG61" s="243">
        <v>722</v>
      </c>
      <c r="BH61" s="243">
        <v>732</v>
      </c>
      <c r="BI61" s="243">
        <v>752</v>
      </c>
      <c r="BJ61" s="243">
        <v>710</v>
      </c>
      <c r="BK61" s="243">
        <v>757</v>
      </c>
      <c r="BL61" s="243">
        <v>730</v>
      </c>
      <c r="BM61" s="243">
        <v>764</v>
      </c>
      <c r="BN61" s="243">
        <v>745</v>
      </c>
      <c r="BO61" s="243">
        <v>740</v>
      </c>
      <c r="BP61" s="243">
        <v>730</v>
      </c>
      <c r="BQ61" s="243">
        <v>748</v>
      </c>
      <c r="BR61" s="243">
        <v>719</v>
      </c>
      <c r="BS61" s="243">
        <v>761</v>
      </c>
      <c r="BT61" s="243">
        <v>707</v>
      </c>
      <c r="BU61" s="243">
        <v>704</v>
      </c>
      <c r="BV61" s="243">
        <v>646</v>
      </c>
      <c r="BW61" s="243">
        <v>631</v>
      </c>
      <c r="BX61" s="243">
        <v>646</v>
      </c>
      <c r="BY61" s="243">
        <v>683</v>
      </c>
      <c r="BZ61" s="243">
        <v>648</v>
      </c>
      <c r="CA61" s="243">
        <v>640</v>
      </c>
      <c r="CB61" s="243">
        <v>685</v>
      </c>
      <c r="CC61" s="243">
        <v>739</v>
      </c>
      <c r="CD61" s="243">
        <v>721</v>
      </c>
      <c r="CE61" s="243">
        <v>798</v>
      </c>
      <c r="CF61" s="243">
        <v>1055</v>
      </c>
      <c r="CG61" s="243">
        <v>1091</v>
      </c>
      <c r="CH61" s="243">
        <f>800+319</f>
        <v>1119</v>
      </c>
      <c r="CI61" s="243">
        <v>1115</v>
      </c>
      <c r="CJ61" s="243">
        <v>1173</v>
      </c>
      <c r="CK61" s="243">
        <v>1132</v>
      </c>
      <c r="CL61" s="243">
        <v>1133</v>
      </c>
      <c r="CM61" s="243">
        <v>1129</v>
      </c>
      <c r="CN61" s="243">
        <v>1161</v>
      </c>
      <c r="CO61" s="243">
        <v>1193</v>
      </c>
      <c r="CP61" s="243">
        <v>1141</v>
      </c>
      <c r="CQ61" s="243">
        <v>1067</v>
      </c>
      <c r="CR61" s="243">
        <v>695</v>
      </c>
      <c r="CS61" s="243">
        <v>1081</v>
      </c>
      <c r="CT61" s="243">
        <v>1076</v>
      </c>
      <c r="CU61" s="243">
        <v>1145</v>
      </c>
      <c r="CV61" s="243">
        <v>1183</v>
      </c>
      <c r="CW61" s="243">
        <v>1189</v>
      </c>
      <c r="CX61" s="243">
        <v>1171</v>
      </c>
      <c r="CY61" s="243">
        <v>1257</v>
      </c>
      <c r="CZ61" s="243">
        <v>1241</v>
      </c>
      <c r="DA61" s="243">
        <v>1206</v>
      </c>
      <c r="DB61" s="243">
        <v>1145</v>
      </c>
      <c r="DC61" s="243">
        <v>1300</v>
      </c>
      <c r="DD61" s="243">
        <v>1308</v>
      </c>
      <c r="DE61" s="243">
        <v>1256</v>
      </c>
      <c r="DF61" s="243">
        <v>1208</v>
      </c>
      <c r="DG61" s="243">
        <v>1258</v>
      </c>
      <c r="DH61" s="243">
        <v>1285</v>
      </c>
      <c r="DI61" s="243">
        <v>1300</v>
      </c>
      <c r="DJ61" s="243">
        <v>1303</v>
      </c>
      <c r="DK61" s="243">
        <f t="shared" ref="DK61" si="285">+DG61*1.01</f>
        <v>1270.58</v>
      </c>
      <c r="DL61" s="243">
        <f t="shared" ref="DL61" si="286">+DH61*1.01</f>
        <v>1297.8499999999999</v>
      </c>
      <c r="DM61" s="243">
        <f t="shared" ref="DM61" si="287">+DI61*1.01</f>
        <v>1313</v>
      </c>
      <c r="DN61" s="243">
        <f t="shared" ref="DN61" si="288">+DJ61*1.01</f>
        <v>1316.03</v>
      </c>
      <c r="DP61" s="271"/>
      <c r="DQ61" s="271"/>
      <c r="DR61" s="271"/>
      <c r="DS61" s="271"/>
      <c r="DT61" s="271"/>
      <c r="DU61" s="271"/>
      <c r="DV61" s="271"/>
      <c r="DW61" s="235">
        <f>+DX61/1.17</f>
        <v>723.07692307692309</v>
      </c>
      <c r="DX61" s="235">
        <f>427+419</f>
        <v>846</v>
      </c>
      <c r="DY61" s="235">
        <f>SUM(G61:J61)</f>
        <v>854</v>
      </c>
      <c r="DZ61" s="235">
        <v>953</v>
      </c>
      <c r="EA61" s="235">
        <f t="shared" si="219"/>
        <v>1031</v>
      </c>
      <c r="EB61" s="235">
        <f t="shared" si="220"/>
        <v>1063</v>
      </c>
      <c r="EC61" s="235">
        <f t="shared" si="221"/>
        <v>1168</v>
      </c>
      <c r="ED61" s="235">
        <f t="shared" si="222"/>
        <v>1298</v>
      </c>
      <c r="EE61" s="235">
        <f t="shared" si="223"/>
        <v>1530</v>
      </c>
      <c r="EF61" s="235">
        <f t="shared" si="224"/>
        <v>1694</v>
      </c>
      <c r="EG61" s="235">
        <f t="shared" si="199"/>
        <v>1879</v>
      </c>
      <c r="EH61" s="235">
        <f t="shared" si="200"/>
        <v>2209</v>
      </c>
      <c r="EI61" s="235">
        <f t="shared" si="201"/>
        <v>2500</v>
      </c>
      <c r="EJ61" s="235">
        <f t="shared" si="202"/>
        <v>2506</v>
      </c>
      <c r="EK61" s="235">
        <f t="shared" si="203"/>
        <v>2680</v>
      </c>
      <c r="EL61" s="235">
        <f>SUM(BG61:BJ61)</f>
        <v>2916</v>
      </c>
      <c r="EM61" s="235">
        <f>SUM(BK61:BN61)</f>
        <v>2996</v>
      </c>
      <c r="EN61" s="235">
        <f t="shared" si="226"/>
        <v>2937</v>
      </c>
      <c r="EO61" s="235">
        <f>+EN61*0.995</f>
        <v>2922.3150000000001</v>
      </c>
      <c r="EP61" s="235">
        <f t="shared" ref="EP61:EY61" si="289">+EO61*0.995</f>
        <v>2907.7034250000002</v>
      </c>
      <c r="EQ61" s="235">
        <f t="shared" si="289"/>
        <v>2893.1649078750002</v>
      </c>
      <c r="ER61" s="235">
        <f t="shared" si="23"/>
        <v>4063</v>
      </c>
      <c r="ES61" s="235">
        <f t="shared" si="264"/>
        <v>4553</v>
      </c>
      <c r="ET61" s="235">
        <f t="shared" si="265"/>
        <v>4624</v>
      </c>
      <c r="EU61" s="235">
        <f t="shared" si="266"/>
        <v>3919</v>
      </c>
      <c r="EV61" s="235">
        <f t="shared" si="267"/>
        <v>4688</v>
      </c>
      <c r="EW61" s="235">
        <f>SUM(CY61:DB61)</f>
        <v>4849</v>
      </c>
      <c r="EX61" s="235">
        <f t="shared" si="289"/>
        <v>4824.7550000000001</v>
      </c>
      <c r="EY61" s="235">
        <f t="shared" si="289"/>
        <v>4800.6312250000001</v>
      </c>
      <c r="EZ61" s="235">
        <f t="shared" ref="EZ61" si="290">+EY61*0.995</f>
        <v>4776.6280688750003</v>
      </c>
      <c r="FA61" s="235">
        <f t="shared" ref="FA61" si="291">+EZ61*0.995</f>
        <v>4752.7449285306257</v>
      </c>
      <c r="FB61" s="235">
        <f t="shared" ref="FB61" si="292">+FA61*0.995</f>
        <v>4728.9812038879727</v>
      </c>
      <c r="FC61" s="235">
        <f t="shared" ref="FC61" si="293">+FB61*0.995</f>
        <v>4705.3362978685327</v>
      </c>
      <c r="FD61" s="235">
        <f t="shared" ref="FD61" si="294">+FC61*0.995</f>
        <v>4681.8096163791897</v>
      </c>
      <c r="FE61" s="235">
        <f t="shared" ref="FE61" si="295">+FD61*0.995</f>
        <v>4658.4005682972938</v>
      </c>
      <c r="FF61" s="235">
        <f t="shared" ref="FF61" si="296">+FE61*0.995</f>
        <v>4635.1085654558074</v>
      </c>
      <c r="FG61" s="235">
        <f t="shared" ref="FG61" si="297">+FF61*0.995</f>
        <v>4611.9330226285283</v>
      </c>
      <c r="FH61" s="235">
        <f t="shared" ref="FH61" si="298">+FG61*0.995</f>
        <v>4588.8733575153856</v>
      </c>
      <c r="FI61" s="235">
        <f t="shared" ref="FI61" si="299">+FH61*0.995</f>
        <v>4565.9289907278089</v>
      </c>
      <c r="FJ61" s="235">
        <f t="shared" ref="FJ61" si="300">+FI61*0.995</f>
        <v>4543.0993457741697</v>
      </c>
      <c r="FP61" s="3"/>
    </row>
    <row r="62" spans="1:172" ht="12.75" customHeight="1" x14ac:dyDescent="0.2">
      <c r="B62" t="s">
        <v>335</v>
      </c>
      <c r="C62" s="243"/>
      <c r="D62" s="243"/>
      <c r="E62" s="243"/>
      <c r="F62" s="243"/>
      <c r="G62" s="243"/>
      <c r="H62" s="243"/>
      <c r="I62" s="243"/>
      <c r="J62" s="243"/>
      <c r="K62" s="243">
        <v>161</v>
      </c>
      <c r="L62" s="243">
        <v>168</v>
      </c>
      <c r="M62" s="243">
        <v>161</v>
      </c>
      <c r="N62" s="243">
        <v>214</v>
      </c>
      <c r="O62" s="243">
        <v>153</v>
      </c>
      <c r="P62" s="243">
        <v>146</v>
      </c>
      <c r="Q62" s="243">
        <v>154</v>
      </c>
      <c r="R62" s="243">
        <v>144</v>
      </c>
      <c r="S62" s="243">
        <v>141</v>
      </c>
      <c r="T62" s="243">
        <v>131</v>
      </c>
      <c r="U62" s="243">
        <v>99</v>
      </c>
      <c r="V62" s="76">
        <v>18</v>
      </c>
      <c r="W62" s="76">
        <v>30</v>
      </c>
      <c r="X62" s="76">
        <v>33</v>
      </c>
      <c r="Y62" s="76">
        <v>35</v>
      </c>
      <c r="Z62" s="76">
        <v>26</v>
      </c>
      <c r="AA62" s="76">
        <v>19</v>
      </c>
      <c r="AB62" s="76">
        <v>19</v>
      </c>
      <c r="AC62" s="76">
        <v>17</v>
      </c>
      <c r="AD62" s="76">
        <v>18</v>
      </c>
      <c r="AE62" s="243">
        <f>4136-SUM(AE50:AE61)</f>
        <v>17</v>
      </c>
      <c r="AF62" s="243">
        <f>4057-SUM(AF50:AF61)</f>
        <v>14</v>
      </c>
      <c r="AG62" s="243">
        <f>4044-SUM(AG50:AG61)</f>
        <v>18</v>
      </c>
      <c r="AH62" s="243">
        <f>4650-SUM(AH50:AH61)</f>
        <v>16</v>
      </c>
      <c r="AI62" s="243">
        <f>4797-SUM(AI50:AI61)</f>
        <v>18</v>
      </c>
      <c r="AJ62" s="243">
        <f>4856-SUM(AJ50:AJ61)</f>
        <v>13</v>
      </c>
      <c r="AK62" s="243">
        <f>4622-SUM(AK50:AK61)</f>
        <v>15</v>
      </c>
      <c r="AL62" s="243">
        <f>4821-SUM(AL50:AL61)</f>
        <v>12</v>
      </c>
      <c r="AM62" s="243">
        <f>5011-SUM(AM50:AM61)</f>
        <v>14</v>
      </c>
      <c r="AN62" s="243">
        <f>5155-SUM(AN50:AN61)</f>
        <v>15</v>
      </c>
      <c r="AO62" s="243">
        <f>4950-SUM(AO50:AO61)</f>
        <v>16</v>
      </c>
      <c r="AP62" s="243">
        <f>5167-SUM(AP50:AP61)</f>
        <v>16</v>
      </c>
      <c r="AQ62" s="243">
        <f>5320-SUM(AQ50:AQ61)</f>
        <v>19</v>
      </c>
      <c r="AR62" s="243">
        <f>5418-SUM(AR50:AR61)</f>
        <v>18</v>
      </c>
      <c r="AS62" s="243">
        <f>5248-SUM(AS50:AS61)</f>
        <v>20</v>
      </c>
      <c r="AT62" s="243"/>
      <c r="AU62" s="243"/>
      <c r="AV62" s="243"/>
      <c r="AW62" s="243"/>
      <c r="AX62" s="243"/>
      <c r="AY62" s="243"/>
      <c r="AZ62" s="243"/>
      <c r="BA62" s="243"/>
      <c r="BB62" s="243"/>
      <c r="BC62" s="243"/>
      <c r="BD62" s="243"/>
      <c r="BE62" s="243"/>
      <c r="BF62" s="243"/>
      <c r="BG62" s="243"/>
      <c r="BH62" s="243"/>
      <c r="BI62" s="243"/>
      <c r="BJ62" s="243"/>
      <c r="BK62" s="243"/>
      <c r="BL62" s="243"/>
      <c r="BM62" s="243"/>
      <c r="BN62" s="243"/>
      <c r="BO62" s="243"/>
      <c r="BP62" s="243"/>
      <c r="BQ62" s="243"/>
      <c r="BR62" s="243"/>
      <c r="BS62" s="243"/>
      <c r="BT62" s="243"/>
      <c r="BU62" s="243"/>
      <c r="BV62" s="243"/>
      <c r="BW62" s="243"/>
      <c r="BX62" s="243"/>
      <c r="BY62" s="243"/>
      <c r="BZ62" s="243"/>
      <c r="CA62" s="243"/>
      <c r="CB62" s="243"/>
      <c r="CC62" s="243"/>
      <c r="CD62" s="243"/>
      <c r="CE62" s="243"/>
      <c r="CF62" s="243"/>
      <c r="CG62" s="243"/>
      <c r="CH62" s="243"/>
      <c r="CI62" s="243"/>
      <c r="CJ62" s="243"/>
      <c r="CK62" s="243"/>
      <c r="CL62" s="243"/>
      <c r="CM62" s="243"/>
      <c r="CN62" s="243"/>
      <c r="CO62" s="243"/>
      <c r="CP62" s="243"/>
      <c r="CQ62" s="243"/>
      <c r="CR62" s="243"/>
      <c r="CS62" s="243"/>
      <c r="CT62" s="243"/>
      <c r="CU62" s="243"/>
      <c r="CV62" s="243"/>
      <c r="CW62" s="243"/>
      <c r="CX62" s="243"/>
      <c r="CY62" s="243"/>
      <c r="CZ62" s="243"/>
      <c r="DA62" s="243"/>
      <c r="DB62" s="243"/>
      <c r="DC62" s="243"/>
      <c r="DD62" s="243"/>
      <c r="DE62" s="243"/>
      <c r="DF62" s="243"/>
      <c r="DG62" s="243"/>
      <c r="DH62" s="243"/>
      <c r="DI62" s="243"/>
      <c r="DJ62" s="243"/>
      <c r="DK62" s="243"/>
      <c r="DL62" s="243"/>
      <c r="DM62" s="243"/>
      <c r="DN62" s="243"/>
      <c r="DP62" s="271"/>
      <c r="DQ62" s="271"/>
      <c r="DR62" s="271"/>
      <c r="DS62" s="271"/>
      <c r="DT62" s="271"/>
      <c r="DU62" s="271"/>
      <c r="DV62" s="271"/>
      <c r="DW62" s="271"/>
      <c r="DX62" s="271"/>
      <c r="DY62" s="235">
        <f>1011+77</f>
        <v>1088</v>
      </c>
      <c r="DZ62" s="235">
        <v>1071</v>
      </c>
      <c r="EA62" s="235">
        <f t="shared" si="219"/>
        <v>597</v>
      </c>
      <c r="EB62" s="235">
        <f t="shared" si="220"/>
        <v>389</v>
      </c>
      <c r="EC62" s="235">
        <f t="shared" si="221"/>
        <v>124</v>
      </c>
      <c r="ED62" s="235">
        <f t="shared" si="222"/>
        <v>73</v>
      </c>
      <c r="EE62" s="235">
        <f t="shared" si="223"/>
        <v>65</v>
      </c>
      <c r="EF62" s="235">
        <f t="shared" si="224"/>
        <v>58</v>
      </c>
      <c r="EG62" s="235">
        <f t="shared" si="199"/>
        <v>61</v>
      </c>
      <c r="EH62" s="235">
        <f t="shared" si="200"/>
        <v>57</v>
      </c>
      <c r="EI62" s="235"/>
      <c r="EJ62" s="235"/>
      <c r="EK62" s="235"/>
      <c r="EL62" s="235"/>
      <c r="EM62" s="235"/>
      <c r="EN62" s="235"/>
      <c r="EO62" s="235"/>
      <c r="EP62" s="235"/>
      <c r="EQ62" s="235"/>
      <c r="ER62" s="235">
        <f t="shared" si="23"/>
        <v>0</v>
      </c>
      <c r="ES62" s="235"/>
      <c r="ET62" s="235"/>
      <c r="EU62" s="235"/>
      <c r="EV62" s="235"/>
      <c r="EW62" s="235"/>
      <c r="EX62" s="235"/>
      <c r="EY62" s="235"/>
      <c r="EZ62" s="344"/>
      <c r="FA62" s="344"/>
      <c r="FB62" s="344"/>
      <c r="FC62" s="344"/>
      <c r="FD62" s="344"/>
      <c r="FE62" s="344"/>
      <c r="FF62" s="344"/>
      <c r="FG62" s="344"/>
      <c r="FH62" s="344"/>
      <c r="FI62" s="344"/>
      <c r="FJ62" s="344"/>
    </row>
    <row r="63" spans="1:172" s="275" customFormat="1" ht="12.75" customHeight="1" x14ac:dyDescent="0.2">
      <c r="A63"/>
      <c r="B63" t="s">
        <v>231</v>
      </c>
      <c r="C63" s="243"/>
      <c r="D63" s="243"/>
      <c r="E63" s="243"/>
      <c r="F63" s="243"/>
      <c r="G63" s="243"/>
      <c r="H63" s="243"/>
      <c r="I63" s="243"/>
      <c r="J63" s="243"/>
      <c r="K63" s="243">
        <v>1728</v>
      </c>
      <c r="L63" s="243">
        <v>1687</v>
      </c>
      <c r="M63" s="243">
        <v>1704</v>
      </c>
      <c r="N63" s="243">
        <v>1744</v>
      </c>
      <c r="O63" s="243">
        <v>1752</v>
      </c>
      <c r="P63" s="243">
        <v>1707</v>
      </c>
      <c r="Q63" s="243">
        <v>1722</v>
      </c>
      <c r="R63" s="243">
        <v>1723</v>
      </c>
      <c r="S63" s="243">
        <v>1785</v>
      </c>
      <c r="T63" s="243">
        <v>1684</v>
      </c>
      <c r="U63" s="243">
        <v>1777</v>
      </c>
      <c r="V63" s="243">
        <v>1551</v>
      </c>
      <c r="W63" s="243">
        <v>1604</v>
      </c>
      <c r="X63" s="243">
        <v>1648</v>
      </c>
      <c r="Y63" s="243">
        <v>1661</v>
      </c>
      <c r="Z63" s="243">
        <v>1652</v>
      </c>
      <c r="AA63" s="243">
        <v>1791</v>
      </c>
      <c r="AB63" s="243">
        <v>1819</v>
      </c>
      <c r="AC63" s="243">
        <v>1841</v>
      </c>
      <c r="AD63" s="243">
        <v>1979</v>
      </c>
      <c r="AE63" s="243">
        <v>2047</v>
      </c>
      <c r="AF63" s="243">
        <v>2000</v>
      </c>
      <c r="AG63" s="243">
        <v>2024</v>
      </c>
      <c r="AH63" s="243">
        <v>2262</v>
      </c>
      <c r="AI63" s="243">
        <v>2280</v>
      </c>
      <c r="AJ63" s="243">
        <v>2278</v>
      </c>
      <c r="AK63" s="243">
        <v>2231</v>
      </c>
      <c r="AL63" s="243">
        <v>2307</v>
      </c>
      <c r="AM63" s="243">
        <v>2355</v>
      </c>
      <c r="AN63" s="243">
        <v>2398</v>
      </c>
      <c r="AO63" s="243">
        <v>2456</v>
      </c>
      <c r="AP63" s="243">
        <v>2565</v>
      </c>
      <c r="AQ63" s="243">
        <v>3496</v>
      </c>
      <c r="AR63" s="243">
        <v>3564</v>
      </c>
      <c r="AS63" s="243">
        <v>3623</v>
      </c>
      <c r="AT63" s="243">
        <v>3810</v>
      </c>
      <c r="AU63" s="243">
        <v>4064</v>
      </c>
      <c r="AV63" s="243">
        <v>4036</v>
      </c>
      <c r="AW63" s="243">
        <v>4099</v>
      </c>
      <c r="AX63" s="243">
        <v>3855</v>
      </c>
      <c r="AY63" s="243">
        <v>3711</v>
      </c>
      <c r="AZ63" s="243">
        <v>3854</v>
      </c>
      <c r="BA63" s="243">
        <v>3989</v>
      </c>
      <c r="BB63" s="243">
        <v>4249</v>
      </c>
      <c r="BC63" s="243">
        <v>3766</v>
      </c>
      <c r="BD63" s="243">
        <v>3647</v>
      </c>
      <c r="BE63" s="243">
        <v>3567</v>
      </c>
      <c r="BF63" s="243">
        <v>3610</v>
      </c>
      <c r="BG63" s="243">
        <v>3682</v>
      </c>
      <c r="BH63" s="243">
        <v>3793</v>
      </c>
      <c r="BI63" s="243">
        <v>3740</v>
      </c>
      <c r="BJ63" s="243">
        <v>3668</v>
      </c>
      <c r="BK63" s="243">
        <v>3595</v>
      </c>
      <c r="BL63" s="243">
        <v>3619</v>
      </c>
      <c r="BM63" s="243">
        <v>3581</v>
      </c>
      <c r="BN63" s="243">
        <v>3652</v>
      </c>
      <c r="BO63" s="243">
        <v>3675</v>
      </c>
      <c r="BP63" s="243">
        <v>3658</v>
      </c>
      <c r="BQ63" s="243">
        <v>3611</v>
      </c>
      <c r="BR63" s="243">
        <v>3753</v>
      </c>
      <c r="BS63" s="243">
        <v>3557</v>
      </c>
      <c r="BT63" s="243">
        <v>3744</v>
      </c>
      <c r="BU63" s="243">
        <v>3589</v>
      </c>
      <c r="BV63" s="243">
        <v>3606</v>
      </c>
      <c r="BW63" s="243">
        <v>3390</v>
      </c>
      <c r="BX63" s="243">
        <v>3483</v>
      </c>
      <c r="BY63" s="243">
        <v>3314</v>
      </c>
      <c r="BZ63" s="243">
        <v>3320</v>
      </c>
      <c r="CA63" s="243">
        <v>3195</v>
      </c>
      <c r="CB63" s="243">
        <v>3419</v>
      </c>
      <c r="CC63" s="243">
        <v>3261</v>
      </c>
      <c r="CD63" s="243">
        <v>3432</v>
      </c>
      <c r="CE63" s="243">
        <v>3228</v>
      </c>
      <c r="CF63" s="243">
        <v>3478</v>
      </c>
      <c r="CG63" s="243">
        <v>3356</v>
      </c>
      <c r="CH63" s="243">
        <v>3540</v>
      </c>
      <c r="CI63" s="243">
        <v>3398</v>
      </c>
      <c r="CJ63" s="243">
        <v>3504</v>
      </c>
      <c r="CK63" s="243">
        <v>3415</v>
      </c>
      <c r="CL63" s="243">
        <v>3536</v>
      </c>
      <c r="CM63" s="243">
        <v>3318</v>
      </c>
      <c r="CN63" s="243">
        <v>3544</v>
      </c>
      <c r="CO63" s="243">
        <v>3469</v>
      </c>
      <c r="CP63" s="243">
        <v>3567</v>
      </c>
      <c r="CQ63" s="243">
        <v>3625</v>
      </c>
      <c r="CR63" s="243">
        <v>3296</v>
      </c>
      <c r="CS63" s="243">
        <v>3514</v>
      </c>
      <c r="CT63" s="243">
        <v>3618</v>
      </c>
      <c r="CU63" s="243">
        <v>3641</v>
      </c>
      <c r="CV63" s="243">
        <v>3854</v>
      </c>
      <c r="CW63" s="243">
        <v>3700</v>
      </c>
      <c r="CX63" s="243">
        <v>3728</v>
      </c>
      <c r="CY63" s="243">
        <v>3586</v>
      </c>
      <c r="CZ63" s="243">
        <v>3805</v>
      </c>
      <c r="DA63" s="243">
        <v>3795</v>
      </c>
      <c r="DB63" s="243">
        <v>3767</v>
      </c>
      <c r="DC63" s="237" t="s">
        <v>1947</v>
      </c>
      <c r="DD63" s="243">
        <v>4011</v>
      </c>
      <c r="DE63" s="243"/>
      <c r="DF63" s="243"/>
      <c r="DG63" s="243"/>
      <c r="DH63" s="243"/>
      <c r="DI63" s="243"/>
      <c r="DJ63" s="243"/>
      <c r="DK63" s="243"/>
      <c r="DL63" s="243"/>
      <c r="DM63" s="243"/>
      <c r="DN63" s="243"/>
      <c r="DP63" s="276"/>
      <c r="DQ63" s="276"/>
      <c r="DR63" s="276"/>
      <c r="DS63" s="243">
        <v>4780</v>
      </c>
      <c r="DT63" s="243">
        <v>4824</v>
      </c>
      <c r="DU63" s="243">
        <v>5251</v>
      </c>
      <c r="DV63" s="243">
        <v>5831</v>
      </c>
      <c r="DW63" s="243">
        <v>6364</v>
      </c>
      <c r="DX63" s="243">
        <v>6498</v>
      </c>
      <c r="DY63" s="243">
        <v>6526</v>
      </c>
      <c r="DZ63" s="243">
        <v>6864</v>
      </c>
      <c r="EA63" s="243">
        <v>6904</v>
      </c>
      <c r="EB63" s="243">
        <v>6962</v>
      </c>
      <c r="EC63" s="243">
        <v>6563.9</v>
      </c>
      <c r="ED63" s="235">
        <f t="shared" si="222"/>
        <v>7430</v>
      </c>
      <c r="EE63" s="235">
        <f t="shared" si="223"/>
        <v>8333</v>
      </c>
      <c r="EF63" s="235">
        <f t="shared" si="224"/>
        <v>9096</v>
      </c>
      <c r="EG63" s="235">
        <f t="shared" si="199"/>
        <v>9774</v>
      </c>
      <c r="EH63" s="235">
        <f t="shared" si="200"/>
        <v>14493</v>
      </c>
      <c r="EI63" s="235">
        <f>SUM(AU63:AX63)</f>
        <v>16054</v>
      </c>
      <c r="EJ63" s="235">
        <f>SUM(AY63:BB63)</f>
        <v>15803</v>
      </c>
      <c r="EK63" s="243">
        <f>SUM(BC63:BF63)</f>
        <v>14590</v>
      </c>
      <c r="EL63" s="235">
        <f t="shared" si="225"/>
        <v>14883</v>
      </c>
      <c r="EM63" s="235">
        <f t="shared" si="204"/>
        <v>14447</v>
      </c>
      <c r="EN63" s="235">
        <f>SUM(BO63:BR63)</f>
        <v>14697</v>
      </c>
      <c r="EO63" s="243">
        <f t="shared" ref="EO63:EQ63" si="301">EN63*1.02</f>
        <v>14990.94</v>
      </c>
      <c r="EP63" s="243">
        <f t="shared" si="301"/>
        <v>15290.758800000001</v>
      </c>
      <c r="EQ63" s="243">
        <f t="shared" si="301"/>
        <v>15596.573976000001</v>
      </c>
      <c r="ER63" s="235">
        <f t="shared" si="23"/>
        <v>13602</v>
      </c>
      <c r="ES63" s="235">
        <f t="shared" ref="ES63:ES68" si="302">SUM(CI63:CL63)</f>
        <v>13853</v>
      </c>
      <c r="ET63" s="235">
        <f t="shared" ref="ET63:ET71" si="303">SUM(CM63:CP63)</f>
        <v>13898</v>
      </c>
      <c r="EU63" s="235">
        <f t="shared" ref="EU63:EU68" si="304">SUM(CQ63:CT63)</f>
        <v>14053</v>
      </c>
      <c r="EV63" s="235">
        <f>SUM(CU63:CX63)</f>
        <v>14923</v>
      </c>
      <c r="EW63" s="235">
        <f>SUM(CY63:DB63)</f>
        <v>14953</v>
      </c>
      <c r="EX63" s="243">
        <f t="shared" ref="EX63" si="305">EW63*1.02</f>
        <v>15252.06</v>
      </c>
      <c r="EY63" s="243">
        <f t="shared" ref="EY63" si="306">EX63*1.02</f>
        <v>15557.101199999999</v>
      </c>
      <c r="EZ63" s="339"/>
      <c r="FA63" s="339"/>
      <c r="FB63" s="339"/>
      <c r="FC63" s="339"/>
      <c r="FD63" s="339"/>
      <c r="FE63" s="339"/>
      <c r="FF63" s="339"/>
      <c r="FG63" s="339"/>
      <c r="FH63" s="339"/>
      <c r="FI63" s="339"/>
      <c r="FJ63" s="339"/>
      <c r="FO63" s="277"/>
      <c r="FP63" s="277"/>
    </row>
    <row r="64" spans="1:172" s="279" customFormat="1" ht="12.75" customHeight="1" x14ac:dyDescent="0.2">
      <c r="A64" s="1"/>
      <c r="B64" s="1" t="s">
        <v>1362</v>
      </c>
      <c r="C64" s="239">
        <v>5715</v>
      </c>
      <c r="D64" s="239">
        <v>5698</v>
      </c>
      <c r="E64" s="239">
        <v>5586</v>
      </c>
      <c r="F64" s="239">
        <v>5630</v>
      </c>
      <c r="G64" s="239">
        <v>5783</v>
      </c>
      <c r="H64" s="239">
        <v>5783</v>
      </c>
      <c r="I64" s="239">
        <v>5724</v>
      </c>
      <c r="J64" s="239">
        <v>6367</v>
      </c>
      <c r="K64" s="239">
        <v>6638</v>
      </c>
      <c r="L64" s="239">
        <v>6854</v>
      </c>
      <c r="M64" s="239">
        <v>6749</v>
      </c>
      <c r="N64" s="239">
        <v>6877</v>
      </c>
      <c r="O64" s="239">
        <v>7319</v>
      </c>
      <c r="P64" s="239">
        <v>7508</v>
      </c>
      <c r="Q64" s="239">
        <v>7204</v>
      </c>
      <c r="R64" s="239">
        <v>7108</v>
      </c>
      <c r="S64" s="239">
        <v>7791</v>
      </c>
      <c r="T64" s="239">
        <v>8342</v>
      </c>
      <c r="U64" s="239">
        <v>8238</v>
      </c>
      <c r="V64" s="239">
        <v>8403</v>
      </c>
      <c r="W64" s="239">
        <v>8743</v>
      </c>
      <c r="X64" s="239">
        <v>9073</v>
      </c>
      <c r="Y64" s="239">
        <v>9079</v>
      </c>
      <c r="Z64" s="239">
        <v>9403</v>
      </c>
      <c r="AA64" s="239">
        <f t="shared" ref="AA64:BH64" si="307">SUM(AA3:AA63)</f>
        <v>9822</v>
      </c>
      <c r="AB64" s="239">
        <f t="shared" si="307"/>
        <v>10332</v>
      </c>
      <c r="AC64" s="239">
        <f t="shared" si="307"/>
        <v>10454</v>
      </c>
      <c r="AD64" s="239">
        <f t="shared" si="307"/>
        <v>11389</v>
      </c>
      <c r="AE64" s="239">
        <f t="shared" si="307"/>
        <v>11984</v>
      </c>
      <c r="AF64" s="239">
        <f t="shared" si="307"/>
        <v>11892</v>
      </c>
      <c r="AG64" s="239">
        <f t="shared" si="307"/>
        <v>11553</v>
      </c>
      <c r="AH64" s="239">
        <f t="shared" si="307"/>
        <v>12752</v>
      </c>
      <c r="AI64" s="239">
        <f t="shared" si="307"/>
        <v>12832</v>
      </c>
      <c r="AJ64" s="239">
        <f t="shared" si="307"/>
        <v>12762</v>
      </c>
      <c r="AK64" s="239">
        <f t="shared" si="307"/>
        <v>12310</v>
      </c>
      <c r="AL64" s="278">
        <f t="shared" si="307"/>
        <v>12610</v>
      </c>
      <c r="AM64" s="278">
        <f t="shared" si="307"/>
        <v>12992</v>
      </c>
      <c r="AN64" s="278">
        <f t="shared" si="307"/>
        <v>13363</v>
      </c>
      <c r="AO64" s="278">
        <f t="shared" si="307"/>
        <v>13287</v>
      </c>
      <c r="AP64" s="278">
        <f t="shared" si="307"/>
        <v>13682</v>
      </c>
      <c r="AQ64" s="278">
        <f t="shared" si="307"/>
        <v>15087</v>
      </c>
      <c r="AR64" s="278">
        <f t="shared" si="307"/>
        <v>15142</v>
      </c>
      <c r="AS64" s="278">
        <f t="shared" si="307"/>
        <v>15007</v>
      </c>
      <c r="AT64" s="278">
        <f t="shared" si="307"/>
        <v>15957</v>
      </c>
      <c r="AU64" s="278">
        <f t="shared" si="307"/>
        <v>16194</v>
      </c>
      <c r="AV64" s="278">
        <f t="shared" si="307"/>
        <v>16450</v>
      </c>
      <c r="AW64" s="278">
        <f t="shared" si="307"/>
        <v>15921</v>
      </c>
      <c r="AX64" s="278">
        <f t="shared" si="307"/>
        <v>15182</v>
      </c>
      <c r="AY64" s="278">
        <f t="shared" si="307"/>
        <v>15026</v>
      </c>
      <c r="AZ64" s="278">
        <f t="shared" si="307"/>
        <v>15239</v>
      </c>
      <c r="BA64" s="278">
        <f t="shared" si="307"/>
        <v>15081</v>
      </c>
      <c r="BB64" s="278">
        <f t="shared" si="307"/>
        <v>16551</v>
      </c>
      <c r="BC64" s="278">
        <f t="shared" si="307"/>
        <v>15631</v>
      </c>
      <c r="BD64" s="278">
        <f t="shared" si="307"/>
        <v>15389</v>
      </c>
      <c r="BE64" s="278">
        <f t="shared" si="307"/>
        <v>14982</v>
      </c>
      <c r="BF64" s="278">
        <f t="shared" si="307"/>
        <v>15644</v>
      </c>
      <c r="BG64" s="278">
        <f t="shared" si="307"/>
        <v>16966</v>
      </c>
      <c r="BH64" s="278">
        <f t="shared" si="307"/>
        <v>16597</v>
      </c>
      <c r="BI64" s="278">
        <f>SUM(BI3:BI54,BI57:BI63)</f>
        <v>16005</v>
      </c>
      <c r="BJ64" s="278">
        <f t="shared" ref="BJ64:CH64" si="308">SUM(BJ3:BJ63)</f>
        <v>18821</v>
      </c>
      <c r="BK64" s="278">
        <f t="shared" si="308"/>
        <v>16139</v>
      </c>
      <c r="BL64" s="278">
        <f t="shared" si="308"/>
        <v>16626</v>
      </c>
      <c r="BM64" s="278">
        <f t="shared" si="308"/>
        <v>17191</v>
      </c>
      <c r="BN64" s="278">
        <f t="shared" si="308"/>
        <v>17791</v>
      </c>
      <c r="BO64" s="278">
        <f t="shared" si="308"/>
        <v>17548</v>
      </c>
      <c r="BP64" s="278">
        <f t="shared" si="308"/>
        <v>17933</v>
      </c>
      <c r="BQ64" s="278">
        <f t="shared" si="308"/>
        <v>17639</v>
      </c>
      <c r="BR64" s="278">
        <f t="shared" si="308"/>
        <v>18451</v>
      </c>
      <c r="BS64" s="278">
        <f t="shared" si="308"/>
        <v>18219</v>
      </c>
      <c r="BT64" s="278">
        <f t="shared" si="308"/>
        <v>19495</v>
      </c>
      <c r="BU64" s="278">
        <f t="shared" si="308"/>
        <v>18467</v>
      </c>
      <c r="BV64" s="278">
        <f t="shared" si="308"/>
        <v>18254</v>
      </c>
      <c r="BW64" s="278">
        <f t="shared" si="308"/>
        <v>17374</v>
      </c>
      <c r="BX64" s="278">
        <f>SUM(BX3:BX63)</f>
        <v>17787</v>
      </c>
      <c r="BY64" s="278">
        <f>SUM(BY3:BY63)</f>
        <v>17102</v>
      </c>
      <c r="BZ64" s="278">
        <f>SUM(BZ3:BZ63)</f>
        <v>17811</v>
      </c>
      <c r="CA64" s="278">
        <f>SUM(CA3:CA63)</f>
        <v>17482</v>
      </c>
      <c r="CB64" s="278">
        <f t="shared" si="308"/>
        <v>18482</v>
      </c>
      <c r="CC64" s="278">
        <f t="shared" si="308"/>
        <v>17820</v>
      </c>
      <c r="CD64" s="278">
        <f t="shared" si="308"/>
        <v>18106</v>
      </c>
      <c r="CE64" s="278">
        <f t="shared" si="308"/>
        <v>17766</v>
      </c>
      <c r="CF64" s="278">
        <f t="shared" si="308"/>
        <v>18839</v>
      </c>
      <c r="CG64" s="278">
        <f t="shared" si="308"/>
        <v>19650</v>
      </c>
      <c r="CH64" s="278">
        <f t="shared" si="308"/>
        <v>20195</v>
      </c>
      <c r="CI64" s="278">
        <f t="shared" ref="CI64:DA64" si="309">SUM(CI3:CI63)</f>
        <v>20009</v>
      </c>
      <c r="CJ64" s="278">
        <f t="shared" si="309"/>
        <v>20830</v>
      </c>
      <c r="CK64" s="278">
        <f t="shared" si="309"/>
        <v>20348</v>
      </c>
      <c r="CL64" s="278">
        <f t="shared" si="309"/>
        <v>20394</v>
      </c>
      <c r="CM64" s="278">
        <f t="shared" si="309"/>
        <v>20021</v>
      </c>
      <c r="CN64" s="278">
        <f t="shared" si="309"/>
        <v>20564</v>
      </c>
      <c r="CO64" s="278">
        <f t="shared" si="309"/>
        <v>20728</v>
      </c>
      <c r="CP64" s="278">
        <f t="shared" si="309"/>
        <v>20744</v>
      </c>
      <c r="CQ64" s="278">
        <f t="shared" si="309"/>
        <v>20690</v>
      </c>
      <c r="CR64" s="278">
        <f t="shared" si="309"/>
        <v>18338</v>
      </c>
      <c r="CS64" s="278">
        <f t="shared" si="309"/>
        <v>21082</v>
      </c>
      <c r="CT64" s="278">
        <f t="shared" si="309"/>
        <v>22476</v>
      </c>
      <c r="CU64" s="278">
        <f t="shared" si="309"/>
        <v>22321</v>
      </c>
      <c r="CV64" s="278">
        <f t="shared" si="309"/>
        <v>23441</v>
      </c>
      <c r="CW64" s="278">
        <f t="shared" si="309"/>
        <v>23335</v>
      </c>
      <c r="CX64" s="278">
        <f t="shared" si="309"/>
        <v>24878</v>
      </c>
      <c r="CY64" s="278">
        <f t="shared" si="309"/>
        <v>23524</v>
      </c>
      <c r="CZ64" s="278">
        <f t="shared" si="309"/>
        <v>24129</v>
      </c>
      <c r="DA64" s="278">
        <f t="shared" si="309"/>
        <v>23947</v>
      </c>
      <c r="DB64" s="278">
        <f>SUM(DB3:DB63)+2</f>
        <v>23879</v>
      </c>
      <c r="DC64" s="278">
        <f t="shared" ref="DC64:DH64" si="310">SUM(DC3:DC63)</f>
        <v>20894</v>
      </c>
      <c r="DD64" s="278">
        <f t="shared" si="310"/>
        <v>25624</v>
      </c>
      <c r="DE64" s="278">
        <f t="shared" si="310"/>
        <v>21350.5</v>
      </c>
      <c r="DF64" s="278">
        <f t="shared" si="310"/>
        <v>21396</v>
      </c>
      <c r="DG64" s="278">
        <f t="shared" si="310"/>
        <v>21382</v>
      </c>
      <c r="DH64" s="278">
        <f t="shared" si="310"/>
        <v>22453</v>
      </c>
      <c r="DI64" s="278">
        <f t="shared" ref="DI64:DN64" si="311">SUM(DI3:DI63)</f>
        <v>22470.6</v>
      </c>
      <c r="DJ64" s="278">
        <f t="shared" si="311"/>
        <v>22521</v>
      </c>
      <c r="DK64" s="278">
        <f t="shared" si="311"/>
        <v>21701.07</v>
      </c>
      <c r="DL64" s="278">
        <f t="shared" si="311"/>
        <v>22311.32</v>
      </c>
      <c r="DM64" s="278">
        <f t="shared" si="311"/>
        <v>22347.104000000003</v>
      </c>
      <c r="DN64" s="278">
        <f t="shared" si="311"/>
        <v>22101.8685</v>
      </c>
      <c r="DP64" s="239">
        <v>9757</v>
      </c>
      <c r="DQ64" s="239">
        <v>11232</v>
      </c>
      <c r="DR64" s="239">
        <v>12447</v>
      </c>
      <c r="DS64" s="239">
        <v>13753</v>
      </c>
      <c r="DT64" s="239">
        <v>14138</v>
      </c>
      <c r="DU64" s="239">
        <v>15734</v>
      </c>
      <c r="DV64" s="239">
        <v>18842</v>
      </c>
      <c r="DW64" s="239">
        <v>21620</v>
      </c>
      <c r="DX64" s="239">
        <v>22629</v>
      </c>
      <c r="DY64" s="239">
        <v>23657</v>
      </c>
      <c r="DZ64" s="239">
        <v>27471</v>
      </c>
      <c r="EA64" s="239">
        <v>29139</v>
      </c>
      <c r="EB64" s="239">
        <v>33004</v>
      </c>
      <c r="EC64" s="239">
        <f>SUM(EC3:EC63)</f>
        <v>36911.9</v>
      </c>
      <c r="ED64" s="239">
        <f>SUM(ED3:ED63)</f>
        <v>42365.4</v>
      </c>
      <c r="EE64" s="239">
        <f>SUM(EE9:EE63)+EE3</f>
        <v>48117</v>
      </c>
      <c r="EF64" s="239">
        <f>SUM(EF9:EF63)+EF3</f>
        <v>49498</v>
      </c>
      <c r="EG64" s="239">
        <f>SUM(EG3:EG63)</f>
        <v>53324</v>
      </c>
      <c r="EH64" s="239">
        <f>SUM(EH9:EH63)+EH3</f>
        <v>61095</v>
      </c>
      <c r="EI64" s="239">
        <f t="shared" ref="EI64:FE64" si="312">SUM(EI3:EI63)</f>
        <v>63747</v>
      </c>
      <c r="EJ64" s="239">
        <f t="shared" si="312"/>
        <v>61897</v>
      </c>
      <c r="EK64" s="239">
        <f t="shared" si="312"/>
        <v>61455</v>
      </c>
      <c r="EL64" s="239">
        <f t="shared" si="312"/>
        <v>65030</v>
      </c>
      <c r="EM64" s="239">
        <f t="shared" si="312"/>
        <v>67747</v>
      </c>
      <c r="EN64" s="239">
        <f t="shared" si="312"/>
        <v>71312</v>
      </c>
      <c r="EO64" s="239">
        <f t="shared" si="312"/>
        <v>75247.425000000003</v>
      </c>
      <c r="EP64" s="239">
        <f t="shared" si="312"/>
        <v>76071.903275000004</v>
      </c>
      <c r="EQ64" s="239">
        <f t="shared" si="312"/>
        <v>70454.942341625007</v>
      </c>
      <c r="ER64" s="239">
        <f t="shared" si="312"/>
        <v>76450</v>
      </c>
      <c r="ES64" s="239">
        <f t="shared" si="312"/>
        <v>81581</v>
      </c>
      <c r="ET64" s="239">
        <f t="shared" si="312"/>
        <v>82057</v>
      </c>
      <c r="EU64" s="239">
        <f t="shared" si="312"/>
        <v>82586</v>
      </c>
      <c r="EV64" s="239">
        <f t="shared" si="312"/>
        <v>94199</v>
      </c>
      <c r="EW64" s="239">
        <f t="shared" si="312"/>
        <v>95373</v>
      </c>
      <c r="EX64" s="239">
        <f t="shared" si="312"/>
        <v>97508.755000000019</v>
      </c>
      <c r="EY64" s="239">
        <f t="shared" si="312"/>
        <v>100741.58862500002</v>
      </c>
      <c r="EZ64" s="239">
        <f>SUM(EZ3:EZ63)</f>
        <v>86236.536734875001</v>
      </c>
      <c r="FA64" s="239">
        <f t="shared" si="312"/>
        <v>80473.202645710626</v>
      </c>
      <c r="FB64" s="239">
        <f t="shared" si="312"/>
        <v>81431.118730945382</v>
      </c>
      <c r="FC64" s="239">
        <f t="shared" si="312"/>
        <v>84029.153507428287</v>
      </c>
      <c r="FD64" s="239">
        <f t="shared" si="312"/>
        <v>84323.100207032971</v>
      </c>
      <c r="FE64" s="239">
        <f t="shared" si="312"/>
        <v>85377.898529789294</v>
      </c>
      <c r="FF64" s="239">
        <f t="shared" ref="FF64" si="313">SUM(FF3:FF63)</f>
        <v>81140.679536388794</v>
      </c>
      <c r="FG64" s="239">
        <f t="shared" ref="FG64" si="314">SUM(FG3:FG63)</f>
        <v>81666.919572709492</v>
      </c>
      <c r="FH64" s="239">
        <f t="shared" ref="FH64" si="315">SUM(FH3:FH63)</f>
        <v>82875.603146841997</v>
      </c>
      <c r="FI64" s="239">
        <f t="shared" ref="FI64" si="316">SUM(FI3:FI63)</f>
        <v>84314.530239279848</v>
      </c>
      <c r="FJ64" s="239">
        <f t="shared" ref="FJ64" si="317">SUM(FJ3:FJ63)</f>
        <v>85914.039450856202</v>
      </c>
      <c r="FO64" s="280"/>
    </row>
    <row r="65" spans="1:270" s="275" customFormat="1" ht="12.75" customHeight="1" x14ac:dyDescent="0.2">
      <c r="A65"/>
      <c r="B65" t="s">
        <v>336</v>
      </c>
      <c r="C65" s="235">
        <v>1772</v>
      </c>
      <c r="D65" s="235">
        <v>1749</v>
      </c>
      <c r="E65" s="235">
        <v>1750</v>
      </c>
      <c r="F65" s="235">
        <v>1881</v>
      </c>
      <c r="G65" s="235">
        <v>1777</v>
      </c>
      <c r="H65" s="235">
        <v>1803</v>
      </c>
      <c r="I65" s="235">
        <v>1758</v>
      </c>
      <c r="J65" s="235">
        <v>2098</v>
      </c>
      <c r="K65" s="235">
        <v>2038</v>
      </c>
      <c r="L65" s="235">
        <v>2086</v>
      </c>
      <c r="M65" s="235">
        <v>2030</v>
      </c>
      <c r="N65" s="235">
        <v>2181</v>
      </c>
      <c r="O65" s="235">
        <v>2241</v>
      </c>
      <c r="P65" s="235">
        <v>2256</v>
      </c>
      <c r="Q65" s="235">
        <v>2179</v>
      </c>
      <c r="R65" s="235">
        <v>2185</v>
      </c>
      <c r="S65" s="235">
        <v>2279</v>
      </c>
      <c r="T65" s="235">
        <v>2362</v>
      </c>
      <c r="U65" s="235">
        <v>2385</v>
      </c>
      <c r="V65" s="235">
        <v>2489</v>
      </c>
      <c r="W65" s="235">
        <v>2457</v>
      </c>
      <c r="X65" s="235">
        <v>2582</v>
      </c>
      <c r="Y65" s="235">
        <v>2611</v>
      </c>
      <c r="Z65" s="235">
        <v>2797</v>
      </c>
      <c r="AA65" s="235">
        <v>2722</v>
      </c>
      <c r="AB65" s="235">
        <v>2966</v>
      </c>
      <c r="AC65" s="235">
        <v>2980</v>
      </c>
      <c r="AD65" s="235">
        <v>3508</v>
      </c>
      <c r="AE65" s="235">
        <v>3367</v>
      </c>
      <c r="AF65" s="243">
        <v>3162</v>
      </c>
      <c r="AG65" s="243">
        <v>3187</v>
      </c>
      <c r="AH65" s="243">
        <v>3706</v>
      </c>
      <c r="AI65" s="243">
        <v>3496</v>
      </c>
      <c r="AJ65" s="243">
        <v>3522</v>
      </c>
      <c r="AK65" s="243">
        <v>3354</v>
      </c>
      <c r="AL65" s="243">
        <v>3638</v>
      </c>
      <c r="AM65" s="243">
        <v>3612</v>
      </c>
      <c r="AN65" s="243">
        <v>3788</v>
      </c>
      <c r="AO65" s="243">
        <v>3650</v>
      </c>
      <c r="AP65" s="243">
        <v>4007</v>
      </c>
      <c r="AQ65" s="243">
        <v>4385</v>
      </c>
      <c r="AR65" s="243">
        <v>4358</v>
      </c>
      <c r="AS65" s="243">
        <v>4274</v>
      </c>
      <c r="AT65" s="243">
        <v>4734</v>
      </c>
      <c r="AU65" s="243">
        <v>4614</v>
      </c>
      <c r="AV65" s="243">
        <v>4751</v>
      </c>
      <c r="AW65" s="243">
        <v>4774</v>
      </c>
      <c r="AX65" s="243">
        <v>4372</v>
      </c>
      <c r="AY65" s="243">
        <v>4251</v>
      </c>
      <c r="AZ65" s="243">
        <v>4450</v>
      </c>
      <c r="BA65" s="243">
        <v>4434</v>
      </c>
      <c r="BB65" s="243">
        <f>5312-113</f>
        <v>5199</v>
      </c>
      <c r="BC65" s="243">
        <v>4528</v>
      </c>
      <c r="BD65" s="243">
        <v>4630</v>
      </c>
      <c r="BE65" s="243">
        <v>4594</v>
      </c>
      <c r="BF65" s="243">
        <v>5040</v>
      </c>
      <c r="BG65" s="243">
        <v>4778</v>
      </c>
      <c r="BH65" s="243">
        <v>5172</v>
      </c>
      <c r="BI65" s="243">
        <v>5072</v>
      </c>
      <c r="BJ65" s="243">
        <v>5338</v>
      </c>
      <c r="BK65" s="243">
        <v>4915</v>
      </c>
      <c r="BL65" s="243">
        <v>5143</v>
      </c>
      <c r="BM65" s="243">
        <v>5597</v>
      </c>
      <c r="BN65" s="243">
        <v>6003</v>
      </c>
      <c r="BO65" s="243">
        <v>5554</v>
      </c>
      <c r="BP65" s="243">
        <v>5489</v>
      </c>
      <c r="BQ65" s="243">
        <v>5344</v>
      </c>
      <c r="BR65" s="243">
        <v>5955</v>
      </c>
      <c r="BS65" s="243">
        <v>5455</v>
      </c>
      <c r="BT65" s="243">
        <v>6039</v>
      </c>
      <c r="BU65" s="243">
        <v>5399</v>
      </c>
      <c r="BV65" s="243">
        <v>5853</v>
      </c>
      <c r="BW65" s="243">
        <v>5282</v>
      </c>
      <c r="BX65" s="243">
        <v>5357</v>
      </c>
      <c r="BY65" s="243">
        <v>5224</v>
      </c>
      <c r="BZ65" s="243">
        <v>5673</v>
      </c>
      <c r="CA65" s="243">
        <v>5329</v>
      </c>
      <c r="CB65" s="243">
        <v>5336</v>
      </c>
      <c r="CC65" s="243">
        <v>5486</v>
      </c>
      <c r="CD65" s="243">
        <v>5534</v>
      </c>
      <c r="CE65" s="243">
        <v>5386</v>
      </c>
      <c r="CF65" s="243">
        <v>5823</v>
      </c>
      <c r="CG65" s="243">
        <v>6902</v>
      </c>
      <c r="CH65" s="243">
        <v>5959</v>
      </c>
      <c r="CI65" s="243">
        <v>6614</v>
      </c>
      <c r="CJ65" s="243">
        <v>6927</v>
      </c>
      <c r="CK65" s="243">
        <v>6589</v>
      </c>
      <c r="CL65" s="243">
        <v>6961</v>
      </c>
      <c r="CM65" s="243">
        <v>6615</v>
      </c>
      <c r="CN65" s="243">
        <v>6940</v>
      </c>
      <c r="CO65" s="243">
        <v>6867</v>
      </c>
      <c r="CP65" s="243">
        <v>7134</v>
      </c>
      <c r="CQ65" s="243">
        <v>7062</v>
      </c>
      <c r="CR65" s="243">
        <v>6579</v>
      </c>
      <c r="CS65" s="243">
        <v>6972</v>
      </c>
      <c r="CT65" s="243">
        <v>7814</v>
      </c>
      <c r="CU65" s="243">
        <v>7063</v>
      </c>
      <c r="CV65" s="243">
        <v>6345</v>
      </c>
      <c r="CW65" s="243">
        <v>7250</v>
      </c>
      <c r="CX65" s="243">
        <v>7955</v>
      </c>
      <c r="CY65" s="243">
        <v>7598</v>
      </c>
      <c r="CZ65" s="243">
        <v>6600</v>
      </c>
      <c r="DA65" s="243">
        <v>7807</v>
      </c>
      <c r="DB65" s="243">
        <v>6472</v>
      </c>
      <c r="DC65" s="243">
        <v>6687</v>
      </c>
      <c r="DD65" s="243">
        <v>8212</v>
      </c>
      <c r="DE65" s="243">
        <v>5205</v>
      </c>
      <c r="DF65" s="243">
        <v>5530</v>
      </c>
      <c r="DG65" s="243">
        <v>5404</v>
      </c>
      <c r="DH65" s="243">
        <v>6869</v>
      </c>
      <c r="DI65" s="243">
        <v>5612</v>
      </c>
      <c r="DJ65" s="243">
        <v>5775</v>
      </c>
      <c r="DK65" s="243">
        <f t="shared" ref="DK65:DN65" si="318">+DK64*0.25</f>
        <v>5425.2674999999999</v>
      </c>
      <c r="DL65" s="243">
        <f t="shared" si="318"/>
        <v>5577.83</v>
      </c>
      <c r="DM65" s="243">
        <f t="shared" si="318"/>
        <v>5586.7760000000007</v>
      </c>
      <c r="DN65" s="243">
        <f t="shared" si="318"/>
        <v>5525.4671250000001</v>
      </c>
      <c r="DP65" s="235">
        <v>3480</v>
      </c>
      <c r="DQ65" s="235">
        <v>3937</v>
      </c>
      <c r="DR65" s="235">
        <v>4204</v>
      </c>
      <c r="DS65" s="235">
        <v>4678</v>
      </c>
      <c r="DT65" s="235">
        <v>4791</v>
      </c>
      <c r="DU65" s="235">
        <v>5299</v>
      </c>
      <c r="DV65" s="235">
        <v>6235</v>
      </c>
      <c r="DW65" s="235">
        <v>7018</v>
      </c>
      <c r="DX65" s="235">
        <v>7152</v>
      </c>
      <c r="DY65" s="235">
        <f>7496-60</f>
        <v>7436</v>
      </c>
      <c r="DZ65" s="235">
        <v>8442</v>
      </c>
      <c r="EA65" s="235">
        <v>8861</v>
      </c>
      <c r="EB65" s="235">
        <v>9536</v>
      </c>
      <c r="EC65" s="235">
        <v>10447</v>
      </c>
      <c r="ED65" s="235">
        <v>12176</v>
      </c>
      <c r="EE65" s="235">
        <v>13422</v>
      </c>
      <c r="EF65" s="235">
        <v>13954</v>
      </c>
      <c r="EG65" s="235">
        <f>SUM(AM65:AP65)</f>
        <v>15057</v>
      </c>
      <c r="EH65" s="235">
        <f>SUM(AQ65:AT65)</f>
        <v>17751</v>
      </c>
      <c r="EI65" s="235">
        <f>SUM(AU65:AX65)</f>
        <v>18511</v>
      </c>
      <c r="EJ65" s="235">
        <f>EJ64-EJ66</f>
        <v>18334</v>
      </c>
      <c r="EK65" s="235">
        <f>SUM(BC65:BF65)</f>
        <v>18792</v>
      </c>
      <c r="EL65" s="235">
        <f>EL64-EL66</f>
        <v>17001</v>
      </c>
      <c r="EM65" s="235">
        <f>SUM(BK65:BN65)</f>
        <v>21658</v>
      </c>
      <c r="EN65" s="235">
        <f>SUM(BO65:BR65)</f>
        <v>22342</v>
      </c>
      <c r="EO65" s="235">
        <f t="shared" ref="EO65:EQ65" si="319">EO64-EO66</f>
        <v>23326.701750000007</v>
      </c>
      <c r="EP65" s="235">
        <f t="shared" si="319"/>
        <v>23582.290015250008</v>
      </c>
      <c r="EQ65" s="235">
        <f t="shared" si="319"/>
        <v>21841.032125903759</v>
      </c>
      <c r="ER65" s="235">
        <f>+ER64-ER66</f>
        <v>23699.500000000007</v>
      </c>
      <c r="ES65" s="235">
        <f t="shared" si="302"/>
        <v>27091</v>
      </c>
      <c r="ET65" s="235">
        <f t="shared" si="303"/>
        <v>27556</v>
      </c>
      <c r="EU65" s="235">
        <f t="shared" si="304"/>
        <v>28427</v>
      </c>
      <c r="EV65" s="235">
        <f t="shared" ref="EV65:EV68" si="320">SUM(CU65:CX65)</f>
        <v>28613</v>
      </c>
      <c r="EW65" s="235">
        <f>SUM(CY65:DB65)</f>
        <v>28477</v>
      </c>
      <c r="EX65" s="235">
        <f t="shared" ref="EX65:EY65" si="321">+EX64-EX66</f>
        <v>30227.71405000001</v>
      </c>
      <c r="EY65" s="235">
        <f t="shared" si="321"/>
        <v>31229.892473750006</v>
      </c>
      <c r="EZ65" s="235">
        <f>+EZ64-EZ66</f>
        <v>26733.326387811256</v>
      </c>
      <c r="FA65" s="235">
        <f t="shared" ref="FA65:FE65" si="322">+FA64-FA66</f>
        <v>24946.692820170298</v>
      </c>
      <c r="FB65" s="235">
        <f t="shared" si="322"/>
        <v>25243.646806593075</v>
      </c>
      <c r="FC65" s="235">
        <f t="shared" si="322"/>
        <v>26049.037587302773</v>
      </c>
      <c r="FD65" s="235">
        <f t="shared" si="322"/>
        <v>26140.161064180225</v>
      </c>
      <c r="FE65" s="235">
        <f t="shared" si="322"/>
        <v>26467.148544234689</v>
      </c>
      <c r="FF65" s="235">
        <f t="shared" ref="FF65:FJ65" si="323">+FF64-FF66</f>
        <v>25153.610656280529</v>
      </c>
      <c r="FG65" s="235">
        <f t="shared" si="323"/>
        <v>25316.745067539945</v>
      </c>
      <c r="FH65" s="235">
        <f t="shared" si="323"/>
        <v>25691.436975521021</v>
      </c>
      <c r="FI65" s="235">
        <f t="shared" si="323"/>
        <v>26137.504374176759</v>
      </c>
      <c r="FJ65" s="235">
        <f t="shared" si="323"/>
        <v>26633.352229765427</v>
      </c>
    </row>
    <row r="66" spans="1:270" s="275" customFormat="1" ht="12.75" customHeight="1" x14ac:dyDescent="0.2">
      <c r="A66"/>
      <c r="B66" t="s">
        <v>337</v>
      </c>
      <c r="C66" s="235">
        <f t="shared" ref="C66:AW66" si="324">C64-C65</f>
        <v>3943</v>
      </c>
      <c r="D66" s="235">
        <f t="shared" si="324"/>
        <v>3949</v>
      </c>
      <c r="E66" s="235">
        <f t="shared" si="324"/>
        <v>3836</v>
      </c>
      <c r="F66" s="235">
        <f t="shared" si="324"/>
        <v>3749</v>
      </c>
      <c r="G66" s="235">
        <f t="shared" si="324"/>
        <v>4006</v>
      </c>
      <c r="H66" s="235">
        <f t="shared" si="324"/>
        <v>3980</v>
      </c>
      <c r="I66" s="235">
        <f t="shared" si="324"/>
        <v>3966</v>
      </c>
      <c r="J66" s="235">
        <f t="shared" si="324"/>
        <v>4269</v>
      </c>
      <c r="K66" s="235">
        <f t="shared" si="324"/>
        <v>4600</v>
      </c>
      <c r="L66" s="235">
        <f t="shared" si="324"/>
        <v>4768</v>
      </c>
      <c r="M66" s="235">
        <f t="shared" si="324"/>
        <v>4719</v>
      </c>
      <c r="N66" s="235">
        <f t="shared" si="324"/>
        <v>4696</v>
      </c>
      <c r="O66" s="235">
        <f t="shared" si="324"/>
        <v>5078</v>
      </c>
      <c r="P66" s="235">
        <f t="shared" si="324"/>
        <v>5252</v>
      </c>
      <c r="Q66" s="235">
        <f t="shared" si="324"/>
        <v>5025</v>
      </c>
      <c r="R66" s="235">
        <f t="shared" si="324"/>
        <v>4923</v>
      </c>
      <c r="S66" s="235">
        <f t="shared" si="324"/>
        <v>5512</v>
      </c>
      <c r="T66" s="235">
        <f t="shared" si="324"/>
        <v>5980</v>
      </c>
      <c r="U66" s="235">
        <f t="shared" si="324"/>
        <v>5853</v>
      </c>
      <c r="V66" s="235">
        <f t="shared" si="324"/>
        <v>5914</v>
      </c>
      <c r="W66" s="235">
        <f t="shared" si="324"/>
        <v>6286</v>
      </c>
      <c r="X66" s="235">
        <f t="shared" si="324"/>
        <v>6491</v>
      </c>
      <c r="Y66" s="235">
        <f t="shared" si="324"/>
        <v>6468</v>
      </c>
      <c r="Z66" s="235">
        <f t="shared" si="324"/>
        <v>6606</v>
      </c>
      <c r="AA66" s="235">
        <f t="shared" si="324"/>
        <v>7100</v>
      </c>
      <c r="AB66" s="235">
        <f t="shared" si="324"/>
        <v>7366</v>
      </c>
      <c r="AC66" s="235">
        <f t="shared" si="324"/>
        <v>7474</v>
      </c>
      <c r="AD66" s="235">
        <f t="shared" si="324"/>
        <v>7881</v>
      </c>
      <c r="AE66" s="243">
        <f t="shared" si="324"/>
        <v>8617</v>
      </c>
      <c r="AF66" s="243">
        <f t="shared" si="324"/>
        <v>8730</v>
      </c>
      <c r="AG66" s="243">
        <f t="shared" si="324"/>
        <v>8366</v>
      </c>
      <c r="AH66" s="243">
        <f t="shared" si="324"/>
        <v>9046</v>
      </c>
      <c r="AI66" s="243">
        <f t="shared" si="324"/>
        <v>9336</v>
      </c>
      <c r="AJ66" s="243">
        <f t="shared" si="324"/>
        <v>9240</v>
      </c>
      <c r="AK66" s="243">
        <f t="shared" si="324"/>
        <v>8956</v>
      </c>
      <c r="AL66" s="243">
        <f t="shared" si="324"/>
        <v>8972</v>
      </c>
      <c r="AM66" s="243">
        <f t="shared" si="324"/>
        <v>9380</v>
      </c>
      <c r="AN66" s="243">
        <f t="shared" si="324"/>
        <v>9575</v>
      </c>
      <c r="AO66" s="243">
        <f t="shared" si="324"/>
        <v>9637</v>
      </c>
      <c r="AP66" s="243">
        <f t="shared" si="324"/>
        <v>9675</v>
      </c>
      <c r="AQ66" s="243">
        <f>AQ64-AQ65</f>
        <v>10702</v>
      </c>
      <c r="AR66" s="243">
        <f>AR64-AR65</f>
        <v>10784</v>
      </c>
      <c r="AS66" s="243">
        <f>AS64-AS65</f>
        <v>10733</v>
      </c>
      <c r="AT66" s="243">
        <f>AT64-AT65</f>
        <v>11223</v>
      </c>
      <c r="AU66" s="243">
        <f t="shared" si="324"/>
        <v>11580</v>
      </c>
      <c r="AV66" s="243">
        <f t="shared" si="324"/>
        <v>11699</v>
      </c>
      <c r="AW66" s="243">
        <f t="shared" si="324"/>
        <v>11147</v>
      </c>
      <c r="AX66" s="243">
        <f t="shared" ref="AX66:BC66" si="325">AX64-AX65</f>
        <v>10810</v>
      </c>
      <c r="AY66" s="243">
        <f t="shared" si="325"/>
        <v>10775</v>
      </c>
      <c r="AZ66" s="243">
        <f t="shared" si="325"/>
        <v>10789</v>
      </c>
      <c r="BA66" s="243">
        <f t="shared" si="325"/>
        <v>10647</v>
      </c>
      <c r="BB66" s="243">
        <f t="shared" si="325"/>
        <v>11352</v>
      </c>
      <c r="BC66" s="243">
        <f t="shared" si="325"/>
        <v>11103</v>
      </c>
      <c r="BD66" s="243">
        <f>+BD64-BD65</f>
        <v>10759</v>
      </c>
      <c r="BE66" s="243">
        <f>+BE64-BE65</f>
        <v>10388</v>
      </c>
      <c r="BF66" s="243">
        <f>+BF64-BF65</f>
        <v>10604</v>
      </c>
      <c r="BG66" s="243">
        <f>+BG64-BG65</f>
        <v>12188</v>
      </c>
      <c r="BH66" s="243">
        <f>+BH64-BH65</f>
        <v>11425</v>
      </c>
      <c r="BI66" s="243">
        <f>BI64-BI65</f>
        <v>10933</v>
      </c>
      <c r="BJ66" s="243">
        <f>BJ64-BJ65</f>
        <v>13483</v>
      </c>
      <c r="BK66" s="243">
        <f>BK64-BK65</f>
        <v>11224</v>
      </c>
      <c r="BL66" s="243">
        <f>BL64-BL65</f>
        <v>11483</v>
      </c>
      <c r="BM66" s="243">
        <f>BM64-BM65</f>
        <v>11594</v>
      </c>
      <c r="BN66" s="243">
        <f t="shared" ref="BN66:BT66" si="326">+BN64-BN65</f>
        <v>11788</v>
      </c>
      <c r="BO66" s="243">
        <f t="shared" si="326"/>
        <v>11994</v>
      </c>
      <c r="BP66" s="243">
        <f t="shared" si="326"/>
        <v>12444</v>
      </c>
      <c r="BQ66" s="243">
        <f t="shared" si="326"/>
        <v>12295</v>
      </c>
      <c r="BR66" s="243">
        <f t="shared" si="326"/>
        <v>12496</v>
      </c>
      <c r="BS66" s="243">
        <f>+BS64-BS65</f>
        <v>12764</v>
      </c>
      <c r="BT66" s="243">
        <f t="shared" si="326"/>
        <v>13456</v>
      </c>
      <c r="BU66" s="243">
        <f t="shared" ref="BU66:CH66" si="327">BU64-BU65</f>
        <v>13068</v>
      </c>
      <c r="BV66" s="243">
        <f t="shared" si="327"/>
        <v>12401</v>
      </c>
      <c r="BW66" s="243">
        <f t="shared" si="327"/>
        <v>12092</v>
      </c>
      <c r="BX66" s="243">
        <f t="shared" si="327"/>
        <v>12430</v>
      </c>
      <c r="BY66" s="243">
        <f t="shared" si="327"/>
        <v>11878</v>
      </c>
      <c r="BZ66" s="243">
        <f t="shared" si="327"/>
        <v>12138</v>
      </c>
      <c r="CA66" s="243">
        <f t="shared" si="327"/>
        <v>12153</v>
      </c>
      <c r="CB66" s="243">
        <f t="shared" si="327"/>
        <v>13146</v>
      </c>
      <c r="CC66" s="243">
        <f t="shared" si="327"/>
        <v>12334</v>
      </c>
      <c r="CD66" s="243">
        <f t="shared" si="327"/>
        <v>12572</v>
      </c>
      <c r="CE66" s="243">
        <f t="shared" si="327"/>
        <v>12380</v>
      </c>
      <c r="CF66" s="243">
        <f t="shared" si="327"/>
        <v>13016</v>
      </c>
      <c r="CG66" s="243">
        <f t="shared" si="327"/>
        <v>12748</v>
      </c>
      <c r="CH66" s="243">
        <f t="shared" si="327"/>
        <v>14236</v>
      </c>
      <c r="CI66" s="243">
        <f t="shared" ref="CI66:CP66" si="328">+CI64-CI65</f>
        <v>13395</v>
      </c>
      <c r="CJ66" s="243">
        <f t="shared" si="328"/>
        <v>13903</v>
      </c>
      <c r="CK66" s="243">
        <f t="shared" si="328"/>
        <v>13759</v>
      </c>
      <c r="CL66" s="243">
        <f t="shared" si="328"/>
        <v>13433</v>
      </c>
      <c r="CM66" s="243">
        <f t="shared" si="328"/>
        <v>13406</v>
      </c>
      <c r="CN66" s="243">
        <f t="shared" si="328"/>
        <v>13624</v>
      </c>
      <c r="CO66" s="243">
        <f t="shared" si="328"/>
        <v>13861</v>
      </c>
      <c r="CP66" s="243">
        <f t="shared" si="328"/>
        <v>13610</v>
      </c>
      <c r="CQ66" s="243">
        <f t="shared" ref="CQ66" si="329">+CQ64-CQ65</f>
        <v>13628</v>
      </c>
      <c r="CR66" s="243">
        <f t="shared" ref="CR66:CV66" si="330">+CR64-CR65</f>
        <v>11759</v>
      </c>
      <c r="CS66" s="243">
        <f t="shared" si="330"/>
        <v>14110</v>
      </c>
      <c r="CT66" s="243">
        <f t="shared" si="330"/>
        <v>14662</v>
      </c>
      <c r="CU66" s="243">
        <f t="shared" si="330"/>
        <v>15258</v>
      </c>
      <c r="CV66" s="243">
        <f t="shared" si="330"/>
        <v>17096</v>
      </c>
      <c r="CW66" s="243">
        <f t="shared" ref="CW66:DB66" si="331">+CW64-CW65</f>
        <v>16085</v>
      </c>
      <c r="CX66" s="243">
        <f t="shared" si="331"/>
        <v>16923</v>
      </c>
      <c r="CY66" s="243">
        <f t="shared" si="331"/>
        <v>15926</v>
      </c>
      <c r="CZ66" s="243">
        <f t="shared" si="331"/>
        <v>17529</v>
      </c>
      <c r="DA66" s="243">
        <f t="shared" si="331"/>
        <v>16140</v>
      </c>
      <c r="DB66" s="243">
        <f t="shared" si="331"/>
        <v>17407</v>
      </c>
      <c r="DC66" s="243">
        <f>DC64-DC65</f>
        <v>14207</v>
      </c>
      <c r="DD66" s="243">
        <f t="shared" ref="DD66:DI66" si="332">+DD64-DD65</f>
        <v>17412</v>
      </c>
      <c r="DE66" s="243">
        <f t="shared" si="332"/>
        <v>16145.5</v>
      </c>
      <c r="DF66" s="243">
        <f t="shared" si="332"/>
        <v>15866</v>
      </c>
      <c r="DG66" s="243">
        <f t="shared" si="332"/>
        <v>15978</v>
      </c>
      <c r="DH66" s="243">
        <f t="shared" si="332"/>
        <v>15584</v>
      </c>
      <c r="DI66" s="243">
        <f t="shared" si="332"/>
        <v>16858.599999999999</v>
      </c>
      <c r="DJ66" s="243">
        <f>+DJ64-DJ65</f>
        <v>16746</v>
      </c>
      <c r="DK66" s="243">
        <f t="shared" ref="DK66:DN66" si="333">+DK64-DK65</f>
        <v>16275.8025</v>
      </c>
      <c r="DL66" s="243">
        <f t="shared" si="333"/>
        <v>16733.489999999998</v>
      </c>
      <c r="DM66" s="243">
        <f t="shared" si="333"/>
        <v>16760.328000000001</v>
      </c>
      <c r="DN66" s="243">
        <f t="shared" si="333"/>
        <v>16576.401375000001</v>
      </c>
      <c r="DP66" s="235">
        <f t="shared" ref="DP66:EG66" si="334">DP64-DP65</f>
        <v>6277</v>
      </c>
      <c r="DQ66" s="235">
        <f t="shared" si="334"/>
        <v>7295</v>
      </c>
      <c r="DR66" s="235">
        <f t="shared" si="334"/>
        <v>8243</v>
      </c>
      <c r="DS66" s="235">
        <f t="shared" si="334"/>
        <v>9075</v>
      </c>
      <c r="DT66" s="235">
        <f t="shared" si="334"/>
        <v>9347</v>
      </c>
      <c r="DU66" s="235">
        <f t="shared" si="334"/>
        <v>10435</v>
      </c>
      <c r="DV66" s="235">
        <f t="shared" si="334"/>
        <v>12607</v>
      </c>
      <c r="DW66" s="235">
        <f t="shared" si="334"/>
        <v>14602</v>
      </c>
      <c r="DX66" s="235">
        <f t="shared" si="334"/>
        <v>15477</v>
      </c>
      <c r="DY66" s="235">
        <f t="shared" si="334"/>
        <v>16221</v>
      </c>
      <c r="DZ66" s="235">
        <f t="shared" si="334"/>
        <v>19029</v>
      </c>
      <c r="EA66" s="235">
        <f t="shared" si="334"/>
        <v>20278</v>
      </c>
      <c r="EB66" s="235">
        <f t="shared" si="334"/>
        <v>23468</v>
      </c>
      <c r="EC66" s="235">
        <f t="shared" si="334"/>
        <v>26464.9</v>
      </c>
      <c r="ED66" s="235">
        <f t="shared" si="334"/>
        <v>30189.4</v>
      </c>
      <c r="EE66" s="235">
        <f t="shared" si="334"/>
        <v>34695</v>
      </c>
      <c r="EF66" s="235">
        <f t="shared" si="334"/>
        <v>35544</v>
      </c>
      <c r="EG66" s="235">
        <f t="shared" si="334"/>
        <v>38267</v>
      </c>
      <c r="EH66" s="235">
        <f>EH64-EH65</f>
        <v>43344</v>
      </c>
      <c r="EI66" s="235">
        <f>EI64-EI65</f>
        <v>45236</v>
      </c>
      <c r="EJ66" s="235">
        <f>SUM(AY66:BB66)</f>
        <v>43563</v>
      </c>
      <c r="EK66" s="235">
        <f>EK64-EK65</f>
        <v>42663</v>
      </c>
      <c r="EL66" s="235">
        <f>SUM(BG66:BJ66)</f>
        <v>48029</v>
      </c>
      <c r="EM66" s="235">
        <f>EM64-EM65</f>
        <v>46089</v>
      </c>
      <c r="EN66" s="235">
        <f>EN64-EN65</f>
        <v>48970</v>
      </c>
      <c r="EO66" s="235">
        <f>+EO64*0.69</f>
        <v>51920.723249999995</v>
      </c>
      <c r="EP66" s="235">
        <f t="shared" ref="EP66:FE66" si="335">+EP64*0.69</f>
        <v>52489.613259749996</v>
      </c>
      <c r="EQ66" s="235">
        <f t="shared" si="335"/>
        <v>48613.910215721247</v>
      </c>
      <c r="ER66" s="235">
        <f t="shared" si="335"/>
        <v>52750.499999999993</v>
      </c>
      <c r="ES66" s="235">
        <f>ES64-ES65</f>
        <v>54490</v>
      </c>
      <c r="ET66" s="235">
        <f>ET64-ET65</f>
        <v>54501</v>
      </c>
      <c r="EU66" s="235">
        <f>EU64-EU65</f>
        <v>54159</v>
      </c>
      <c r="EV66" s="235">
        <f>+EV64-EV65</f>
        <v>65586</v>
      </c>
      <c r="EW66" s="235">
        <f>EW64-EW65</f>
        <v>66896</v>
      </c>
      <c r="EX66" s="235">
        <f t="shared" si="335"/>
        <v>67281.04095000001</v>
      </c>
      <c r="EY66" s="235">
        <f t="shared" si="335"/>
        <v>69511.696151250013</v>
      </c>
      <c r="EZ66" s="235">
        <f t="shared" si="335"/>
        <v>59503.210347063745</v>
      </c>
      <c r="FA66" s="235">
        <f t="shared" si="335"/>
        <v>55526.509825540328</v>
      </c>
      <c r="FB66" s="235">
        <f t="shared" si="335"/>
        <v>56187.471924352307</v>
      </c>
      <c r="FC66" s="235">
        <f t="shared" si="335"/>
        <v>57980.115920125514</v>
      </c>
      <c r="FD66" s="235">
        <f t="shared" si="335"/>
        <v>58182.939142852745</v>
      </c>
      <c r="FE66" s="235">
        <f t="shared" si="335"/>
        <v>58910.749985554605</v>
      </c>
      <c r="FF66" s="235">
        <f t="shared" ref="FF66:FJ66" si="336">+FF64*0.69</f>
        <v>55987.068880108265</v>
      </c>
      <c r="FG66" s="235">
        <f t="shared" si="336"/>
        <v>56350.174505169547</v>
      </c>
      <c r="FH66" s="235">
        <f t="shared" si="336"/>
        <v>57184.166171320976</v>
      </c>
      <c r="FI66" s="235">
        <f t="shared" si="336"/>
        <v>58177.025865103089</v>
      </c>
      <c r="FJ66" s="235">
        <f t="shared" si="336"/>
        <v>59280.687221090775</v>
      </c>
    </row>
    <row r="67" spans="1:270" s="275" customFormat="1" ht="12.75" customHeight="1" x14ac:dyDescent="0.2">
      <c r="A67"/>
      <c r="B67" t="s">
        <v>1772</v>
      </c>
      <c r="C67" s="235">
        <v>2138</v>
      </c>
      <c r="D67" s="235">
        <v>2142</v>
      </c>
      <c r="E67" s="235">
        <v>2149</v>
      </c>
      <c r="F67" s="235">
        <v>2286</v>
      </c>
      <c r="G67" s="235">
        <v>2100</v>
      </c>
      <c r="H67" s="235">
        <v>2114</v>
      </c>
      <c r="I67" s="235">
        <v>2151</v>
      </c>
      <c r="J67" s="235">
        <v>2542</v>
      </c>
      <c r="K67" s="235">
        <v>2403</v>
      </c>
      <c r="L67" s="235">
        <v>2549</v>
      </c>
      <c r="M67" s="235">
        <v>2564</v>
      </c>
      <c r="N67" s="235">
        <v>2861</v>
      </c>
      <c r="O67" s="235">
        <v>2609</v>
      </c>
      <c r="P67" s="235">
        <v>2745</v>
      </c>
      <c r="Q67" s="235">
        <v>2675</v>
      </c>
      <c r="R67" s="235">
        <v>2846</v>
      </c>
      <c r="S67" s="235">
        <v>2721</v>
      </c>
      <c r="T67" s="235">
        <v>2975</v>
      </c>
      <c r="U67" s="235">
        <v>2894</v>
      </c>
      <c r="V67" s="235">
        <v>3280</v>
      </c>
      <c r="W67" s="235">
        <v>2843</v>
      </c>
      <c r="X67" s="235">
        <v>3017</v>
      </c>
      <c r="Y67" s="235">
        <v>3006</v>
      </c>
      <c r="Z67" s="235">
        <v>3350</v>
      </c>
      <c r="AA67" s="235">
        <v>3253</v>
      </c>
      <c r="AB67" s="235">
        <v>3396</v>
      </c>
      <c r="AC67" s="235">
        <v>3428</v>
      </c>
      <c r="AD67" s="235">
        <v>4054</v>
      </c>
      <c r="AE67" s="235">
        <v>3640</v>
      </c>
      <c r="AF67" s="243">
        <v>3711</v>
      </c>
      <c r="AG67" s="243">
        <v>3854</v>
      </c>
      <c r="AH67" s="243">
        <v>4655</v>
      </c>
      <c r="AI67" s="243">
        <v>4127</v>
      </c>
      <c r="AJ67" s="243">
        <v>4194</v>
      </c>
      <c r="AK67" s="243">
        <v>4161</v>
      </c>
      <c r="AL67" s="243">
        <v>4645</v>
      </c>
      <c r="AM67" s="243">
        <v>4095</v>
      </c>
      <c r="AN67" s="243">
        <v>4351</v>
      </c>
      <c r="AO67" s="243">
        <v>4291</v>
      </c>
      <c r="AP67" s="243">
        <v>4696</v>
      </c>
      <c r="AQ67" s="243">
        <v>4802</v>
      </c>
      <c r="AR67" s="243">
        <v>5029</v>
      </c>
      <c r="AS67" s="243">
        <v>4899</v>
      </c>
      <c r="AT67" s="243">
        <v>5721</v>
      </c>
      <c r="AU67" s="243">
        <v>5123</v>
      </c>
      <c r="AV67" s="243">
        <v>5507</v>
      </c>
      <c r="AW67" s="243">
        <v>5195</v>
      </c>
      <c r="AX67" s="243">
        <v>5665</v>
      </c>
      <c r="AY67" s="243">
        <v>4608</v>
      </c>
      <c r="AZ67" s="243">
        <v>4797</v>
      </c>
      <c r="BA67" s="243">
        <v>4767</v>
      </c>
      <c r="BB67" s="243">
        <v>5629</v>
      </c>
      <c r="BC67" s="243">
        <v>4779</v>
      </c>
      <c r="BD67" s="243">
        <v>4756</v>
      </c>
      <c r="BE67" s="243">
        <v>4709</v>
      </c>
      <c r="BF67" s="243">
        <v>5180</v>
      </c>
      <c r="BG67" s="243">
        <v>5056</v>
      </c>
      <c r="BH67" s="243">
        <v>5215</v>
      </c>
      <c r="BI67" s="243">
        <v>5240</v>
      </c>
      <c r="BJ67" s="243">
        <v>5458</v>
      </c>
      <c r="BK67" s="243">
        <v>5015</v>
      </c>
      <c r="BL67" s="243">
        <v>4965</v>
      </c>
      <c r="BM67" s="243">
        <v>5228</v>
      </c>
      <c r="BN67" s="243">
        <v>5661</v>
      </c>
      <c r="BO67" s="243">
        <v>5223</v>
      </c>
      <c r="BP67" s="243">
        <f>5376-375</f>
        <v>5001</v>
      </c>
      <c r="BQ67" s="243">
        <v>5314</v>
      </c>
      <c r="BR67" s="243">
        <v>5917</v>
      </c>
      <c r="BS67" s="243">
        <v>5183</v>
      </c>
      <c r="BT67" s="243">
        <v>5481</v>
      </c>
      <c r="BU67" s="243">
        <v>5468</v>
      </c>
      <c r="BV67" s="243">
        <v>5822</v>
      </c>
      <c r="BW67" s="243">
        <v>4847</v>
      </c>
      <c r="BX67" s="243">
        <v>5384</v>
      </c>
      <c r="BY67" s="243">
        <v>5081</v>
      </c>
      <c r="BZ67" s="243">
        <v>5891</v>
      </c>
      <c r="CA67" s="243">
        <v>4688</v>
      </c>
      <c r="CB67" s="243">
        <v>5176</v>
      </c>
      <c r="CC67" s="243">
        <v>4772</v>
      </c>
      <c r="CD67" s="243">
        <v>5309</v>
      </c>
      <c r="CE67" s="243">
        <v>4737</v>
      </c>
      <c r="CF67" s="243">
        <v>5262</v>
      </c>
      <c r="CG67" s="243">
        <v>5396</v>
      </c>
      <c r="CH67" s="243">
        <v>6025</v>
      </c>
      <c r="CI67" s="243">
        <v>5263</v>
      </c>
      <c r="CJ67" s="243">
        <v>5743</v>
      </c>
      <c r="CK67" s="243">
        <f>5543-1085</f>
        <v>4458</v>
      </c>
      <c r="CL67" s="243">
        <f>5991-1073</f>
        <v>4918</v>
      </c>
      <c r="CM67" s="243">
        <v>5219</v>
      </c>
      <c r="CN67" s="243">
        <v>5546</v>
      </c>
      <c r="CO67" s="243">
        <f>5374-1138</f>
        <v>4236</v>
      </c>
      <c r="CP67" s="243">
        <f>6039-1142</f>
        <v>4897</v>
      </c>
      <c r="CQ67" s="243">
        <v>5203</v>
      </c>
      <c r="CR67" s="243">
        <v>4993</v>
      </c>
      <c r="CS67" s="243">
        <v>5431</v>
      </c>
      <c r="CT67" s="243">
        <v>6457</v>
      </c>
      <c r="CU67" s="243">
        <v>5432</v>
      </c>
      <c r="CV67" s="243">
        <v>6067</v>
      </c>
      <c r="CW67" s="243">
        <v>6000</v>
      </c>
      <c r="CX67" s="243">
        <v>7154</v>
      </c>
      <c r="CY67" s="243">
        <v>5938</v>
      </c>
      <c r="CZ67" s="243">
        <v>6220</v>
      </c>
      <c r="DA67" s="243">
        <v>6089</v>
      </c>
      <c r="DB67" s="243">
        <v>6460</v>
      </c>
      <c r="DC67" s="243">
        <v>4906</v>
      </c>
      <c r="DD67" s="243">
        <v>6665</v>
      </c>
      <c r="DE67" s="243">
        <v>5394</v>
      </c>
      <c r="DF67" s="243">
        <v>5802</v>
      </c>
      <c r="DG67" s="243">
        <v>5253</v>
      </c>
      <c r="DH67" s="243">
        <v>5681</v>
      </c>
      <c r="DI67" s="243">
        <v>5475</v>
      </c>
      <c r="DJ67" s="243">
        <v>6449</v>
      </c>
      <c r="DK67" s="243"/>
      <c r="DL67" s="243"/>
      <c r="DM67" s="243"/>
      <c r="DN67" s="243"/>
      <c r="DP67" s="235">
        <v>3897</v>
      </c>
      <c r="DQ67" s="235">
        <v>4469</v>
      </c>
      <c r="DR67" s="235">
        <v>5099</v>
      </c>
      <c r="DS67" s="235">
        <v>5671</v>
      </c>
      <c r="DT67" s="235">
        <v>5771</v>
      </c>
      <c r="DU67" s="235">
        <v>6350</v>
      </c>
      <c r="DV67" s="235">
        <v>7462</v>
      </c>
      <c r="DW67" s="235">
        <v>8394</v>
      </c>
      <c r="DX67" s="235">
        <v>8715</v>
      </c>
      <c r="DY67" s="235">
        <v>8907</v>
      </c>
      <c r="DZ67" s="235">
        <v>10503</v>
      </c>
      <c r="EA67" s="235">
        <v>10875</v>
      </c>
      <c r="EB67" s="235">
        <v>11992</v>
      </c>
      <c r="EC67" s="235">
        <v>12216</v>
      </c>
      <c r="ED67" s="235">
        <v>14131</v>
      </c>
      <c r="EE67" s="235">
        <v>15860</v>
      </c>
      <c r="EF67" s="235">
        <v>16877</v>
      </c>
      <c r="EG67" s="235">
        <f>SUM(AM67:AP67)</f>
        <v>17433</v>
      </c>
      <c r="EH67" s="235">
        <f>SUM(AQ67:AT67)</f>
        <v>20451</v>
      </c>
      <c r="EI67" s="235">
        <f>SUM(AU67:AX67)</f>
        <v>21490</v>
      </c>
      <c r="EJ67" s="235">
        <f>SUM(AY67:BB67)</f>
        <v>19801</v>
      </c>
      <c r="EK67" s="235">
        <f>SUM(BC67:BF67)</f>
        <v>19424</v>
      </c>
      <c r="EL67" s="235">
        <f>SUM(BG67:BJ67)</f>
        <v>20969</v>
      </c>
      <c r="EM67" s="235">
        <f>SUM(BK67:BN67)</f>
        <v>20869</v>
      </c>
      <c r="EN67" s="235">
        <f>SUM(BO67:BR67)</f>
        <v>21455</v>
      </c>
      <c r="EO67" s="235">
        <f>EO64*EO99</f>
        <v>24831.650250000002</v>
      </c>
      <c r="EP67" s="235"/>
      <c r="EQ67" s="235"/>
      <c r="ER67" s="235">
        <f>+EQ67</f>
        <v>0</v>
      </c>
      <c r="ES67" s="235">
        <f t="shared" si="302"/>
        <v>20382</v>
      </c>
      <c r="ET67" s="235">
        <f t="shared" si="303"/>
        <v>19898</v>
      </c>
      <c r="EU67" s="235">
        <f t="shared" si="304"/>
        <v>22084</v>
      </c>
      <c r="EV67" s="235">
        <f>SUM(CU67:CX67)</f>
        <v>24653</v>
      </c>
      <c r="EW67" s="235">
        <f>SUM(CY67:DB67)</f>
        <v>24707</v>
      </c>
      <c r="EX67" s="235">
        <f t="shared" ref="EX67:FE67" si="337">+EX64*0.26</f>
        <v>25352.276300000005</v>
      </c>
      <c r="EY67" s="235">
        <f t="shared" si="337"/>
        <v>26192.813042500005</v>
      </c>
      <c r="EZ67" s="235">
        <f t="shared" si="337"/>
        <v>22421.4995510675</v>
      </c>
      <c r="FA67" s="235">
        <f t="shared" si="337"/>
        <v>20923.032687884763</v>
      </c>
      <c r="FB67" s="235">
        <f t="shared" si="337"/>
        <v>21172.090870045799</v>
      </c>
      <c r="FC67" s="235">
        <f t="shared" si="337"/>
        <v>21847.579911931356</v>
      </c>
      <c r="FD67" s="235">
        <f t="shared" si="337"/>
        <v>21924.006053828572</v>
      </c>
      <c r="FE67" s="235">
        <f t="shared" si="337"/>
        <v>22198.253617745217</v>
      </c>
      <c r="FF67" s="235">
        <f t="shared" ref="FF67:FJ67" si="338">+FF64*0.26</f>
        <v>21096.576679461086</v>
      </c>
      <c r="FG67" s="235">
        <f t="shared" si="338"/>
        <v>21233.399088904469</v>
      </c>
      <c r="FH67" s="235">
        <f t="shared" si="338"/>
        <v>21547.656818178919</v>
      </c>
      <c r="FI67" s="235">
        <f t="shared" si="338"/>
        <v>21921.777862212763</v>
      </c>
      <c r="FJ67" s="235">
        <f t="shared" si="338"/>
        <v>22337.650257222613</v>
      </c>
    </row>
    <row r="68" spans="1:270" s="275" customFormat="1" ht="12.75" customHeight="1" x14ac:dyDescent="0.2">
      <c r="A68"/>
      <c r="B68" t="s">
        <v>1773</v>
      </c>
      <c r="C68" s="235">
        <v>478</v>
      </c>
      <c r="D68" s="235">
        <v>520</v>
      </c>
      <c r="E68" s="235">
        <v>516</v>
      </c>
      <c r="F68" s="235">
        <v>626</v>
      </c>
      <c r="G68" s="235">
        <v>494</v>
      </c>
      <c r="H68" s="235">
        <v>532</v>
      </c>
      <c r="I68" s="235">
        <v>511</v>
      </c>
      <c r="J68" s="235">
        <v>732</v>
      </c>
      <c r="K68" s="235">
        <v>536</v>
      </c>
      <c r="L68" s="235">
        <v>574</v>
      </c>
      <c r="M68" s="235">
        <v>613</v>
      </c>
      <c r="N68" s="235">
        <v>812</v>
      </c>
      <c r="O68" s="235">
        <v>637</v>
      </c>
      <c r="P68" s="235">
        <v>667</v>
      </c>
      <c r="Q68" s="235">
        <v>692</v>
      </c>
      <c r="R68" s="235">
        <v>930</v>
      </c>
      <c r="S68" s="235">
        <v>701</v>
      </c>
      <c r="T68" s="235">
        <v>829</v>
      </c>
      <c r="U68" s="235">
        <v>899</v>
      </c>
      <c r="V68" s="235">
        <v>1104</v>
      </c>
      <c r="W68" s="235">
        <v>831</v>
      </c>
      <c r="X68" s="235">
        <v>932</v>
      </c>
      <c r="Y68" s="235">
        <v>952</v>
      </c>
      <c r="Z68" s="235">
        <v>1242</v>
      </c>
      <c r="AA68" s="235">
        <v>936</v>
      </c>
      <c r="AB68" s="235">
        <v>1082</v>
      </c>
      <c r="AC68" s="235">
        <v>1177</v>
      </c>
      <c r="AD68" s="235">
        <v>1489</v>
      </c>
      <c r="AE68" s="235">
        <v>1095</v>
      </c>
      <c r="AF68" s="243">
        <v>1182</v>
      </c>
      <c r="AG68" s="243">
        <v>1198</v>
      </c>
      <c r="AH68" s="243">
        <v>1727</v>
      </c>
      <c r="AI68" s="243">
        <v>1384</v>
      </c>
      <c r="AJ68" s="243">
        <v>1487</v>
      </c>
      <c r="AK68" s="243">
        <v>1539</v>
      </c>
      <c r="AL68" s="243">
        <v>2014</v>
      </c>
      <c r="AM68" s="243">
        <v>1532</v>
      </c>
      <c r="AN68" s="243">
        <f>1828-165</f>
        <v>1663</v>
      </c>
      <c r="AO68" s="243">
        <v>1719</v>
      </c>
      <c r="AP68" s="243">
        <v>2046</v>
      </c>
      <c r="AQ68" s="243">
        <v>1652</v>
      </c>
      <c r="AR68" s="243">
        <v>1866</v>
      </c>
      <c r="AS68" s="243">
        <v>1834</v>
      </c>
      <c r="AT68" s="243">
        <f>2328</f>
        <v>2328</v>
      </c>
      <c r="AU68" s="243">
        <v>1712</v>
      </c>
      <c r="AV68" s="243">
        <v>1896</v>
      </c>
      <c r="AW68" s="243">
        <v>1861</v>
      </c>
      <c r="AX68" s="243">
        <v>2108</v>
      </c>
      <c r="AY68" s="243">
        <v>1518</v>
      </c>
      <c r="AZ68" s="243">
        <v>1638</v>
      </c>
      <c r="BA68" s="243">
        <v>1617</v>
      </c>
      <c r="BB68" s="243">
        <v>2213</v>
      </c>
      <c r="BC68" s="243">
        <v>1557</v>
      </c>
      <c r="BD68" s="243">
        <v>1648</v>
      </c>
      <c r="BE68" s="243">
        <v>1657</v>
      </c>
      <c r="BF68" s="243">
        <v>1982</v>
      </c>
      <c r="BG68" s="243">
        <v>1738</v>
      </c>
      <c r="BH68" s="243">
        <v>1882</v>
      </c>
      <c r="BI68" s="243">
        <v>1773</v>
      </c>
      <c r="BJ68" s="243">
        <v>2155</v>
      </c>
      <c r="BK68" s="243">
        <v>1645</v>
      </c>
      <c r="BL68" s="243">
        <v>1766</v>
      </c>
      <c r="BM68" s="243">
        <v>1923</v>
      </c>
      <c r="BN68" s="243">
        <v>2331</v>
      </c>
      <c r="BO68" s="243">
        <v>1784</v>
      </c>
      <c r="BP68" s="243">
        <v>1946</v>
      </c>
      <c r="BQ68" s="243">
        <v>2042</v>
      </c>
      <c r="BR68" s="243">
        <v>2411</v>
      </c>
      <c r="BS68" s="243">
        <v>1831</v>
      </c>
      <c r="BT68" s="243">
        <v>2005</v>
      </c>
      <c r="BU68" s="243">
        <v>2023</v>
      </c>
      <c r="BV68" s="243">
        <v>2635</v>
      </c>
      <c r="BW68" s="243">
        <v>1899</v>
      </c>
      <c r="BX68" s="243">
        <v>2129</v>
      </c>
      <c r="BY68" s="243">
        <v>2154</v>
      </c>
      <c r="BZ68" s="243">
        <v>2864</v>
      </c>
      <c r="CA68" s="243">
        <v>2013</v>
      </c>
      <c r="CB68" s="243">
        <v>2264</v>
      </c>
      <c r="CC68" s="243">
        <v>2178</v>
      </c>
      <c r="CD68" s="243">
        <v>2640</v>
      </c>
      <c r="CE68" s="243">
        <v>2060</v>
      </c>
      <c r="CF68" s="243">
        <v>2285</v>
      </c>
      <c r="CG68" s="243">
        <v>2574</v>
      </c>
      <c r="CH68" s="243">
        <v>3635</v>
      </c>
      <c r="CI68" s="243">
        <v>2404</v>
      </c>
      <c r="CJ68" s="243">
        <v>2639</v>
      </c>
      <c r="CK68" s="243">
        <v>2508</v>
      </c>
      <c r="CL68" s="243">
        <v>3224</v>
      </c>
      <c r="CM68" s="243">
        <v>2858</v>
      </c>
      <c r="CN68" s="243">
        <v>2666</v>
      </c>
      <c r="CO68" s="243">
        <v>2599</v>
      </c>
      <c r="CP68" s="243">
        <v>3232</v>
      </c>
      <c r="CQ68" s="243">
        <v>2580</v>
      </c>
      <c r="CR68" s="243">
        <v>2707</v>
      </c>
      <c r="CS68" s="243">
        <v>2840</v>
      </c>
      <c r="CT68" s="243">
        <v>4032</v>
      </c>
      <c r="CU68" s="243">
        <v>3178</v>
      </c>
      <c r="CV68" s="243">
        <v>3364</v>
      </c>
      <c r="CW68" s="243">
        <v>3422</v>
      </c>
      <c r="CX68" s="243">
        <v>4720</v>
      </c>
      <c r="CY68" s="243">
        <v>3462</v>
      </c>
      <c r="CZ68" s="243">
        <v>3554</v>
      </c>
      <c r="DA68" s="243">
        <v>3597</v>
      </c>
      <c r="DB68" s="243">
        <v>3681</v>
      </c>
      <c r="DC68" s="243">
        <v>3455</v>
      </c>
      <c r="DD68" s="243">
        <v>3829</v>
      </c>
      <c r="DE68" s="243">
        <v>3378</v>
      </c>
      <c r="DF68" s="243">
        <v>4425</v>
      </c>
      <c r="DG68" s="243">
        <v>3490</v>
      </c>
      <c r="DH68" s="243">
        <v>3440</v>
      </c>
      <c r="DI68" s="243">
        <v>4895</v>
      </c>
      <c r="DJ68" s="243">
        <v>5267</v>
      </c>
      <c r="DK68" s="243"/>
      <c r="DL68" s="243"/>
      <c r="DM68" s="243"/>
      <c r="DN68" s="243"/>
      <c r="DP68" s="235">
        <v>719</v>
      </c>
      <c r="DQ68" s="235">
        <v>834</v>
      </c>
      <c r="DR68" s="235">
        <v>980</v>
      </c>
      <c r="DS68" s="235">
        <v>1127</v>
      </c>
      <c r="DT68" s="235">
        <v>1182</v>
      </c>
      <c r="DU68" s="235">
        <v>1278</v>
      </c>
      <c r="DV68" s="235">
        <v>1634</v>
      </c>
      <c r="DW68" s="235">
        <v>1905</v>
      </c>
      <c r="DX68" s="235">
        <v>2140</v>
      </c>
      <c r="DY68" s="235">
        <v>2269</v>
      </c>
      <c r="DZ68" s="235">
        <v>2600</v>
      </c>
      <c r="EA68" s="235">
        <v>2926</v>
      </c>
      <c r="EB68" s="235">
        <v>3591</v>
      </c>
      <c r="EC68" s="235">
        <v>3957</v>
      </c>
      <c r="ED68" s="235">
        <v>4684</v>
      </c>
      <c r="EE68" s="235">
        <v>5203</v>
      </c>
      <c r="EF68" s="235">
        <v>6312</v>
      </c>
      <c r="EG68" s="235">
        <f>SUM(AM68:AP68)</f>
        <v>6960</v>
      </c>
      <c r="EH68" s="235">
        <f>SUM(AQ68:AT68)</f>
        <v>7680</v>
      </c>
      <c r="EI68" s="235">
        <f>SUM(AU68:AX68)</f>
        <v>7577</v>
      </c>
      <c r="EJ68" s="235">
        <f>SUM(AY68:BB68)</f>
        <v>6986</v>
      </c>
      <c r="EK68" s="235">
        <f>SUM(BC68:BF68)</f>
        <v>6844</v>
      </c>
      <c r="EL68" s="235">
        <f>SUM(BG68:BJ68)</f>
        <v>7548</v>
      </c>
      <c r="EM68" s="235">
        <f>SUM(BK68:BN68)</f>
        <v>7665</v>
      </c>
      <c r="EN68" s="235">
        <f>SUM(BO68:BR68)</f>
        <v>8183</v>
      </c>
      <c r="EO68" s="235">
        <v>3000</v>
      </c>
      <c r="EP68" s="235">
        <v>3000</v>
      </c>
      <c r="EQ68" s="235">
        <v>3000</v>
      </c>
      <c r="ER68" s="235"/>
      <c r="ES68" s="235">
        <f t="shared" si="302"/>
        <v>10775</v>
      </c>
      <c r="ET68" s="235">
        <f t="shared" si="303"/>
        <v>11355</v>
      </c>
      <c r="EU68" s="235">
        <f t="shared" si="304"/>
        <v>12159</v>
      </c>
      <c r="EV68" s="235">
        <f t="shared" si="320"/>
        <v>14684</v>
      </c>
      <c r="EW68" s="235">
        <f>SUM(CY68:DB68)</f>
        <v>14294</v>
      </c>
      <c r="EX68" s="235">
        <v>3000</v>
      </c>
      <c r="EY68" s="235">
        <v>3000</v>
      </c>
      <c r="EZ68" s="235">
        <v>3000</v>
      </c>
      <c r="FA68" s="235">
        <v>3000</v>
      </c>
      <c r="FB68" s="235">
        <v>3000</v>
      </c>
      <c r="FC68" s="235">
        <v>3000</v>
      </c>
      <c r="FD68" s="235">
        <v>3000</v>
      </c>
      <c r="FE68" s="235">
        <v>3000</v>
      </c>
      <c r="FF68" s="235">
        <v>3000</v>
      </c>
      <c r="FG68" s="235">
        <v>3000</v>
      </c>
      <c r="FH68" s="235">
        <v>3000</v>
      </c>
      <c r="FI68" s="235">
        <v>3000</v>
      </c>
      <c r="FJ68" s="235">
        <v>3000</v>
      </c>
    </row>
    <row r="69" spans="1:270" s="275" customFormat="1" ht="12.75" customHeight="1" x14ac:dyDescent="0.2">
      <c r="A69"/>
      <c r="B69" t="s">
        <v>521</v>
      </c>
      <c r="C69" s="235"/>
      <c r="D69" s="235"/>
      <c r="E69" s="235"/>
      <c r="F69" s="235"/>
      <c r="G69" s="235"/>
      <c r="H69" s="235"/>
      <c r="I69" s="235"/>
      <c r="J69" s="235"/>
      <c r="K69" s="235"/>
      <c r="L69" s="235"/>
      <c r="M69" s="235"/>
      <c r="N69" s="235"/>
      <c r="O69" s="235"/>
      <c r="P69" s="235"/>
      <c r="Q69" s="235"/>
      <c r="R69" s="235"/>
      <c r="S69" s="235"/>
      <c r="T69" s="235"/>
      <c r="U69" s="235"/>
      <c r="V69" s="235"/>
      <c r="W69" s="235"/>
      <c r="X69" s="235"/>
      <c r="Y69" s="235"/>
      <c r="Z69" s="235"/>
      <c r="AA69" s="235"/>
      <c r="AB69" s="235"/>
      <c r="AC69" s="235"/>
      <c r="AD69" s="235"/>
      <c r="AE69" s="235"/>
      <c r="AF69" s="243"/>
      <c r="AG69" s="243"/>
      <c r="AH69" s="243"/>
      <c r="AI69" s="243"/>
      <c r="AJ69" s="243"/>
      <c r="AK69" s="243"/>
      <c r="AL69" s="243"/>
      <c r="AM69" s="243"/>
      <c r="AN69" s="243"/>
      <c r="AO69" s="243"/>
      <c r="AP69" s="243"/>
      <c r="AQ69" s="243"/>
      <c r="AR69" s="243"/>
      <c r="AS69" s="243"/>
      <c r="AT69" s="243"/>
      <c r="AU69" s="243"/>
      <c r="AV69" s="243"/>
      <c r="AW69" s="243"/>
      <c r="AX69" s="243"/>
      <c r="AY69" s="243"/>
      <c r="AZ69" s="243"/>
      <c r="BA69" s="243"/>
      <c r="BB69" s="243"/>
      <c r="BC69" s="243"/>
      <c r="BD69" s="243"/>
      <c r="BE69" s="243"/>
      <c r="BF69" s="243"/>
      <c r="BG69" s="243"/>
      <c r="BH69" s="243"/>
      <c r="BI69" s="243"/>
      <c r="BJ69" s="243"/>
      <c r="BK69" s="243"/>
      <c r="BL69" s="243"/>
      <c r="BM69" s="243"/>
      <c r="BN69" s="243"/>
      <c r="BO69" s="243"/>
      <c r="BP69" s="243"/>
      <c r="BQ69" s="243"/>
      <c r="BR69" s="243"/>
      <c r="BS69" s="243">
        <f t="shared" ref="BS69" si="339">+BS67+BS68</f>
        <v>7014</v>
      </c>
      <c r="BT69" s="243">
        <f t="shared" ref="BT69" si="340">+BT67+BT68</f>
        <v>7486</v>
      </c>
      <c r="BU69" s="243">
        <f t="shared" ref="BU69" si="341">+BU67+BU68</f>
        <v>7491</v>
      </c>
      <c r="BV69" s="243">
        <f t="shared" ref="BV69" si="342">+BV67+BV68</f>
        <v>8457</v>
      </c>
      <c r="BW69" s="243">
        <f>+BW67+BW68</f>
        <v>6746</v>
      </c>
      <c r="BX69" s="243">
        <f t="shared" ref="BX69:BY69" si="343">+BX67+BX68</f>
        <v>7513</v>
      </c>
      <c r="BY69" s="243">
        <f t="shared" si="343"/>
        <v>7235</v>
      </c>
      <c r="BZ69" s="243">
        <f t="shared" ref="BZ69" si="344">+BZ67+BZ68</f>
        <v>8755</v>
      </c>
      <c r="CA69" s="243">
        <f t="shared" ref="CA69:CB69" si="345">+CA67+CA68</f>
        <v>6701</v>
      </c>
      <c r="CB69" s="243">
        <f t="shared" si="345"/>
        <v>7440</v>
      </c>
      <c r="CC69" s="243">
        <f t="shared" ref="CC69:CD69" si="346">+CC67+CC68</f>
        <v>6950</v>
      </c>
      <c r="CD69" s="243">
        <f t="shared" si="346"/>
        <v>7949</v>
      </c>
      <c r="CE69" s="243">
        <f t="shared" ref="CE69:CH69" si="347">+CE67+CE68</f>
        <v>6797</v>
      </c>
      <c r="CF69" s="243">
        <f t="shared" si="347"/>
        <v>7547</v>
      </c>
      <c r="CG69" s="243">
        <f t="shared" si="347"/>
        <v>7970</v>
      </c>
      <c r="CH69" s="243">
        <f t="shared" si="347"/>
        <v>9660</v>
      </c>
      <c r="CI69" s="243">
        <f>+CI67+CI68</f>
        <v>7667</v>
      </c>
      <c r="CJ69" s="243">
        <f>+CJ67+CJ68</f>
        <v>8382</v>
      </c>
      <c r="CK69" s="243">
        <f>+CK68+CK67</f>
        <v>6966</v>
      </c>
      <c r="CL69" s="243">
        <f>+CL68+CL67</f>
        <v>8142</v>
      </c>
      <c r="CM69" s="243">
        <f t="shared" ref="CM69" si="348">+CM68+CM67</f>
        <v>8077</v>
      </c>
      <c r="CN69" s="243">
        <f>+CN68+CN67</f>
        <v>8212</v>
      </c>
      <c r="CO69" s="243">
        <f>+CO68+CO67</f>
        <v>6835</v>
      </c>
      <c r="CP69" s="243">
        <f>+CP68+CP67</f>
        <v>8129</v>
      </c>
      <c r="CQ69" s="243">
        <f t="shared" ref="CQ69" si="349">+CQ68+CQ67</f>
        <v>7783</v>
      </c>
      <c r="CR69" s="243">
        <f t="shared" ref="CR69" si="350">+CR68+CR67</f>
        <v>7700</v>
      </c>
      <c r="CS69" s="243">
        <f t="shared" ref="CS69" si="351">+CS68+CS67</f>
        <v>8271</v>
      </c>
      <c r="CT69" s="243">
        <f t="shared" ref="CT69" si="352">+CT68+CT67</f>
        <v>10489</v>
      </c>
      <c r="CU69" s="243">
        <f t="shared" ref="CU69" si="353">+CU68+CU67</f>
        <v>8610</v>
      </c>
      <c r="CV69" s="243">
        <f t="shared" ref="CV69" si="354">+CV68+CV67</f>
        <v>9431</v>
      </c>
      <c r="CW69" s="243">
        <f t="shared" ref="CW69" si="355">+CW68+CW67</f>
        <v>9422</v>
      </c>
      <c r="CX69" s="243">
        <f t="shared" ref="CX69" si="356">+CX68+CX67</f>
        <v>11874</v>
      </c>
      <c r="CY69" s="243">
        <f>+CY68+CY67</f>
        <v>9400</v>
      </c>
      <c r="CZ69" s="243">
        <f>+CZ68+CZ67</f>
        <v>9774</v>
      </c>
      <c r="DA69" s="243">
        <f t="shared" ref="DA69:DG69" si="357">+DA68+DA67</f>
        <v>9686</v>
      </c>
      <c r="DB69" s="243">
        <f t="shared" si="357"/>
        <v>10141</v>
      </c>
      <c r="DC69" s="243">
        <f t="shared" si="357"/>
        <v>8361</v>
      </c>
      <c r="DD69" s="243">
        <f t="shared" si="357"/>
        <v>10494</v>
      </c>
      <c r="DE69" s="243">
        <f>+DE68+DE67</f>
        <v>8772</v>
      </c>
      <c r="DF69" s="243">
        <f t="shared" si="357"/>
        <v>10227</v>
      </c>
      <c r="DG69" s="243">
        <f t="shared" si="357"/>
        <v>8743</v>
      </c>
      <c r="DH69" s="243">
        <f t="shared" ref="DH69:DN69" si="358">+DH68+DH67</f>
        <v>9121</v>
      </c>
      <c r="DI69" s="243">
        <f t="shared" si="358"/>
        <v>10370</v>
      </c>
      <c r="DJ69" s="243">
        <f t="shared" si="358"/>
        <v>11716</v>
      </c>
      <c r="DK69" s="243">
        <f t="shared" si="358"/>
        <v>0</v>
      </c>
      <c r="DL69" s="243">
        <f t="shared" si="358"/>
        <v>0</v>
      </c>
      <c r="DM69" s="243">
        <f t="shared" si="358"/>
        <v>0</v>
      </c>
      <c r="DN69" s="243">
        <f t="shared" si="358"/>
        <v>0</v>
      </c>
      <c r="DP69" s="235"/>
      <c r="DQ69" s="235"/>
      <c r="DR69" s="235"/>
      <c r="DS69" s="235"/>
      <c r="DT69" s="235"/>
      <c r="DU69" s="235"/>
      <c r="DV69" s="235"/>
      <c r="DW69" s="235"/>
      <c r="DX69" s="235"/>
      <c r="DY69" s="235"/>
      <c r="DZ69" s="235"/>
      <c r="EA69" s="235"/>
      <c r="EB69" s="235"/>
      <c r="EC69" s="235"/>
      <c r="ED69" s="235"/>
      <c r="EE69" s="235"/>
      <c r="EF69" s="235"/>
      <c r="EG69" s="235"/>
      <c r="EH69" s="235"/>
      <c r="EI69" s="235"/>
      <c r="EJ69" s="235"/>
      <c r="EK69" s="235"/>
      <c r="EL69" s="235"/>
      <c r="EM69" s="235"/>
      <c r="EN69" s="235"/>
      <c r="EO69" s="235"/>
      <c r="EP69" s="235"/>
      <c r="EQ69" s="235"/>
      <c r="ER69" s="235"/>
      <c r="ES69" s="235">
        <f t="shared" ref="ES69:EV69" si="359">+ES68+ES67</f>
        <v>31157</v>
      </c>
      <c r="ET69" s="235">
        <f t="shared" si="359"/>
        <v>31253</v>
      </c>
      <c r="EU69" s="235">
        <f t="shared" si="359"/>
        <v>34243</v>
      </c>
      <c r="EV69" s="235">
        <f t="shared" si="359"/>
        <v>39337</v>
      </c>
      <c r="EW69" s="235">
        <f>+EW68+EW67</f>
        <v>39001</v>
      </c>
      <c r="EX69" s="235">
        <f t="shared" ref="EX69" si="360">+EX68+EX67</f>
        <v>28352.276300000005</v>
      </c>
      <c r="EY69" s="235">
        <f t="shared" ref="EY69" si="361">+EY68+EY67</f>
        <v>29192.813042500005</v>
      </c>
      <c r="EZ69" s="235">
        <f t="shared" ref="EZ69" si="362">+EZ68+EZ67</f>
        <v>25421.4995510675</v>
      </c>
      <c r="FA69" s="235">
        <f t="shared" ref="FA69" si="363">+FA68+FA67</f>
        <v>23923.032687884763</v>
      </c>
      <c r="FB69" s="235">
        <f t="shared" ref="FB69" si="364">+FB68+FB67</f>
        <v>24172.090870045799</v>
      </c>
      <c r="FC69" s="235">
        <f t="shared" ref="FC69" si="365">+FC68+FC67</f>
        <v>24847.579911931356</v>
      </c>
      <c r="FD69" s="235">
        <f t="shared" ref="FD69" si="366">+FD68+FD67</f>
        <v>24924.006053828572</v>
      </c>
      <c r="FE69" s="235">
        <f t="shared" ref="FE69:FJ69" si="367">+FE68+FE67</f>
        <v>25198.253617745217</v>
      </c>
      <c r="FF69" s="235">
        <f t="shared" si="367"/>
        <v>24096.576679461086</v>
      </c>
      <c r="FG69" s="235">
        <f t="shared" si="367"/>
        <v>24233.399088904469</v>
      </c>
      <c r="FH69" s="235">
        <f t="shared" si="367"/>
        <v>24547.656818178919</v>
      </c>
      <c r="FI69" s="235">
        <f t="shared" si="367"/>
        <v>24921.777862212763</v>
      </c>
      <c r="FJ69" s="235">
        <f t="shared" si="367"/>
        <v>25337.650257222613</v>
      </c>
    </row>
    <row r="70" spans="1:270" s="275" customFormat="1" ht="12.75" customHeight="1" x14ac:dyDescent="0.2">
      <c r="A70"/>
      <c r="B70" t="s">
        <v>340</v>
      </c>
      <c r="C70" s="235">
        <f t="shared" ref="C70:AH70" si="368">C66-C67-C68</f>
        <v>1327</v>
      </c>
      <c r="D70" s="235">
        <f t="shared" si="368"/>
        <v>1287</v>
      </c>
      <c r="E70" s="235">
        <f t="shared" si="368"/>
        <v>1171</v>
      </c>
      <c r="F70" s="235">
        <f t="shared" si="368"/>
        <v>837</v>
      </c>
      <c r="G70" s="235">
        <f t="shared" si="368"/>
        <v>1412</v>
      </c>
      <c r="H70" s="235">
        <f t="shared" si="368"/>
        <v>1334</v>
      </c>
      <c r="I70" s="235">
        <f t="shared" si="368"/>
        <v>1304</v>
      </c>
      <c r="J70" s="235">
        <f t="shared" si="368"/>
        <v>995</v>
      </c>
      <c r="K70" s="235">
        <f t="shared" si="368"/>
        <v>1661</v>
      </c>
      <c r="L70" s="235">
        <f t="shared" si="368"/>
        <v>1645</v>
      </c>
      <c r="M70" s="235">
        <f t="shared" si="368"/>
        <v>1542</v>
      </c>
      <c r="N70" s="235">
        <f t="shared" si="368"/>
        <v>1023</v>
      </c>
      <c r="O70" s="235">
        <f t="shared" si="368"/>
        <v>1832</v>
      </c>
      <c r="P70" s="235">
        <f t="shared" si="368"/>
        <v>1840</v>
      </c>
      <c r="Q70" s="235">
        <f t="shared" si="368"/>
        <v>1658</v>
      </c>
      <c r="R70" s="235">
        <f t="shared" si="368"/>
        <v>1147</v>
      </c>
      <c r="S70" s="235">
        <f t="shared" si="368"/>
        <v>2090</v>
      </c>
      <c r="T70" s="235">
        <f t="shared" si="368"/>
        <v>2176</v>
      </c>
      <c r="U70" s="235">
        <f t="shared" si="368"/>
        <v>2060</v>
      </c>
      <c r="V70" s="235">
        <f t="shared" si="368"/>
        <v>1530</v>
      </c>
      <c r="W70" s="235">
        <f t="shared" si="368"/>
        <v>2612</v>
      </c>
      <c r="X70" s="235">
        <f t="shared" si="368"/>
        <v>2542</v>
      </c>
      <c r="Y70" s="235">
        <f t="shared" si="368"/>
        <v>2510</v>
      </c>
      <c r="Z70" s="235">
        <f t="shared" si="368"/>
        <v>2014</v>
      </c>
      <c r="AA70" s="235">
        <f t="shared" si="368"/>
        <v>2911</v>
      </c>
      <c r="AB70" s="235">
        <f t="shared" si="368"/>
        <v>2888</v>
      </c>
      <c r="AC70" s="235">
        <f t="shared" si="368"/>
        <v>2869</v>
      </c>
      <c r="AD70" s="235">
        <f t="shared" si="368"/>
        <v>2338</v>
      </c>
      <c r="AE70" s="235">
        <f t="shared" si="368"/>
        <v>3882</v>
      </c>
      <c r="AF70" s="243">
        <f t="shared" si="368"/>
        <v>3837</v>
      </c>
      <c r="AG70" s="243">
        <f t="shared" si="368"/>
        <v>3314</v>
      </c>
      <c r="AH70" s="243">
        <f t="shared" si="368"/>
        <v>2664</v>
      </c>
      <c r="AI70" s="243">
        <f t="shared" ref="AI70:BA70" si="369">AI66-AI67-AI68</f>
        <v>3825</v>
      </c>
      <c r="AJ70" s="243">
        <f t="shared" si="369"/>
        <v>3559</v>
      </c>
      <c r="AK70" s="243">
        <f t="shared" si="369"/>
        <v>3256</v>
      </c>
      <c r="AL70" s="243">
        <f t="shared" si="369"/>
        <v>2313</v>
      </c>
      <c r="AM70" s="243">
        <f t="shared" si="369"/>
        <v>3753</v>
      </c>
      <c r="AN70" s="243">
        <f t="shared" si="369"/>
        <v>3561</v>
      </c>
      <c r="AO70" s="243">
        <f t="shared" si="369"/>
        <v>3627</v>
      </c>
      <c r="AP70" s="243">
        <f t="shared" si="369"/>
        <v>2933</v>
      </c>
      <c r="AQ70" s="243">
        <f>AQ66-AQ67-AQ68</f>
        <v>4248</v>
      </c>
      <c r="AR70" s="243">
        <f t="shared" si="369"/>
        <v>3889</v>
      </c>
      <c r="AS70" s="243">
        <f t="shared" si="369"/>
        <v>4000</v>
      </c>
      <c r="AT70" s="243">
        <f t="shared" si="369"/>
        <v>3174</v>
      </c>
      <c r="AU70" s="243">
        <f t="shared" si="369"/>
        <v>4745</v>
      </c>
      <c r="AV70" s="243">
        <f t="shared" si="369"/>
        <v>4296</v>
      </c>
      <c r="AW70" s="243">
        <f t="shared" si="369"/>
        <v>4091</v>
      </c>
      <c r="AX70" s="243">
        <f t="shared" si="369"/>
        <v>3037</v>
      </c>
      <c r="AY70" s="243">
        <f t="shared" si="369"/>
        <v>4649</v>
      </c>
      <c r="AZ70" s="243">
        <f t="shared" si="369"/>
        <v>4354</v>
      </c>
      <c r="BA70" s="243">
        <f t="shared" si="369"/>
        <v>4263</v>
      </c>
      <c r="BB70" s="243">
        <f t="shared" ref="BB70:BH70" si="370">BB66-BB67-BB68</f>
        <v>3510</v>
      </c>
      <c r="BC70" s="243">
        <f t="shared" si="370"/>
        <v>4767</v>
      </c>
      <c r="BD70" s="243">
        <f t="shared" si="370"/>
        <v>4355</v>
      </c>
      <c r="BE70" s="243">
        <f t="shared" si="370"/>
        <v>4022</v>
      </c>
      <c r="BF70" s="243">
        <f t="shared" si="370"/>
        <v>3442</v>
      </c>
      <c r="BG70" s="243">
        <f t="shared" si="370"/>
        <v>5394</v>
      </c>
      <c r="BH70" s="243">
        <f t="shared" si="370"/>
        <v>4328</v>
      </c>
      <c r="BI70" s="243">
        <f>BI66-BI67-BI68</f>
        <v>3920</v>
      </c>
      <c r="BJ70" s="243">
        <f t="shared" ref="BJ70:BN70" si="371">BJ66-BJ67-BJ68</f>
        <v>5870</v>
      </c>
      <c r="BK70" s="243">
        <f>BK66-BK67-BK68</f>
        <v>4564</v>
      </c>
      <c r="BL70" s="243">
        <f t="shared" si="371"/>
        <v>4752</v>
      </c>
      <c r="BM70" s="243">
        <f>BM66-BM67-BM68</f>
        <v>4443</v>
      </c>
      <c r="BN70" s="243">
        <f t="shared" si="371"/>
        <v>3796</v>
      </c>
      <c r="BO70" s="243">
        <f t="shared" ref="BO70:BQ70" si="372">BO66-BO67-BO68</f>
        <v>4987</v>
      </c>
      <c r="BP70" s="243">
        <f t="shared" si="372"/>
        <v>5497</v>
      </c>
      <c r="BQ70" s="243">
        <f t="shared" si="372"/>
        <v>4939</v>
      </c>
      <c r="BR70" s="243">
        <f>BR66-BR67-BR68</f>
        <v>4168</v>
      </c>
      <c r="BS70" s="243">
        <f>BS66-BS67-BS68</f>
        <v>5750</v>
      </c>
      <c r="BT70" s="243">
        <f t="shared" ref="BT70:BV70" si="373">BT66-BT67-BT68</f>
        <v>5970</v>
      </c>
      <c r="BU70" s="243">
        <f t="shared" ref="BU70" si="374">BU66-BU67-BU68</f>
        <v>5577</v>
      </c>
      <c r="BV70" s="243">
        <f t="shared" si="373"/>
        <v>3944</v>
      </c>
      <c r="BW70" s="243">
        <f>BW66-BW67-BW68</f>
        <v>5346</v>
      </c>
      <c r="BX70" s="243">
        <f t="shared" ref="BX70:BY70" si="375">+BX66-BX69</f>
        <v>4917</v>
      </c>
      <c r="BY70" s="243">
        <f t="shared" si="375"/>
        <v>4643</v>
      </c>
      <c r="BZ70" s="243">
        <f t="shared" ref="BZ70" si="376">+BZ66-BZ69</f>
        <v>3383</v>
      </c>
      <c r="CA70" s="243">
        <f t="shared" ref="CA70:CB70" si="377">+CA66-CA69</f>
        <v>5452</v>
      </c>
      <c r="CB70" s="243">
        <f t="shared" si="377"/>
        <v>5706</v>
      </c>
      <c r="CC70" s="243">
        <f t="shared" ref="CC70:CD70" si="378">+CC66-CC69</f>
        <v>5384</v>
      </c>
      <c r="CD70" s="243">
        <f t="shared" si="378"/>
        <v>4623</v>
      </c>
      <c r="CE70" s="243">
        <f t="shared" ref="CE70:CH70" si="379">+CE66-CE69</f>
        <v>5583</v>
      </c>
      <c r="CF70" s="243">
        <f t="shared" si="379"/>
        <v>5469</v>
      </c>
      <c r="CG70" s="243">
        <f t="shared" si="379"/>
        <v>4778</v>
      </c>
      <c r="CH70" s="243">
        <f t="shared" si="379"/>
        <v>4576</v>
      </c>
      <c r="CI70" s="243">
        <f>+CI66-CI69</f>
        <v>5728</v>
      </c>
      <c r="CJ70" s="243">
        <f>+CJ66-CJ69</f>
        <v>5521</v>
      </c>
      <c r="CK70" s="243">
        <f>+CK66-CK69</f>
        <v>6793</v>
      </c>
      <c r="CL70" s="243">
        <f>+CL66-CL69</f>
        <v>5291</v>
      </c>
      <c r="CM70" s="243">
        <f t="shared" ref="CM70" si="380">+CM66-CM69</f>
        <v>5329</v>
      </c>
      <c r="CN70" s="243">
        <f>+CN66-CN69</f>
        <v>5412</v>
      </c>
      <c r="CO70" s="243">
        <f>+CO66-CO69</f>
        <v>7026</v>
      </c>
      <c r="CP70" s="243">
        <f>+CP66-CP69</f>
        <v>5481</v>
      </c>
      <c r="CQ70" s="243">
        <f t="shared" ref="CQ70" si="381">+CQ66-CQ69</f>
        <v>5845</v>
      </c>
      <c r="CR70" s="243">
        <f t="shared" ref="CR70" si="382">+CR66-CR69</f>
        <v>4059</v>
      </c>
      <c r="CS70" s="243">
        <f t="shared" ref="CS70" si="383">+CS66-CS69</f>
        <v>5839</v>
      </c>
      <c r="CT70" s="243">
        <f t="shared" ref="CT70" si="384">+CT66-CT69</f>
        <v>4173</v>
      </c>
      <c r="CU70" s="243">
        <f t="shared" ref="CU70" si="385">+CU66-CU69</f>
        <v>6648</v>
      </c>
      <c r="CV70" s="243">
        <f t="shared" ref="CV70" si="386">+CV66-CV69</f>
        <v>7665</v>
      </c>
      <c r="CW70" s="243">
        <f t="shared" ref="CW70" si="387">+CW66-CW69</f>
        <v>6663</v>
      </c>
      <c r="CX70" s="243">
        <f t="shared" ref="CX70" si="388">+CX66-CX69</f>
        <v>5049</v>
      </c>
      <c r="CY70" s="243">
        <f>+CY66-CY69</f>
        <v>6526</v>
      </c>
      <c r="CZ70" s="243">
        <f>+CZ66-CZ69</f>
        <v>7755</v>
      </c>
      <c r="DA70" s="243">
        <f t="shared" ref="DA70:DG70" si="389">+DA66-DA69</f>
        <v>6454</v>
      </c>
      <c r="DB70" s="243">
        <f t="shared" si="389"/>
        <v>7266</v>
      </c>
      <c r="DC70" s="243">
        <f t="shared" si="389"/>
        <v>5846</v>
      </c>
      <c r="DD70" s="243">
        <f t="shared" si="389"/>
        <v>6918</v>
      </c>
      <c r="DE70" s="243">
        <f>+DE66-DE69</f>
        <v>7373.5</v>
      </c>
      <c r="DF70" s="243">
        <f t="shared" si="389"/>
        <v>5639</v>
      </c>
      <c r="DG70" s="243">
        <f t="shared" si="389"/>
        <v>7235</v>
      </c>
      <c r="DH70" s="243">
        <f t="shared" ref="DH70:DN70" si="390">+DH66-DH69</f>
        <v>6463</v>
      </c>
      <c r="DI70" s="243">
        <f t="shared" si="390"/>
        <v>6488.5999999999985</v>
      </c>
      <c r="DJ70" s="243">
        <f t="shared" si="390"/>
        <v>5030</v>
      </c>
      <c r="DK70" s="243">
        <f t="shared" si="390"/>
        <v>16275.8025</v>
      </c>
      <c r="DL70" s="243">
        <f t="shared" si="390"/>
        <v>16733.489999999998</v>
      </c>
      <c r="DM70" s="243">
        <f t="shared" si="390"/>
        <v>16760.328000000001</v>
      </c>
      <c r="DN70" s="243">
        <f t="shared" si="390"/>
        <v>16576.401375000001</v>
      </c>
      <c r="DP70" s="235">
        <f t="shared" ref="DP70:EQ70" si="391">DP66-DP67-DP68</f>
        <v>1661</v>
      </c>
      <c r="DQ70" s="235">
        <f t="shared" si="391"/>
        <v>1992</v>
      </c>
      <c r="DR70" s="235">
        <f t="shared" si="391"/>
        <v>2164</v>
      </c>
      <c r="DS70" s="235">
        <f t="shared" si="391"/>
        <v>2277</v>
      </c>
      <c r="DT70" s="235">
        <f t="shared" si="391"/>
        <v>2394</v>
      </c>
      <c r="DU70" s="235">
        <f t="shared" si="391"/>
        <v>2807</v>
      </c>
      <c r="DV70" s="235">
        <f t="shared" si="391"/>
        <v>3511</v>
      </c>
      <c r="DW70" s="235">
        <f t="shared" si="391"/>
        <v>4303</v>
      </c>
      <c r="DX70" s="235">
        <f t="shared" si="391"/>
        <v>4622</v>
      </c>
      <c r="DY70" s="235">
        <f t="shared" si="391"/>
        <v>5045</v>
      </c>
      <c r="DZ70" s="235">
        <f t="shared" si="391"/>
        <v>5926</v>
      </c>
      <c r="EA70" s="235">
        <f t="shared" si="391"/>
        <v>6477</v>
      </c>
      <c r="EB70" s="235">
        <f t="shared" si="391"/>
        <v>7885</v>
      </c>
      <c r="EC70" s="235">
        <f t="shared" si="391"/>
        <v>10291.900000000001</v>
      </c>
      <c r="ED70" s="235">
        <f t="shared" si="391"/>
        <v>11374.400000000001</v>
      </c>
      <c r="EE70" s="235">
        <f t="shared" si="391"/>
        <v>13632</v>
      </c>
      <c r="EF70" s="235">
        <f t="shared" si="391"/>
        <v>12355</v>
      </c>
      <c r="EG70" s="235">
        <f t="shared" si="391"/>
        <v>13874</v>
      </c>
      <c r="EH70" s="235">
        <f>EH66-EH67-EH68</f>
        <v>15213</v>
      </c>
      <c r="EI70" s="235">
        <f>EI66-EI67-EI68</f>
        <v>16169</v>
      </c>
      <c r="EJ70" s="235">
        <f>EJ66-EJ67-EJ68</f>
        <v>16776</v>
      </c>
      <c r="EK70" s="235">
        <f>EK66-EK67-EK68</f>
        <v>16395</v>
      </c>
      <c r="EL70" s="235">
        <f t="shared" si="391"/>
        <v>19512</v>
      </c>
      <c r="EM70" s="235">
        <f t="shared" si="391"/>
        <v>17555</v>
      </c>
      <c r="EN70" s="235">
        <f t="shared" si="391"/>
        <v>19332</v>
      </c>
      <c r="EO70" s="235">
        <f t="shared" si="391"/>
        <v>24089.072999999993</v>
      </c>
      <c r="EP70" s="235">
        <f t="shared" si="391"/>
        <v>49489.613259749996</v>
      </c>
      <c r="EQ70" s="235">
        <f t="shared" si="391"/>
        <v>45613.910215721247</v>
      </c>
      <c r="ER70" s="235">
        <f t="shared" ref="ER70:EU70" si="392">ER66-ER67-ER68</f>
        <v>52750.499999999993</v>
      </c>
      <c r="ES70" s="235">
        <f t="shared" si="392"/>
        <v>23333</v>
      </c>
      <c r="ET70" s="235">
        <f t="shared" si="392"/>
        <v>23248</v>
      </c>
      <c r="EU70" s="235">
        <f t="shared" si="392"/>
        <v>19916</v>
      </c>
      <c r="EV70" s="235">
        <f>+EV66-EV69</f>
        <v>26249</v>
      </c>
      <c r="EW70" s="235">
        <f>+EW66-EW69</f>
        <v>27895</v>
      </c>
      <c r="EX70" s="235">
        <f t="shared" ref="EX70:FE70" si="393">+EX66-EX69</f>
        <v>38928.764650000005</v>
      </c>
      <c r="EY70" s="235">
        <f t="shared" si="393"/>
        <v>40318.883108750008</v>
      </c>
      <c r="EZ70" s="235">
        <f t="shared" si="393"/>
        <v>34081.710795996245</v>
      </c>
      <c r="FA70" s="235">
        <f t="shared" si="393"/>
        <v>31603.477137655565</v>
      </c>
      <c r="FB70" s="235">
        <f t="shared" si="393"/>
        <v>32015.381054306508</v>
      </c>
      <c r="FC70" s="235">
        <f t="shared" si="393"/>
        <v>33132.536008194162</v>
      </c>
      <c r="FD70" s="235">
        <f t="shared" si="393"/>
        <v>33258.933089024169</v>
      </c>
      <c r="FE70" s="235">
        <f t="shared" si="393"/>
        <v>33712.496367809392</v>
      </c>
      <c r="FF70" s="235">
        <f t="shared" ref="FF70:FJ70" si="394">+FF66-FF69</f>
        <v>31890.492200647179</v>
      </c>
      <c r="FG70" s="235">
        <f t="shared" si="394"/>
        <v>32116.775416265078</v>
      </c>
      <c r="FH70" s="235">
        <f t="shared" si="394"/>
        <v>32636.509353142057</v>
      </c>
      <c r="FI70" s="235">
        <f t="shared" si="394"/>
        <v>33255.248002890323</v>
      </c>
      <c r="FJ70" s="235">
        <f t="shared" si="394"/>
        <v>33943.036963868159</v>
      </c>
    </row>
    <row r="71" spans="1:270" s="275" customFormat="1" ht="12.75" customHeight="1" x14ac:dyDescent="0.2">
      <c r="A71"/>
      <c r="B71" t="s">
        <v>341</v>
      </c>
      <c r="C71" s="235">
        <v>36</v>
      </c>
      <c r="D71" s="235">
        <v>57</v>
      </c>
      <c r="E71" s="235">
        <v>58</v>
      </c>
      <c r="F71" s="235">
        <v>36</v>
      </c>
      <c r="G71" s="235">
        <v>61</v>
      </c>
      <c r="H71" s="235">
        <v>64</v>
      </c>
      <c r="I71" s="235">
        <v>67</v>
      </c>
      <c r="J71" s="235">
        <v>40</v>
      </c>
      <c r="K71" s="235">
        <v>52</v>
      </c>
      <c r="L71" s="235">
        <v>51</v>
      </c>
      <c r="M71" s="235">
        <v>61</v>
      </c>
      <c r="N71" s="235">
        <v>32</v>
      </c>
      <c r="O71" s="235">
        <v>77</v>
      </c>
      <c r="P71" s="235">
        <v>81</v>
      </c>
      <c r="Q71" s="235">
        <v>106</v>
      </c>
      <c r="R71" s="235">
        <v>84</v>
      </c>
      <c r="S71" s="235">
        <v>105</v>
      </c>
      <c r="T71" s="235">
        <v>120</v>
      </c>
      <c r="U71" s="235">
        <v>106</v>
      </c>
      <c r="V71" s="235">
        <v>74</v>
      </c>
      <c r="W71" s="235">
        <v>76</v>
      </c>
      <c r="X71" s="235">
        <v>189</v>
      </c>
      <c r="Y71" s="235">
        <v>51</v>
      </c>
      <c r="Z71" s="235">
        <v>12</v>
      </c>
      <c r="AA71" s="235">
        <v>38</v>
      </c>
      <c r="AB71" s="235">
        <v>43</v>
      </c>
      <c r="AC71" s="235">
        <v>63</v>
      </c>
      <c r="AD71" s="235">
        <v>-11</v>
      </c>
      <c r="AE71" s="235">
        <v>-6</v>
      </c>
      <c r="AF71" s="243">
        <v>-17</v>
      </c>
      <c r="AG71" s="243">
        <v>19</v>
      </c>
      <c r="AH71" s="243">
        <v>12</v>
      </c>
      <c r="AI71" s="243">
        <v>69</v>
      </c>
      <c r="AJ71" s="243">
        <v>94</v>
      </c>
      <c r="AK71" s="243">
        <v>101</v>
      </c>
      <c r="AL71" s="243">
        <v>169</v>
      </c>
      <c r="AM71" s="243">
        <v>181</v>
      </c>
      <c r="AN71" s="243">
        <v>196</v>
      </c>
      <c r="AO71" s="243">
        <v>194</v>
      </c>
      <c r="AP71" s="243">
        <v>195</v>
      </c>
      <c r="AQ71" s="243">
        <v>33</v>
      </c>
      <c r="AR71" s="243">
        <f>36+117</f>
        <v>153</v>
      </c>
      <c r="AS71" s="243">
        <v>54</v>
      </c>
      <c r="AT71" s="243">
        <v>35</v>
      </c>
      <c r="AU71" s="243">
        <v>-16</v>
      </c>
      <c r="AV71" s="243">
        <v>135</v>
      </c>
      <c r="AW71" s="243">
        <v>224</v>
      </c>
      <c r="AX71" s="243">
        <v>-17</v>
      </c>
      <c r="AY71" s="243">
        <v>-81</v>
      </c>
      <c r="AZ71" s="243">
        <v>-85</v>
      </c>
      <c r="BA71" s="243">
        <v>-114</v>
      </c>
      <c r="BB71" s="243">
        <v>-81</v>
      </c>
      <c r="BC71" s="243">
        <v>-81</v>
      </c>
      <c r="BD71" s="243">
        <v>-58</v>
      </c>
      <c r="BE71" s="243">
        <v>-95</v>
      </c>
      <c r="BF71" s="243">
        <v>-114</v>
      </c>
      <c r="BG71" s="243">
        <f>13-104</f>
        <v>-91</v>
      </c>
      <c r="BH71" s="243">
        <f>-111-206</f>
        <v>-317</v>
      </c>
      <c r="BI71" s="243">
        <f>308-117</f>
        <v>191</v>
      </c>
      <c r="BJ71" s="243">
        <f>-148-2858+1134+1522+412+277+14</f>
        <v>353</v>
      </c>
      <c r="BK71" s="243">
        <f>-130+611</f>
        <v>481</v>
      </c>
      <c r="BL71" s="243">
        <v>-129</v>
      </c>
      <c r="BM71" s="243">
        <f>-120+90</f>
        <v>-30</v>
      </c>
      <c r="BN71" s="243"/>
      <c r="BO71" s="243"/>
      <c r="BP71" s="243"/>
      <c r="BQ71" s="243"/>
      <c r="BR71" s="243"/>
      <c r="BS71" s="243">
        <f>-118+86</f>
        <v>-32</v>
      </c>
      <c r="BT71" s="243">
        <f>114+226-276-144</f>
        <v>-80</v>
      </c>
      <c r="BU71" s="243">
        <v>-112</v>
      </c>
      <c r="BV71" s="243">
        <v>-122</v>
      </c>
      <c r="BW71" s="243">
        <v>-119</v>
      </c>
      <c r="BX71" s="243">
        <v>-107</v>
      </c>
      <c r="BY71" s="243">
        <v>-91</v>
      </c>
      <c r="BZ71" s="243">
        <v>-107</v>
      </c>
      <c r="CA71" s="243">
        <f>-77+39</f>
        <v>-38</v>
      </c>
      <c r="CB71" s="243">
        <v>-102</v>
      </c>
      <c r="CC71" s="243">
        <f>-95+54</f>
        <v>-41</v>
      </c>
      <c r="CD71" s="243">
        <f>-84-20</f>
        <v>-104</v>
      </c>
      <c r="CE71" s="243">
        <f>-83+160</f>
        <v>77</v>
      </c>
      <c r="CF71" s="243">
        <v>-122</v>
      </c>
      <c r="CG71" s="243">
        <f>-155+236</f>
        <v>81</v>
      </c>
      <c r="CH71" s="243">
        <f>189+9</f>
        <v>198</v>
      </c>
      <c r="CI71" s="243">
        <f>-145-60</f>
        <v>-205</v>
      </c>
      <c r="CJ71" s="243">
        <v>-127</v>
      </c>
      <c r="CK71" s="243">
        <f>-68-3-184</f>
        <v>-255</v>
      </c>
      <c r="CL71" s="243">
        <f>-54-978+1288</f>
        <v>256</v>
      </c>
      <c r="CM71" s="243">
        <f>-3+22</f>
        <v>19</v>
      </c>
      <c r="CN71" s="243">
        <v>5</v>
      </c>
      <c r="CO71" s="243">
        <f>41-214</f>
        <v>-173</v>
      </c>
      <c r="CP71" s="243">
        <f>-4-16</f>
        <v>-20</v>
      </c>
      <c r="CQ71" s="243">
        <v>-42</v>
      </c>
      <c r="CR71" s="243">
        <f>-26-24</f>
        <v>-50</v>
      </c>
      <c r="CS71" s="243">
        <v>-32</v>
      </c>
      <c r="CT71" s="243">
        <v>-74</v>
      </c>
      <c r="CU71" s="243">
        <f>-48+882</f>
        <v>834</v>
      </c>
      <c r="CV71" s="243">
        <f>-28+268</f>
        <v>240</v>
      </c>
      <c r="CW71" s="243">
        <v>-7</v>
      </c>
      <c r="CX71" s="243">
        <f>-47-9</f>
        <v>-56</v>
      </c>
      <c r="CY71" s="243">
        <f>12+102</f>
        <v>114</v>
      </c>
      <c r="CZ71" s="243">
        <f>26+499</f>
        <v>525</v>
      </c>
      <c r="DA71" s="243">
        <f>150-51</f>
        <v>99</v>
      </c>
      <c r="DB71" s="243">
        <f>248+77</f>
        <v>325</v>
      </c>
      <c r="DC71" s="243">
        <v>-14</v>
      </c>
      <c r="DD71" s="243">
        <f>23+60</f>
        <v>83</v>
      </c>
      <c r="DE71" s="243">
        <f>182+477</f>
        <v>659</v>
      </c>
      <c r="DF71" s="243">
        <f>387+421</f>
        <v>808</v>
      </c>
      <c r="DG71" s="243">
        <f>209+432</f>
        <v>641</v>
      </c>
      <c r="DH71" s="243">
        <f>395-270-653</f>
        <v>-528</v>
      </c>
      <c r="DI71" s="243">
        <f>99+689</f>
        <v>788</v>
      </c>
      <c r="DJ71" s="243">
        <v>248</v>
      </c>
      <c r="DK71" s="243"/>
      <c r="DL71" s="243"/>
      <c r="DM71" s="243"/>
      <c r="DN71" s="243"/>
      <c r="DP71" s="235">
        <f>-87+141+93</f>
        <v>147</v>
      </c>
      <c r="DQ71" s="235">
        <f>-98+201+162</f>
        <v>265</v>
      </c>
      <c r="DR71" s="235">
        <f>-88+129+85</f>
        <v>126</v>
      </c>
      <c r="DS71" s="235">
        <f>-93+124+39</f>
        <v>70</v>
      </c>
      <c r="DT71" s="235">
        <f>-80+126+16</f>
        <v>62</v>
      </c>
      <c r="DU71" s="235">
        <f>-60+142+44</f>
        <v>126</v>
      </c>
      <c r="DV71" s="235">
        <v>115</v>
      </c>
      <c r="DW71" s="235">
        <v>139</v>
      </c>
      <c r="DX71" s="235">
        <v>203</v>
      </c>
      <c r="DY71" s="235">
        <v>262</v>
      </c>
      <c r="DZ71" s="235">
        <v>246</v>
      </c>
      <c r="EA71" s="235">
        <v>379</v>
      </c>
      <c r="EB71" s="235">
        <v>456</v>
      </c>
      <c r="EC71" s="235">
        <v>256</v>
      </c>
      <c r="ED71" s="235">
        <v>177</v>
      </c>
      <c r="EE71" s="235">
        <v>195</v>
      </c>
      <c r="EF71" s="235">
        <v>487</v>
      </c>
      <c r="EG71" s="235">
        <v>766</v>
      </c>
      <c r="EH71" s="235">
        <f>SUM(AQ71:AT71)</f>
        <v>275</v>
      </c>
      <c r="EI71" s="235">
        <f>SUM(AU71:AX71)</f>
        <v>326</v>
      </c>
      <c r="EJ71" s="235">
        <f>EI149*0.05</f>
        <v>2.5</v>
      </c>
      <c r="EK71" s="235">
        <f>SUM(BC71:BF71)</f>
        <v>-348</v>
      </c>
      <c r="EL71" s="235">
        <f>SUM(BG71:BJ71)</f>
        <v>136</v>
      </c>
      <c r="EM71" s="235"/>
      <c r="EN71" s="235"/>
      <c r="EO71" s="235">
        <f>EN149*$FN$77</f>
        <v>0</v>
      </c>
      <c r="EP71" s="235">
        <f>EO149*$FN$77</f>
        <v>0</v>
      </c>
      <c r="EQ71" s="235">
        <f>EP149*$FN$77</f>
        <v>0</v>
      </c>
      <c r="ER71" s="235">
        <f t="shared" ref="ER71" si="395">EQ149*$FN$77</f>
        <v>0</v>
      </c>
      <c r="ES71" s="235">
        <f t="shared" ref="ES71" si="396">SUM(CI71:CL71)</f>
        <v>-331</v>
      </c>
      <c r="ET71" s="235">
        <f t="shared" si="303"/>
        <v>-169</v>
      </c>
      <c r="EU71" s="235">
        <f t="shared" ref="EU71" si="397">SUM(CQ71:CT71)</f>
        <v>-198</v>
      </c>
      <c r="EV71" s="235">
        <f t="shared" ref="EV71" si="398">SUM(CU71:CX71)</f>
        <v>1011</v>
      </c>
      <c r="EW71" s="235">
        <f>SUM(CY71:DB71)</f>
        <v>1063</v>
      </c>
      <c r="EX71" s="235">
        <f t="shared" ref="EX71" si="399">EW149*$FN$77</f>
        <v>0</v>
      </c>
      <c r="EY71" s="235">
        <f t="shared" ref="EY71" si="400">EX149*$FN$77</f>
        <v>0</v>
      </c>
      <c r="EZ71" s="235">
        <f t="shared" ref="EZ71:FF71" si="401">EY148*$FN$77</f>
        <v>238.34162331562504</v>
      </c>
      <c r="FA71" s="235">
        <f t="shared" si="401"/>
        <v>495.74201646046407</v>
      </c>
      <c r="FB71" s="235">
        <f t="shared" si="401"/>
        <v>736.48616011633419</v>
      </c>
      <c r="FC71" s="235">
        <f t="shared" si="401"/>
        <v>982.12516422450562</v>
      </c>
      <c r="FD71" s="235">
        <f t="shared" si="401"/>
        <v>1237.9851230176455</v>
      </c>
      <c r="FE71" s="235">
        <f t="shared" si="401"/>
        <v>1496.7120096079593</v>
      </c>
      <c r="FF71" s="235">
        <f t="shared" si="401"/>
        <v>1760.7810724385893</v>
      </c>
      <c r="FG71" s="235">
        <f>FF148*$FN$77</f>
        <v>2013.1656219867327</v>
      </c>
      <c r="FH71" s="235">
        <f t="shared" ref="FH71:FJ71" si="402">FG148*$FN$77</f>
        <v>2269.1401797736212</v>
      </c>
      <c r="FI71" s="235">
        <f t="shared" si="402"/>
        <v>2530.9325512704886</v>
      </c>
      <c r="FJ71" s="235">
        <f t="shared" si="402"/>
        <v>2799.3289054266947</v>
      </c>
    </row>
    <row r="72" spans="1:270" s="275" customFormat="1" ht="12.75" customHeight="1" x14ac:dyDescent="0.2">
      <c r="A72"/>
      <c r="B72" t="s">
        <v>342</v>
      </c>
      <c r="C72" s="235">
        <f>33+28</f>
        <v>61</v>
      </c>
      <c r="D72" s="235">
        <f>35+15</f>
        <v>50</v>
      </c>
      <c r="E72" s="235">
        <f>36-4</f>
        <v>32</v>
      </c>
      <c r="F72" s="235">
        <v>90</v>
      </c>
      <c r="G72" s="235">
        <f>28+11</f>
        <v>39</v>
      </c>
      <c r="H72" s="235">
        <f>26+1</f>
        <v>27</v>
      </c>
      <c r="I72" s="235">
        <f>26+28</f>
        <v>54</v>
      </c>
      <c r="J72" s="235">
        <v>111</v>
      </c>
      <c r="K72" s="235">
        <f>49+59</f>
        <v>108</v>
      </c>
      <c r="L72" s="235">
        <f>48+34</f>
        <v>82</v>
      </c>
      <c r="M72" s="235">
        <f>42+50</f>
        <v>92</v>
      </c>
      <c r="N72" s="235">
        <v>84</v>
      </c>
      <c r="O72" s="235">
        <f>46-29</f>
        <v>17</v>
      </c>
      <c r="P72" s="235">
        <f>38+17</f>
        <v>55</v>
      </c>
      <c r="Q72" s="235">
        <f>31-13</f>
        <v>18</v>
      </c>
      <c r="R72" s="235">
        <v>59</v>
      </c>
      <c r="S72" s="235">
        <f>19+36</f>
        <v>55</v>
      </c>
      <c r="T72" s="235">
        <f>50+117</f>
        <v>167</v>
      </c>
      <c r="U72" s="235">
        <f>39+19</f>
        <v>58</v>
      </c>
      <c r="V72" s="235">
        <v>55</v>
      </c>
      <c r="W72" s="235">
        <f>34+33</f>
        <v>67</v>
      </c>
      <c r="X72" s="235">
        <f>44-45</f>
        <v>-1</v>
      </c>
      <c r="Y72" s="235">
        <f>39+129</f>
        <v>168</v>
      </c>
      <c r="Z72" s="235">
        <v>177</v>
      </c>
      <c r="AA72" s="235">
        <f>38-37</f>
        <v>1</v>
      </c>
      <c r="AB72" s="235">
        <f>50-75</f>
        <v>-25</v>
      </c>
      <c r="AC72" s="235">
        <f>75-91</f>
        <v>-16</v>
      </c>
      <c r="AD72" s="235">
        <v>-182</v>
      </c>
      <c r="AE72" s="235">
        <v>-53</v>
      </c>
      <c r="AF72" s="243">
        <v>-23</v>
      </c>
      <c r="AG72" s="243">
        <f>41</f>
        <v>41</v>
      </c>
      <c r="AH72" s="243">
        <v>51</v>
      </c>
      <c r="AI72" s="243">
        <v>-33</v>
      </c>
      <c r="AJ72" s="243">
        <v>-88</v>
      </c>
      <c r="AK72" s="243">
        <v>-63</v>
      </c>
      <c r="AL72" s="243">
        <v>-30</v>
      </c>
      <c r="AM72" s="243">
        <v>-718</v>
      </c>
      <c r="AN72" s="243">
        <v>-98</v>
      </c>
      <c r="AO72" s="243">
        <v>45</v>
      </c>
      <c r="AP72" s="243">
        <v>100</v>
      </c>
      <c r="AQ72" s="243">
        <v>-228</v>
      </c>
      <c r="AR72" s="243">
        <v>0</v>
      </c>
      <c r="AS72" s="243">
        <f>AR72</f>
        <v>0</v>
      </c>
      <c r="AT72" s="243">
        <f>AS72</f>
        <v>0</v>
      </c>
      <c r="AU72" s="243">
        <v>-18</v>
      </c>
      <c r="AV72" s="243">
        <v>16</v>
      </c>
      <c r="AW72" s="243">
        <v>25</v>
      </c>
      <c r="AX72" s="243">
        <f>-638+379</f>
        <v>-259</v>
      </c>
      <c r="AY72" s="243">
        <v>-75</v>
      </c>
      <c r="AZ72" s="243">
        <v>6</v>
      </c>
      <c r="BA72" s="243">
        <v>-96</v>
      </c>
      <c r="BB72" s="243">
        <f>-361</f>
        <v>-361</v>
      </c>
      <c r="BC72" s="243">
        <f>-1594+1497</f>
        <v>-97</v>
      </c>
      <c r="BD72" s="243">
        <v>18</v>
      </c>
      <c r="BE72" s="243">
        <v>-292</v>
      </c>
      <c r="BF72" s="243">
        <f>1100-569-374-280</f>
        <v>-123</v>
      </c>
      <c r="BG72" s="243">
        <v>0</v>
      </c>
      <c r="BH72" s="243">
        <v>0</v>
      </c>
      <c r="BI72" s="243">
        <v>0</v>
      </c>
      <c r="BJ72" s="243">
        <v>0</v>
      </c>
      <c r="BK72" s="243">
        <v>0</v>
      </c>
      <c r="BL72" s="243">
        <v>0</v>
      </c>
      <c r="BM72" s="243">
        <v>0</v>
      </c>
      <c r="BN72" s="243">
        <f>89+319</f>
        <v>408</v>
      </c>
      <c r="BO72" s="243">
        <f>104+515</f>
        <v>619</v>
      </c>
      <c r="BP72" s="243">
        <v>69</v>
      </c>
      <c r="BQ72" s="243">
        <v>44</v>
      </c>
      <c r="BR72" s="243">
        <v>163</v>
      </c>
      <c r="BS72" s="243"/>
      <c r="BT72" s="243"/>
      <c r="BU72" s="243"/>
      <c r="BV72" s="243"/>
      <c r="BW72" s="243"/>
      <c r="BX72" s="243"/>
      <c r="BY72" s="243"/>
      <c r="BZ72" s="243"/>
      <c r="CA72" s="243"/>
      <c r="CB72" s="243"/>
      <c r="CC72" s="243"/>
      <c r="CD72" s="243"/>
      <c r="CE72" s="243"/>
      <c r="CF72" s="243"/>
      <c r="CG72" s="243"/>
      <c r="CH72" s="243"/>
      <c r="CI72" s="243"/>
      <c r="CJ72" s="243"/>
      <c r="CK72" s="243">
        <v>0</v>
      </c>
      <c r="CL72" s="243">
        <v>0</v>
      </c>
      <c r="CM72" s="243">
        <v>0</v>
      </c>
      <c r="CN72" s="243">
        <v>0</v>
      </c>
      <c r="CO72" s="243">
        <v>0</v>
      </c>
      <c r="CP72" s="243">
        <v>0</v>
      </c>
      <c r="CQ72" s="243">
        <v>0</v>
      </c>
      <c r="CR72" s="243">
        <v>0</v>
      </c>
      <c r="CS72" s="243">
        <v>0</v>
      </c>
      <c r="CT72" s="243">
        <v>0</v>
      </c>
      <c r="CU72" s="243">
        <v>0</v>
      </c>
      <c r="CV72" s="243">
        <v>0</v>
      </c>
      <c r="CW72" s="243">
        <v>0</v>
      </c>
      <c r="CX72" s="243">
        <v>0</v>
      </c>
      <c r="CY72" s="243">
        <v>0</v>
      </c>
      <c r="CZ72" s="243">
        <v>0</v>
      </c>
      <c r="DA72" s="243">
        <v>0</v>
      </c>
      <c r="DB72" s="243">
        <v>0</v>
      </c>
      <c r="DC72" s="243">
        <v>0</v>
      </c>
      <c r="DD72" s="243">
        <v>0</v>
      </c>
      <c r="DE72" s="243">
        <v>0</v>
      </c>
      <c r="DF72" s="243">
        <v>0</v>
      </c>
      <c r="DG72" s="243"/>
      <c r="DH72" s="243"/>
      <c r="DI72" s="243"/>
      <c r="DJ72" s="243"/>
      <c r="DK72" s="243"/>
      <c r="DL72" s="243"/>
      <c r="DM72" s="243"/>
      <c r="DN72" s="243"/>
      <c r="DP72" s="235"/>
      <c r="DQ72" s="235"/>
      <c r="DR72" s="235"/>
      <c r="DS72" s="235"/>
      <c r="DT72" s="235"/>
      <c r="DU72" s="235"/>
      <c r="DV72" s="235">
        <f>143+166</f>
        <v>309</v>
      </c>
      <c r="DW72" s="235">
        <f>125+284</f>
        <v>409</v>
      </c>
      <c r="DX72" s="235">
        <f>120+129</f>
        <v>249</v>
      </c>
      <c r="DY72" s="235">
        <f>110+151</f>
        <v>261</v>
      </c>
      <c r="DZ72" s="235">
        <f>197+222</f>
        <v>419</v>
      </c>
      <c r="EA72" s="235">
        <f>146+67</f>
        <v>213</v>
      </c>
      <c r="EB72" s="235">
        <f>153+185</f>
        <v>338</v>
      </c>
      <c r="EC72" s="235">
        <f>160+294</f>
        <v>454</v>
      </c>
      <c r="ED72" s="235">
        <f>207-385</f>
        <v>-178</v>
      </c>
      <c r="EE72" s="235">
        <f>187+15</f>
        <v>202</v>
      </c>
      <c r="EF72" s="235">
        <f>54-214</f>
        <v>-160</v>
      </c>
      <c r="EG72" s="235">
        <v>-671</v>
      </c>
      <c r="EH72" s="235">
        <f>SUM(AQ72:AT72)</f>
        <v>-228</v>
      </c>
      <c r="EI72" s="235">
        <f>SUM(AU72:AX72)</f>
        <v>-236</v>
      </c>
      <c r="EJ72" s="235"/>
      <c r="EK72" s="235">
        <f>SUM(BC72:BF72)</f>
        <v>-494</v>
      </c>
      <c r="EL72" s="235"/>
      <c r="EM72" s="235">
        <f>SUM(BK72:BN72)</f>
        <v>408</v>
      </c>
      <c r="EN72" s="235">
        <f>SUM(BO72:BR72)</f>
        <v>895</v>
      </c>
      <c r="EO72" s="235"/>
      <c r="EP72" s="235"/>
      <c r="EQ72" s="235"/>
      <c r="ER72" s="235"/>
      <c r="ES72" s="235"/>
      <c r="ET72" s="235"/>
      <c r="EU72" s="235"/>
      <c r="EV72" s="235"/>
    </row>
    <row r="73" spans="1:270" s="275" customFormat="1" ht="12.75" customHeight="1" x14ac:dyDescent="0.2">
      <c r="A73"/>
      <c r="B73" t="s">
        <v>725</v>
      </c>
      <c r="C73" s="235">
        <f t="shared" ref="C73:AY73" si="403">C70+C71-C72</f>
        <v>1302</v>
      </c>
      <c r="D73" s="235">
        <f t="shared" si="403"/>
        <v>1294</v>
      </c>
      <c r="E73" s="235">
        <f t="shared" si="403"/>
        <v>1197</v>
      </c>
      <c r="F73" s="235">
        <f t="shared" si="403"/>
        <v>783</v>
      </c>
      <c r="G73" s="235">
        <f t="shared" si="403"/>
        <v>1434</v>
      </c>
      <c r="H73" s="235">
        <f t="shared" si="403"/>
        <v>1371</v>
      </c>
      <c r="I73" s="235">
        <f t="shared" si="403"/>
        <v>1317</v>
      </c>
      <c r="J73" s="235">
        <f t="shared" si="403"/>
        <v>924</v>
      </c>
      <c r="K73" s="235">
        <f t="shared" si="403"/>
        <v>1605</v>
      </c>
      <c r="L73" s="235">
        <f t="shared" si="403"/>
        <v>1614</v>
      </c>
      <c r="M73" s="235">
        <f t="shared" si="403"/>
        <v>1511</v>
      </c>
      <c r="N73" s="235">
        <f t="shared" si="403"/>
        <v>971</v>
      </c>
      <c r="O73" s="235">
        <f t="shared" si="403"/>
        <v>1892</v>
      </c>
      <c r="P73" s="235">
        <f t="shared" si="403"/>
        <v>1866</v>
      </c>
      <c r="Q73" s="235">
        <f t="shared" si="403"/>
        <v>1746</v>
      </c>
      <c r="R73" s="235">
        <f t="shared" si="403"/>
        <v>1172</v>
      </c>
      <c r="S73" s="235">
        <f>S70+S71-S72</f>
        <v>2140</v>
      </c>
      <c r="T73" s="235">
        <f t="shared" si="403"/>
        <v>2129</v>
      </c>
      <c r="U73" s="235">
        <f t="shared" si="403"/>
        <v>2108</v>
      </c>
      <c r="V73" s="235">
        <f t="shared" si="403"/>
        <v>1549</v>
      </c>
      <c r="W73" s="235">
        <f t="shared" si="403"/>
        <v>2621</v>
      </c>
      <c r="X73" s="235">
        <f t="shared" si="403"/>
        <v>2732</v>
      </c>
      <c r="Y73" s="235">
        <f t="shared" si="403"/>
        <v>2393</v>
      </c>
      <c r="Z73" s="235">
        <f t="shared" si="403"/>
        <v>1849</v>
      </c>
      <c r="AA73" s="235">
        <f t="shared" si="403"/>
        <v>2948</v>
      </c>
      <c r="AB73" s="235">
        <f t="shared" si="403"/>
        <v>2956</v>
      </c>
      <c r="AC73" s="235">
        <f t="shared" si="403"/>
        <v>2948</v>
      </c>
      <c r="AD73" s="235">
        <f t="shared" si="403"/>
        <v>2509</v>
      </c>
      <c r="AE73" s="235">
        <f t="shared" si="403"/>
        <v>3929</v>
      </c>
      <c r="AF73" s="243">
        <f t="shared" si="403"/>
        <v>3843</v>
      </c>
      <c r="AG73" s="243">
        <f t="shared" si="403"/>
        <v>3292</v>
      </c>
      <c r="AH73" s="243">
        <f t="shared" si="403"/>
        <v>2625</v>
      </c>
      <c r="AI73" s="243">
        <f t="shared" si="403"/>
        <v>3927</v>
      </c>
      <c r="AJ73" s="243">
        <f t="shared" si="403"/>
        <v>3741</v>
      </c>
      <c r="AK73" s="243">
        <f t="shared" si="403"/>
        <v>3420</v>
      </c>
      <c r="AL73" s="243">
        <f t="shared" si="403"/>
        <v>2512</v>
      </c>
      <c r="AM73" s="243">
        <f t="shared" si="403"/>
        <v>4652</v>
      </c>
      <c r="AN73" s="243">
        <f t="shared" si="403"/>
        <v>3855</v>
      </c>
      <c r="AO73" s="243">
        <f t="shared" si="403"/>
        <v>3776</v>
      </c>
      <c r="AP73" s="243">
        <f t="shared" si="403"/>
        <v>3028</v>
      </c>
      <c r="AQ73" s="243">
        <f>AQ70+AQ71-AQ72</f>
        <v>4509</v>
      </c>
      <c r="AR73" s="243">
        <f t="shared" si="403"/>
        <v>4042</v>
      </c>
      <c r="AS73" s="243">
        <f t="shared" si="403"/>
        <v>4054</v>
      </c>
      <c r="AT73" s="243">
        <f t="shared" si="403"/>
        <v>3209</v>
      </c>
      <c r="AU73" s="243">
        <f t="shared" si="403"/>
        <v>4747</v>
      </c>
      <c r="AV73" s="243">
        <f t="shared" si="403"/>
        <v>4415</v>
      </c>
      <c r="AW73" s="243">
        <f t="shared" si="403"/>
        <v>4290</v>
      </c>
      <c r="AX73" s="243">
        <f t="shared" si="403"/>
        <v>3279</v>
      </c>
      <c r="AY73" s="243">
        <f t="shared" si="403"/>
        <v>4643</v>
      </c>
      <c r="AZ73" s="243">
        <f t="shared" ref="AZ73:BG73" si="404">AZ70+AZ71-AZ72</f>
        <v>4263</v>
      </c>
      <c r="BA73" s="243">
        <f t="shared" si="404"/>
        <v>4245</v>
      </c>
      <c r="BB73" s="243">
        <f t="shared" si="404"/>
        <v>3790</v>
      </c>
      <c r="BC73" s="243">
        <f t="shared" si="404"/>
        <v>4783</v>
      </c>
      <c r="BD73" s="243">
        <f t="shared" si="404"/>
        <v>4279</v>
      </c>
      <c r="BE73" s="243">
        <f t="shared" si="404"/>
        <v>4219</v>
      </c>
      <c r="BF73" s="243">
        <f t="shared" si="404"/>
        <v>3451</v>
      </c>
      <c r="BG73" s="243">
        <f t="shared" si="404"/>
        <v>5303</v>
      </c>
      <c r="BH73" s="243">
        <f>BH70+BH71-BH72</f>
        <v>4011</v>
      </c>
      <c r="BI73" s="243">
        <f>BI70+BI71-BI72</f>
        <v>4111</v>
      </c>
      <c r="BJ73" s="243">
        <f t="shared" ref="BJ73" si="405">BJ70+BJ71-BJ72</f>
        <v>6223</v>
      </c>
      <c r="BK73" s="243">
        <f t="shared" ref="BK73" si="406">BK70+BK71-BK72</f>
        <v>5045</v>
      </c>
      <c r="BL73" s="243">
        <f t="shared" ref="BL73" si="407">BL70+BL71-BL72</f>
        <v>4623</v>
      </c>
      <c r="BM73" s="243">
        <f t="shared" ref="BM73" si="408">BM70+BM71-BM72</f>
        <v>4413</v>
      </c>
      <c r="BN73" s="243">
        <f t="shared" ref="BN73:BY73" si="409">BN70+BN71-BN72</f>
        <v>3388</v>
      </c>
      <c r="BO73" s="243">
        <f t="shared" si="409"/>
        <v>4368</v>
      </c>
      <c r="BP73" s="243">
        <f t="shared" si="409"/>
        <v>5428</v>
      </c>
      <c r="BQ73" s="243">
        <f t="shared" si="409"/>
        <v>4895</v>
      </c>
      <c r="BR73" s="243">
        <f t="shared" si="409"/>
        <v>4005</v>
      </c>
      <c r="BS73" s="243">
        <f t="shared" si="409"/>
        <v>5718</v>
      </c>
      <c r="BT73" s="243">
        <f t="shared" si="409"/>
        <v>5890</v>
      </c>
      <c r="BU73" s="243">
        <f t="shared" si="409"/>
        <v>5465</v>
      </c>
      <c r="BV73" s="243">
        <f t="shared" si="409"/>
        <v>3822</v>
      </c>
      <c r="BW73" s="243">
        <f>BW70+BW71-BW72</f>
        <v>5227</v>
      </c>
      <c r="BX73" s="243">
        <f t="shared" si="409"/>
        <v>4810</v>
      </c>
      <c r="BY73" s="243">
        <f t="shared" si="409"/>
        <v>4552</v>
      </c>
      <c r="BZ73" s="243">
        <f>BZ70+BZ71-BZ72</f>
        <v>3276</v>
      </c>
      <c r="CA73" s="243">
        <f t="shared" ref="CA73:CH73" si="410">CA70+CA71+CA72</f>
        <v>5414</v>
      </c>
      <c r="CB73" s="243">
        <f t="shared" si="410"/>
        <v>5604</v>
      </c>
      <c r="CC73" s="243">
        <f t="shared" si="410"/>
        <v>5343</v>
      </c>
      <c r="CD73" s="243">
        <f t="shared" si="410"/>
        <v>4519</v>
      </c>
      <c r="CE73" s="243">
        <f t="shared" si="410"/>
        <v>5660</v>
      </c>
      <c r="CF73" s="243">
        <f t="shared" si="410"/>
        <v>5347</v>
      </c>
      <c r="CG73" s="243">
        <f t="shared" si="410"/>
        <v>4859</v>
      </c>
      <c r="CH73" s="243">
        <f t="shared" si="410"/>
        <v>4774</v>
      </c>
      <c r="CI73" s="243">
        <f>+CI70+CI71+CI72</f>
        <v>5523</v>
      </c>
      <c r="CJ73" s="243">
        <f t="shared" ref="CJ73:CP73" si="411">+CJ70+CJ71</f>
        <v>5394</v>
      </c>
      <c r="CK73" s="243">
        <f t="shared" si="411"/>
        <v>6538</v>
      </c>
      <c r="CL73" s="243">
        <f t="shared" si="411"/>
        <v>5547</v>
      </c>
      <c r="CM73" s="243">
        <f t="shared" si="411"/>
        <v>5348</v>
      </c>
      <c r="CN73" s="243">
        <f t="shared" si="411"/>
        <v>5417</v>
      </c>
      <c r="CO73" s="243">
        <f t="shared" si="411"/>
        <v>6853</v>
      </c>
      <c r="CP73" s="243">
        <f t="shared" si="411"/>
        <v>5461</v>
      </c>
      <c r="CQ73" s="243">
        <f t="shared" ref="CQ73" si="412">+CQ70+CQ71+CQ72</f>
        <v>5803</v>
      </c>
      <c r="CR73" s="243">
        <f t="shared" ref="CR73" si="413">+CR70+CR71+CR72</f>
        <v>4009</v>
      </c>
      <c r="CS73" s="243">
        <f t="shared" ref="CS73:CY73" si="414">+CS70+CS71+CS72</f>
        <v>5807</v>
      </c>
      <c r="CT73" s="243">
        <f t="shared" si="414"/>
        <v>4099</v>
      </c>
      <c r="CU73" s="243">
        <f t="shared" si="414"/>
        <v>7482</v>
      </c>
      <c r="CV73" s="243">
        <f t="shared" si="414"/>
        <v>7905</v>
      </c>
      <c r="CW73" s="243">
        <f t="shared" si="414"/>
        <v>6656</v>
      </c>
      <c r="CX73" s="243">
        <f t="shared" si="414"/>
        <v>4993</v>
      </c>
      <c r="CY73" s="243">
        <f t="shared" si="414"/>
        <v>6640</v>
      </c>
      <c r="CZ73" s="243">
        <f t="shared" ref="CZ73:DN73" si="415">+CZ70+CZ71+CZ72</f>
        <v>8280</v>
      </c>
      <c r="DA73" s="243">
        <f t="shared" si="415"/>
        <v>6553</v>
      </c>
      <c r="DB73" s="243">
        <f t="shared" si="415"/>
        <v>7591</v>
      </c>
      <c r="DC73" s="243">
        <f t="shared" si="415"/>
        <v>5832</v>
      </c>
      <c r="DD73" s="243">
        <f t="shared" si="415"/>
        <v>7001</v>
      </c>
      <c r="DE73" s="243">
        <f t="shared" si="415"/>
        <v>8032.5</v>
      </c>
      <c r="DF73" s="243">
        <f t="shared" si="415"/>
        <v>6447</v>
      </c>
      <c r="DG73" s="243">
        <f t="shared" si="415"/>
        <v>7876</v>
      </c>
      <c r="DH73" s="243">
        <f t="shared" si="415"/>
        <v>5935</v>
      </c>
      <c r="DI73" s="243">
        <f>+DI70+DI71+DI72</f>
        <v>7276.5999999999985</v>
      </c>
      <c r="DJ73" s="243">
        <f t="shared" si="415"/>
        <v>5278</v>
      </c>
      <c r="DK73" s="243">
        <f t="shared" si="415"/>
        <v>16275.8025</v>
      </c>
      <c r="DL73" s="243">
        <f t="shared" si="415"/>
        <v>16733.489999999998</v>
      </c>
      <c r="DM73" s="243">
        <f t="shared" si="415"/>
        <v>16760.328000000001</v>
      </c>
      <c r="DN73" s="243">
        <f t="shared" si="415"/>
        <v>16576.401375000001</v>
      </c>
      <c r="DP73" s="235">
        <f t="shared" ref="DP73:DU73" si="416">DP70-DP71</f>
        <v>1514</v>
      </c>
      <c r="DQ73" s="235">
        <f t="shared" si="416"/>
        <v>1727</v>
      </c>
      <c r="DR73" s="235">
        <f t="shared" si="416"/>
        <v>2038</v>
      </c>
      <c r="DS73" s="235">
        <f t="shared" si="416"/>
        <v>2207</v>
      </c>
      <c r="DT73" s="235">
        <f t="shared" si="416"/>
        <v>2332</v>
      </c>
      <c r="DU73" s="235">
        <f t="shared" si="416"/>
        <v>2681</v>
      </c>
      <c r="DV73" s="235">
        <f t="shared" ref="DV73:EQ73" si="417">DV70+DV71-DV72</f>
        <v>3317</v>
      </c>
      <c r="DW73" s="235">
        <f t="shared" si="417"/>
        <v>4033</v>
      </c>
      <c r="DX73" s="235">
        <f t="shared" si="417"/>
        <v>4576</v>
      </c>
      <c r="DY73" s="235">
        <f t="shared" si="417"/>
        <v>5046</v>
      </c>
      <c r="DZ73" s="235">
        <f t="shared" si="417"/>
        <v>5753</v>
      </c>
      <c r="EA73" s="235">
        <f t="shared" si="417"/>
        <v>6643</v>
      </c>
      <c r="EB73" s="235">
        <f t="shared" si="417"/>
        <v>8003</v>
      </c>
      <c r="EC73" s="235">
        <f t="shared" si="417"/>
        <v>10093.900000000001</v>
      </c>
      <c r="ED73" s="235">
        <f t="shared" si="417"/>
        <v>11729.400000000001</v>
      </c>
      <c r="EE73" s="235">
        <f t="shared" si="417"/>
        <v>13625</v>
      </c>
      <c r="EF73" s="235">
        <f t="shared" si="417"/>
        <v>13002</v>
      </c>
      <c r="EG73" s="235">
        <f t="shared" si="417"/>
        <v>15311</v>
      </c>
      <c r="EH73" s="235">
        <f>EH70+EH71-EH72</f>
        <v>15716</v>
      </c>
      <c r="EI73" s="235">
        <f>EI70+EI71-EI72</f>
        <v>16731</v>
      </c>
      <c r="EJ73" s="235">
        <f>EJ70+EJ71-EJ72</f>
        <v>16778.5</v>
      </c>
      <c r="EK73" s="235">
        <f>EK70+EK71-EK72</f>
        <v>16541</v>
      </c>
      <c r="EL73" s="235">
        <f>EL70+EL71-EL72</f>
        <v>19648</v>
      </c>
      <c r="EM73" s="235">
        <f t="shared" si="417"/>
        <v>17147</v>
      </c>
      <c r="EN73" s="235">
        <f t="shared" si="417"/>
        <v>18437</v>
      </c>
      <c r="EO73" s="235">
        <f t="shared" si="417"/>
        <v>24089.072999999993</v>
      </c>
      <c r="EP73" s="235">
        <f t="shared" si="417"/>
        <v>49489.613259749996</v>
      </c>
      <c r="EQ73" s="235">
        <f t="shared" si="417"/>
        <v>45613.910215721247</v>
      </c>
      <c r="ER73" s="235">
        <f t="shared" ref="ER73:FE73" si="418">ER70+ER71-ER72</f>
        <v>52750.499999999993</v>
      </c>
      <c r="ES73" s="235">
        <f t="shared" si="418"/>
        <v>23002</v>
      </c>
      <c r="ET73" s="235">
        <f t="shared" si="418"/>
        <v>23079</v>
      </c>
      <c r="EU73" s="235">
        <f t="shared" si="418"/>
        <v>19718</v>
      </c>
      <c r="EV73" s="235">
        <f t="shared" si="418"/>
        <v>27260</v>
      </c>
      <c r="EW73" s="235">
        <f>EW70+EW71-EW72</f>
        <v>28958</v>
      </c>
      <c r="EX73" s="235">
        <f t="shared" si="418"/>
        <v>38928.764650000005</v>
      </c>
      <c r="EY73" s="235">
        <f t="shared" si="418"/>
        <v>40318.883108750008</v>
      </c>
      <c r="EZ73" s="235">
        <f t="shared" si="418"/>
        <v>34320.052419311869</v>
      </c>
      <c r="FA73" s="235">
        <f t="shared" si="418"/>
        <v>32099.219154116028</v>
      </c>
      <c r="FB73" s="235">
        <f t="shared" si="418"/>
        <v>32751.867214422844</v>
      </c>
      <c r="FC73" s="235">
        <f t="shared" si="418"/>
        <v>34114.661172418666</v>
      </c>
      <c r="FD73" s="235">
        <f t="shared" si="418"/>
        <v>34496.918212041812</v>
      </c>
      <c r="FE73" s="235">
        <f t="shared" si="418"/>
        <v>35209.208377417352</v>
      </c>
      <c r="FF73" s="235">
        <f t="shared" ref="FF73:FJ73" si="419">FF70+FF71-FF72</f>
        <v>33651.273273085768</v>
      </c>
      <c r="FG73" s="235">
        <f t="shared" si="419"/>
        <v>34129.941038251811</v>
      </c>
      <c r="FH73" s="235">
        <f t="shared" si="419"/>
        <v>34905.649532915675</v>
      </c>
      <c r="FI73" s="235">
        <f t="shared" si="419"/>
        <v>35786.180554160812</v>
      </c>
      <c r="FJ73" s="235">
        <f t="shared" si="419"/>
        <v>36742.365869294852</v>
      </c>
    </row>
    <row r="74" spans="1:270" s="275" customFormat="1" ht="12.75" customHeight="1" x14ac:dyDescent="0.2">
      <c r="A74"/>
      <c r="B74" t="s">
        <v>726</v>
      </c>
      <c r="C74" s="235">
        <v>393</v>
      </c>
      <c r="D74" s="235">
        <v>385</v>
      </c>
      <c r="E74" s="235">
        <v>342</v>
      </c>
      <c r="F74" s="235">
        <v>153</v>
      </c>
      <c r="G74" s="235">
        <v>424</v>
      </c>
      <c r="H74" s="235">
        <v>366</v>
      </c>
      <c r="I74" s="235">
        <v>356</v>
      </c>
      <c r="J74" s="235">
        <v>231</v>
      </c>
      <c r="K74" s="235">
        <v>477</v>
      </c>
      <c r="L74" s="235">
        <v>459</v>
      </c>
      <c r="M74" s="235">
        <v>412</v>
      </c>
      <c r="N74" s="235">
        <v>217</v>
      </c>
      <c r="O74" s="235">
        <v>578</v>
      </c>
      <c r="P74" s="235">
        <v>535</v>
      </c>
      <c r="Q74" s="235">
        <v>482</v>
      </c>
      <c r="R74" s="235">
        <v>227</v>
      </c>
      <c r="S74" s="235">
        <v>640</v>
      </c>
      <c r="T74" s="235">
        <v>647</v>
      </c>
      <c r="U74" s="235">
        <v>579</v>
      </c>
      <c r="V74" s="235">
        <v>339</v>
      </c>
      <c r="W74" s="235">
        <v>787</v>
      </c>
      <c r="X74" s="235">
        <v>774</v>
      </c>
      <c r="Y74" s="235">
        <v>668</v>
      </c>
      <c r="Z74" s="235">
        <v>465</v>
      </c>
      <c r="AA74" s="235">
        <v>859</v>
      </c>
      <c r="AB74" s="235">
        <v>846</v>
      </c>
      <c r="AC74" s="235">
        <v>877</v>
      </c>
      <c r="AD74" s="235">
        <v>529</v>
      </c>
      <c r="AE74" s="235">
        <v>1011</v>
      </c>
      <c r="AF74" s="243">
        <v>977</v>
      </c>
      <c r="AG74" s="243">
        <v>933</v>
      </c>
      <c r="AH74" s="243">
        <f>1408-789</f>
        <v>619</v>
      </c>
      <c r="AI74" s="243">
        <v>1088</v>
      </c>
      <c r="AJ74" s="243">
        <v>726</v>
      </c>
      <c r="AK74" s="243">
        <v>882</v>
      </c>
      <c r="AL74" s="243">
        <v>411</v>
      </c>
      <c r="AM74" s="243">
        <v>1310</v>
      </c>
      <c r="AN74" s="243">
        <v>783</v>
      </c>
      <c r="AO74" s="243">
        <v>901</v>
      </c>
      <c r="AP74" s="243">
        <f>AP73-2385</f>
        <v>643</v>
      </c>
      <c r="AQ74" s="243">
        <v>1079</v>
      </c>
      <c r="AR74" s="243">
        <v>950</v>
      </c>
      <c r="AS74" s="243">
        <f>AS73*0.233</f>
        <v>944.58200000000011</v>
      </c>
      <c r="AT74" s="243">
        <f>AT73*0.153</f>
        <v>490.97699999999998</v>
      </c>
      <c r="AU74" s="243">
        <v>1149</v>
      </c>
      <c r="AV74" s="243">
        <v>1048</v>
      </c>
      <c r="AW74" s="243">
        <v>980</v>
      </c>
      <c r="AX74" s="243">
        <f>803-379+229</f>
        <v>653</v>
      </c>
      <c r="AY74" s="243">
        <v>1136</v>
      </c>
      <c r="AZ74" s="243">
        <v>1055</v>
      </c>
      <c r="BA74" s="243">
        <v>900</v>
      </c>
      <c r="BB74" s="243">
        <f>398+334+174</f>
        <v>906</v>
      </c>
      <c r="BC74" s="243">
        <f>1754-1497+910</f>
        <v>1167</v>
      </c>
      <c r="BD74" s="243">
        <f>771+67</f>
        <v>838</v>
      </c>
      <c r="BE74" s="243">
        <v>802</v>
      </c>
      <c r="BF74" s="243">
        <f>286+569-404+374-279+280-239</f>
        <v>587</v>
      </c>
      <c r="BG74" s="243">
        <v>1034</v>
      </c>
      <c r="BH74" s="243">
        <v>646</v>
      </c>
      <c r="BI74" s="243">
        <v>909</v>
      </c>
      <c r="BJ74" s="243">
        <f>3657-3129</f>
        <v>528</v>
      </c>
      <c r="BK74" s="243">
        <v>1135</v>
      </c>
      <c r="BL74" s="243">
        <f>4646-3644</f>
        <v>1002</v>
      </c>
      <c r="BM74" s="243">
        <v>966</v>
      </c>
      <c r="BN74" s="243">
        <v>533</v>
      </c>
      <c r="BO74" s="243">
        <v>764</v>
      </c>
      <c r="BP74" s="243">
        <v>1083</v>
      </c>
      <c r="BQ74" s="243">
        <v>912</v>
      </c>
      <c r="BR74" s="243">
        <f>+BR73*0.089</f>
        <v>356.44499999999999</v>
      </c>
      <c r="BS74" s="243">
        <v>697</v>
      </c>
      <c r="BT74" s="243">
        <v>1300</v>
      </c>
      <c r="BU74" s="243">
        <v>2061</v>
      </c>
      <c r="BV74" s="243">
        <v>182</v>
      </c>
      <c r="BW74" s="243">
        <v>1255</v>
      </c>
      <c r="BX74" s="243">
        <v>1225</v>
      </c>
      <c r="BY74" s="243">
        <v>764</v>
      </c>
      <c r="BZ74" s="243">
        <v>543</v>
      </c>
      <c r="CA74" s="243">
        <v>837</v>
      </c>
      <c r="CB74" s="243">
        <v>907</v>
      </c>
      <c r="CC74" s="243">
        <v>1009</v>
      </c>
      <c r="CD74" s="243">
        <v>510</v>
      </c>
      <c r="CE74" s="243">
        <v>1153</v>
      </c>
      <c r="CF74" s="243">
        <v>921</v>
      </c>
      <c r="CG74" s="243">
        <v>1026</v>
      </c>
      <c r="CH74" s="243">
        <v>0</v>
      </c>
      <c r="CI74" s="243">
        <v>1114</v>
      </c>
      <c r="CJ74" s="243">
        <v>1019</v>
      </c>
      <c r="CK74" s="243">
        <f>489+265</f>
        <v>754</v>
      </c>
      <c r="CL74" s="243">
        <v>200</v>
      </c>
      <c r="CM74" s="243">
        <v>673</v>
      </c>
      <c r="CN74" s="243">
        <v>1434</v>
      </c>
      <c r="CO74" s="243">
        <f>814+391</f>
        <v>1205</v>
      </c>
      <c r="CP74" s="243">
        <v>400</v>
      </c>
      <c r="CQ74" s="243">
        <v>713</v>
      </c>
      <c r="CR74" s="243">
        <v>314</v>
      </c>
      <c r="CS74" s="243">
        <v>847</v>
      </c>
      <c r="CT74" s="243">
        <v>0</v>
      </c>
      <c r="CU74" s="243">
        <v>1232</v>
      </c>
      <c r="CV74" s="243">
        <v>1151</v>
      </c>
      <c r="CW74" s="243">
        <v>182</v>
      </c>
      <c r="CX74" s="243">
        <v>100</v>
      </c>
      <c r="CY74" s="243">
        <v>713</v>
      </c>
      <c r="CZ74" s="243">
        <v>1259</v>
      </c>
      <c r="DA74" s="243">
        <v>1364</v>
      </c>
      <c r="DB74" s="243">
        <v>1200</v>
      </c>
      <c r="DC74" s="243">
        <v>796</v>
      </c>
      <c r="DD74" s="243">
        <v>1618</v>
      </c>
      <c r="DE74" s="243">
        <v>1256</v>
      </c>
      <c r="DF74" s="243">
        <v>675</v>
      </c>
      <c r="DG74" s="243">
        <v>1297</v>
      </c>
      <c r="DH74" s="243">
        <v>1062</v>
      </c>
      <c r="DI74" s="243">
        <v>1401</v>
      </c>
      <c r="DJ74" s="243">
        <v>475</v>
      </c>
      <c r="DK74" s="243"/>
      <c r="DL74" s="243"/>
      <c r="DM74" s="243"/>
      <c r="DN74" s="243"/>
      <c r="DP74" s="235">
        <v>432</v>
      </c>
      <c r="DQ74" s="235">
        <v>480</v>
      </c>
      <c r="DR74" s="235">
        <v>577</v>
      </c>
      <c r="DS74" s="235">
        <v>582</v>
      </c>
      <c r="DT74" s="235">
        <v>545</v>
      </c>
      <c r="DU74" s="235">
        <v>675</v>
      </c>
      <c r="DV74" s="235">
        <v>914</v>
      </c>
      <c r="DW74" s="235">
        <v>1146</v>
      </c>
      <c r="DX74" s="235">
        <v>1273</v>
      </c>
      <c r="DY74" s="235">
        <v>1210</v>
      </c>
      <c r="DZ74" s="235">
        <v>1586</v>
      </c>
      <c r="EA74" s="235">
        <v>1822</v>
      </c>
      <c r="EB74" s="235">
        <v>2230</v>
      </c>
      <c r="EC74" s="235">
        <f>+EC73*0.25</f>
        <v>2523.4750000000004</v>
      </c>
      <c r="ED74" s="235">
        <v>3111</v>
      </c>
      <c r="EE74" s="235">
        <v>4329</v>
      </c>
      <c r="EF74" s="235">
        <v>3245</v>
      </c>
      <c r="EG74" s="235">
        <f>EG73-11133</f>
        <v>4178</v>
      </c>
      <c r="EH74" s="235">
        <f>SUM(AQ74:AT74)</f>
        <v>3464.5590000000002</v>
      </c>
      <c r="EI74" s="235">
        <f>SUM(AU74:AX74)</f>
        <v>3830</v>
      </c>
      <c r="EJ74" s="235"/>
      <c r="EK74" s="235">
        <f>SUM(BC74:BF74)</f>
        <v>3394</v>
      </c>
      <c r="EL74" s="235">
        <f>SUM(BG74:BJ74)</f>
        <v>3117</v>
      </c>
      <c r="EM74" s="235">
        <f>SUM(BK74:BN74)</f>
        <v>3636</v>
      </c>
      <c r="EN74" s="235">
        <f>SUM(BO74:BR74)</f>
        <v>3115.4450000000002</v>
      </c>
      <c r="EO74" s="235">
        <f>EO73*EO103</f>
        <v>4544.2133413131096</v>
      </c>
      <c r="EP74" s="235"/>
      <c r="EQ74" s="235"/>
      <c r="ER74" s="235"/>
      <c r="ES74" s="235">
        <f t="shared" ref="ES74" si="420">SUM(CI74:CL74)</f>
        <v>3087</v>
      </c>
      <c r="ET74" s="235">
        <f t="shared" ref="ET74" si="421">SUM(CM74:CP74)</f>
        <v>3712</v>
      </c>
      <c r="EU74" s="235">
        <f t="shared" ref="EU74" si="422">SUM(CQ74:CT74)</f>
        <v>1874</v>
      </c>
      <c r="EV74" s="235">
        <f t="shared" ref="EV74" si="423">SUM(CU74:CX74)</f>
        <v>2665</v>
      </c>
      <c r="EW74" s="235">
        <f>SUM(CY74:DB74)</f>
        <v>4536</v>
      </c>
      <c r="EX74" s="235">
        <f t="shared" ref="EX74:FE74" si="424">+EX73*0.25</f>
        <v>9732.1911625000012</v>
      </c>
      <c r="EY74" s="235">
        <f t="shared" si="424"/>
        <v>10079.720777187502</v>
      </c>
      <c r="EZ74" s="235">
        <f t="shared" si="424"/>
        <v>8580.0131048279673</v>
      </c>
      <c r="FA74" s="235">
        <f t="shared" si="424"/>
        <v>8024.8047885290071</v>
      </c>
      <c r="FB74" s="235">
        <f t="shared" si="424"/>
        <v>8187.966803605711</v>
      </c>
      <c r="FC74" s="235">
        <f t="shared" si="424"/>
        <v>8528.6652931046665</v>
      </c>
      <c r="FD74" s="235">
        <f t="shared" si="424"/>
        <v>8624.2295530104529</v>
      </c>
      <c r="FE74" s="235">
        <f t="shared" si="424"/>
        <v>8802.3020943543379</v>
      </c>
      <c r="FF74" s="235">
        <f t="shared" ref="FF74:FJ74" si="425">+FF73*0.25</f>
        <v>8412.818318271442</v>
      </c>
      <c r="FG74" s="235">
        <f t="shared" si="425"/>
        <v>8532.4852595629527</v>
      </c>
      <c r="FH74" s="235">
        <f t="shared" si="425"/>
        <v>8726.4123832289188</v>
      </c>
      <c r="FI74" s="235">
        <f t="shared" si="425"/>
        <v>8946.545138540203</v>
      </c>
      <c r="FJ74" s="235">
        <f t="shared" si="425"/>
        <v>9185.591467323713</v>
      </c>
    </row>
    <row r="75" spans="1:270" s="275" customFormat="1" ht="12.75" customHeight="1" x14ac:dyDescent="0.2">
      <c r="A75"/>
      <c r="B75" t="s">
        <v>343</v>
      </c>
      <c r="C75" s="235">
        <f t="shared" ref="C75:AS75" si="426">C73-C74</f>
        <v>909</v>
      </c>
      <c r="D75" s="235">
        <f t="shared" si="426"/>
        <v>909</v>
      </c>
      <c r="E75" s="235">
        <f t="shared" si="426"/>
        <v>855</v>
      </c>
      <c r="F75" s="235">
        <f t="shared" si="426"/>
        <v>630</v>
      </c>
      <c r="G75" s="235">
        <f t="shared" si="426"/>
        <v>1010</v>
      </c>
      <c r="H75" s="235">
        <f t="shared" si="426"/>
        <v>1005</v>
      </c>
      <c r="I75" s="235">
        <f t="shared" si="426"/>
        <v>961</v>
      </c>
      <c r="J75" s="235">
        <f t="shared" si="426"/>
        <v>693</v>
      </c>
      <c r="K75" s="235">
        <f t="shared" si="426"/>
        <v>1128</v>
      </c>
      <c r="L75" s="235">
        <f t="shared" si="426"/>
        <v>1155</v>
      </c>
      <c r="M75" s="235">
        <f t="shared" si="426"/>
        <v>1099</v>
      </c>
      <c r="N75" s="235">
        <f t="shared" si="426"/>
        <v>754</v>
      </c>
      <c r="O75" s="235">
        <f t="shared" si="426"/>
        <v>1314</v>
      </c>
      <c r="P75" s="235">
        <f t="shared" si="426"/>
        <v>1331</v>
      </c>
      <c r="Q75" s="235">
        <f t="shared" si="426"/>
        <v>1264</v>
      </c>
      <c r="R75" s="235">
        <f t="shared" si="426"/>
        <v>945</v>
      </c>
      <c r="S75" s="235">
        <f t="shared" si="426"/>
        <v>1500</v>
      </c>
      <c r="T75" s="235">
        <f t="shared" si="426"/>
        <v>1482</v>
      </c>
      <c r="U75" s="235">
        <f t="shared" si="426"/>
        <v>1529</v>
      </c>
      <c r="V75" s="235">
        <f t="shared" si="426"/>
        <v>1210</v>
      </c>
      <c r="W75" s="235">
        <f t="shared" si="426"/>
        <v>1834</v>
      </c>
      <c r="X75" s="235">
        <f t="shared" si="426"/>
        <v>1958</v>
      </c>
      <c r="Y75" s="235">
        <f t="shared" si="426"/>
        <v>1725</v>
      </c>
      <c r="Z75" s="235">
        <f t="shared" si="426"/>
        <v>1384</v>
      </c>
      <c r="AA75" s="235">
        <f t="shared" si="426"/>
        <v>2089</v>
      </c>
      <c r="AB75" s="235">
        <f t="shared" si="426"/>
        <v>2110</v>
      </c>
      <c r="AC75" s="235">
        <f t="shared" si="426"/>
        <v>2071</v>
      </c>
      <c r="AD75" s="235">
        <f t="shared" si="426"/>
        <v>1980</v>
      </c>
      <c r="AE75" s="235">
        <f t="shared" si="426"/>
        <v>2918</v>
      </c>
      <c r="AF75" s="243">
        <f t="shared" si="426"/>
        <v>2866</v>
      </c>
      <c r="AG75" s="243">
        <f t="shared" si="426"/>
        <v>2359</v>
      </c>
      <c r="AH75" s="243">
        <f t="shared" si="426"/>
        <v>2006</v>
      </c>
      <c r="AI75" s="243">
        <f t="shared" si="426"/>
        <v>2839</v>
      </c>
      <c r="AJ75" s="243">
        <f t="shared" si="426"/>
        <v>3015</v>
      </c>
      <c r="AK75" s="243">
        <f t="shared" si="426"/>
        <v>2538</v>
      </c>
      <c r="AL75" s="243">
        <f t="shared" si="426"/>
        <v>2101</v>
      </c>
      <c r="AM75" s="243">
        <f t="shared" si="426"/>
        <v>3342</v>
      </c>
      <c r="AN75" s="243">
        <f t="shared" si="426"/>
        <v>3072</v>
      </c>
      <c r="AO75" s="243">
        <f t="shared" si="426"/>
        <v>2875</v>
      </c>
      <c r="AP75" s="243">
        <f t="shared" si="426"/>
        <v>2385</v>
      </c>
      <c r="AQ75" s="243">
        <f>AQ73-AQ74</f>
        <v>3430</v>
      </c>
      <c r="AR75" s="243">
        <f t="shared" si="426"/>
        <v>3092</v>
      </c>
      <c r="AS75" s="243">
        <f t="shared" si="426"/>
        <v>3109.4179999999997</v>
      </c>
      <c r="AT75" s="243">
        <f>AT73-AT74+441-267</f>
        <v>2892.0230000000001</v>
      </c>
      <c r="AU75" s="243">
        <f t="shared" ref="AU75:BC75" si="427">AU73-AU74</f>
        <v>3598</v>
      </c>
      <c r="AV75" s="243">
        <f t="shared" si="427"/>
        <v>3367</v>
      </c>
      <c r="AW75" s="243">
        <f t="shared" si="427"/>
        <v>3310</v>
      </c>
      <c r="AX75" s="243">
        <f t="shared" si="427"/>
        <v>2626</v>
      </c>
      <c r="AY75" s="243">
        <f t="shared" si="427"/>
        <v>3507</v>
      </c>
      <c r="AZ75" s="243">
        <f t="shared" si="427"/>
        <v>3208</v>
      </c>
      <c r="BA75" s="243">
        <f t="shared" si="427"/>
        <v>3345</v>
      </c>
      <c r="BB75" s="243">
        <f t="shared" si="427"/>
        <v>2884</v>
      </c>
      <c r="BC75" s="243">
        <f t="shared" si="427"/>
        <v>3616</v>
      </c>
      <c r="BD75" s="243">
        <f t="shared" ref="BD75:BG75" si="428">BD73-BD74</f>
        <v>3441</v>
      </c>
      <c r="BE75" s="243">
        <f t="shared" si="428"/>
        <v>3417</v>
      </c>
      <c r="BF75" s="243">
        <f t="shared" si="428"/>
        <v>2864</v>
      </c>
      <c r="BG75" s="243">
        <f t="shared" si="428"/>
        <v>4269</v>
      </c>
      <c r="BH75" s="243">
        <f>BH73-BH74</f>
        <v>3365</v>
      </c>
      <c r="BI75" s="243">
        <f>BI73-BI74</f>
        <v>3202</v>
      </c>
      <c r="BJ75" s="243">
        <f t="shared" ref="BJ75" si="429">BJ73-BJ74</f>
        <v>5695</v>
      </c>
      <c r="BK75" s="243">
        <f t="shared" ref="BK75" si="430">BK73-BK74</f>
        <v>3910</v>
      </c>
      <c r="BL75" s="243">
        <f t="shared" ref="BL75" si="431">BL73-BL74</f>
        <v>3621</v>
      </c>
      <c r="BM75" s="243">
        <f t="shared" ref="BM75" si="432">BM73-BM74</f>
        <v>3447</v>
      </c>
      <c r="BN75" s="243">
        <f t="shared" ref="BN75:BR75" si="433">BN73-BN74</f>
        <v>2855</v>
      </c>
      <c r="BO75" s="243">
        <f t="shared" si="433"/>
        <v>3604</v>
      </c>
      <c r="BP75" s="243">
        <f t="shared" si="433"/>
        <v>4345</v>
      </c>
      <c r="BQ75" s="243">
        <f t="shared" si="433"/>
        <v>3983</v>
      </c>
      <c r="BR75" s="243">
        <f t="shared" si="433"/>
        <v>3648.5549999999998</v>
      </c>
      <c r="BS75" s="243">
        <f t="shared" ref="BS75:BV75" si="434">BS73-BS74</f>
        <v>5021</v>
      </c>
      <c r="BT75" s="243">
        <f t="shared" si="434"/>
        <v>4590</v>
      </c>
      <c r="BU75" s="243">
        <f t="shared" si="434"/>
        <v>3404</v>
      </c>
      <c r="BV75" s="243">
        <f t="shared" si="434"/>
        <v>3640</v>
      </c>
      <c r="BW75" s="243">
        <f t="shared" ref="BW75:BZ75" si="435">BW73-BW74</f>
        <v>3972</v>
      </c>
      <c r="BX75" s="243">
        <f t="shared" si="435"/>
        <v>3585</v>
      </c>
      <c r="BY75" s="243">
        <f t="shared" si="435"/>
        <v>3788</v>
      </c>
      <c r="BZ75" s="243">
        <f t="shared" si="435"/>
        <v>2733</v>
      </c>
      <c r="CA75" s="243">
        <f t="shared" ref="CA75:CH75" si="436">CA73-CA74</f>
        <v>4577</v>
      </c>
      <c r="CB75" s="243">
        <f t="shared" si="436"/>
        <v>4697</v>
      </c>
      <c r="CC75" s="243">
        <f t="shared" si="436"/>
        <v>4334</v>
      </c>
      <c r="CD75" s="243">
        <f t="shared" si="436"/>
        <v>4009</v>
      </c>
      <c r="CE75" s="243">
        <f t="shared" si="436"/>
        <v>4507</v>
      </c>
      <c r="CF75" s="243">
        <f t="shared" si="436"/>
        <v>4426</v>
      </c>
      <c r="CG75" s="243">
        <f t="shared" si="436"/>
        <v>3833</v>
      </c>
      <c r="CH75" s="243">
        <f t="shared" si="436"/>
        <v>4774</v>
      </c>
      <c r="CI75" s="243">
        <f t="shared" ref="CI75:CP75" si="437">+CI73-CI74</f>
        <v>4409</v>
      </c>
      <c r="CJ75" s="243">
        <f t="shared" si="437"/>
        <v>4375</v>
      </c>
      <c r="CK75" s="243">
        <f t="shared" si="437"/>
        <v>5784</v>
      </c>
      <c r="CL75" s="243">
        <f t="shared" si="437"/>
        <v>5347</v>
      </c>
      <c r="CM75" s="243">
        <f t="shared" si="437"/>
        <v>4675</v>
      </c>
      <c r="CN75" s="243">
        <f t="shared" si="437"/>
        <v>3983</v>
      </c>
      <c r="CO75" s="243">
        <f t="shared" si="437"/>
        <v>5648</v>
      </c>
      <c r="CP75" s="243">
        <f t="shared" si="437"/>
        <v>5061</v>
      </c>
      <c r="CQ75" s="243">
        <f t="shared" ref="CQ75" si="438">+CQ73-CQ74</f>
        <v>5090</v>
      </c>
      <c r="CR75" s="243">
        <f t="shared" ref="CR75" si="439">+CR73-CR74</f>
        <v>3695</v>
      </c>
      <c r="CS75" s="243">
        <f>+CS73-CS74</f>
        <v>4960</v>
      </c>
      <c r="CT75" s="243">
        <f>+CT73-CT74</f>
        <v>4099</v>
      </c>
      <c r="CU75" s="243">
        <f>+CU73-CU74</f>
        <v>6250</v>
      </c>
      <c r="CV75" s="243">
        <f t="shared" ref="CV75" si="440">+CV73-CV74</f>
        <v>6754</v>
      </c>
      <c r="CW75" s="243">
        <f>+CW73-CW74</f>
        <v>6474</v>
      </c>
      <c r="CX75" s="243">
        <f>+CX73-CX74</f>
        <v>4893</v>
      </c>
      <c r="CY75" s="243">
        <f>+CY73-CY74</f>
        <v>5927</v>
      </c>
      <c r="CZ75" s="243">
        <f t="shared" ref="CZ75:DG75" si="441">+CZ73-CZ74</f>
        <v>7021</v>
      </c>
      <c r="DA75" s="243">
        <f t="shared" si="441"/>
        <v>5189</v>
      </c>
      <c r="DB75" s="243">
        <f t="shared" si="441"/>
        <v>6391</v>
      </c>
      <c r="DC75" s="243">
        <f t="shared" si="441"/>
        <v>5036</v>
      </c>
      <c r="DD75" s="243">
        <f t="shared" si="441"/>
        <v>5383</v>
      </c>
      <c r="DE75" s="243">
        <f t="shared" si="441"/>
        <v>6776.5</v>
      </c>
      <c r="DF75" s="243">
        <f t="shared" si="441"/>
        <v>5772</v>
      </c>
      <c r="DG75" s="243">
        <f t="shared" si="441"/>
        <v>6579</v>
      </c>
      <c r="DH75" s="243">
        <f t="shared" ref="DH75:DN75" si="442">+DH73-DH74</f>
        <v>4873</v>
      </c>
      <c r="DI75" s="243">
        <f t="shared" si="442"/>
        <v>5875.5999999999985</v>
      </c>
      <c r="DJ75" s="243">
        <f t="shared" si="442"/>
        <v>4803</v>
      </c>
      <c r="DK75" s="243">
        <f t="shared" si="442"/>
        <v>16275.8025</v>
      </c>
      <c r="DL75" s="243">
        <f t="shared" si="442"/>
        <v>16733.489999999998</v>
      </c>
      <c r="DM75" s="243">
        <f t="shared" si="442"/>
        <v>16760.328000000001</v>
      </c>
      <c r="DN75" s="243">
        <f t="shared" si="442"/>
        <v>16576.401375000001</v>
      </c>
      <c r="DP75" s="235">
        <f t="shared" ref="DP75:EQ75" si="443">DP73-DP74</f>
        <v>1082</v>
      </c>
      <c r="DQ75" s="235">
        <f t="shared" si="443"/>
        <v>1247</v>
      </c>
      <c r="DR75" s="235">
        <f t="shared" si="443"/>
        <v>1461</v>
      </c>
      <c r="DS75" s="235">
        <f t="shared" si="443"/>
        <v>1625</v>
      </c>
      <c r="DT75" s="235">
        <f t="shared" si="443"/>
        <v>1787</v>
      </c>
      <c r="DU75" s="235">
        <f t="shared" si="443"/>
        <v>2006</v>
      </c>
      <c r="DV75" s="235">
        <f t="shared" si="443"/>
        <v>2403</v>
      </c>
      <c r="DW75" s="235">
        <f t="shared" si="443"/>
        <v>2887</v>
      </c>
      <c r="DX75" s="235">
        <f t="shared" si="443"/>
        <v>3303</v>
      </c>
      <c r="DY75" s="235">
        <f t="shared" si="443"/>
        <v>3836</v>
      </c>
      <c r="DZ75" s="235">
        <f t="shared" si="443"/>
        <v>4167</v>
      </c>
      <c r="EA75" s="235">
        <f t="shared" si="443"/>
        <v>4821</v>
      </c>
      <c r="EB75" s="235">
        <f t="shared" si="443"/>
        <v>5773</v>
      </c>
      <c r="EC75" s="235">
        <f t="shared" si="443"/>
        <v>7570.4250000000011</v>
      </c>
      <c r="ED75" s="235">
        <f t="shared" si="443"/>
        <v>8618.4000000000015</v>
      </c>
      <c r="EE75" s="235">
        <f t="shared" si="443"/>
        <v>9296</v>
      </c>
      <c r="EF75" s="235">
        <f t="shared" si="443"/>
        <v>9757</v>
      </c>
      <c r="EG75" s="235">
        <f t="shared" si="443"/>
        <v>11133</v>
      </c>
      <c r="EH75" s="235">
        <f>EH73-EH74</f>
        <v>12251.440999999999</v>
      </c>
      <c r="EI75" s="235">
        <f>EI73-EI74</f>
        <v>12901</v>
      </c>
      <c r="EJ75" s="235">
        <f>EJ73-EJ74</f>
        <v>16778.5</v>
      </c>
      <c r="EK75" s="235">
        <f t="shared" si="443"/>
        <v>13147</v>
      </c>
      <c r="EL75" s="235">
        <f>EL73-EL74</f>
        <v>16531</v>
      </c>
      <c r="EM75" s="235">
        <f>EM73-EM74</f>
        <v>13511</v>
      </c>
      <c r="EN75" s="235">
        <f>EN73-EN74</f>
        <v>15321.555</v>
      </c>
      <c r="EO75" s="235">
        <f t="shared" si="443"/>
        <v>19544.859658686884</v>
      </c>
      <c r="EP75" s="235">
        <f t="shared" si="443"/>
        <v>49489.613259749996</v>
      </c>
      <c r="EQ75" s="235">
        <f t="shared" si="443"/>
        <v>45613.910215721247</v>
      </c>
      <c r="ER75" s="235">
        <f t="shared" ref="ER75:FE75" si="444">ER73-ER74</f>
        <v>52750.499999999993</v>
      </c>
      <c r="ES75" s="235">
        <f t="shared" si="444"/>
        <v>19915</v>
      </c>
      <c r="ET75" s="235">
        <f t="shared" si="444"/>
        <v>19367</v>
      </c>
      <c r="EU75" s="235">
        <f t="shared" si="444"/>
        <v>17844</v>
      </c>
      <c r="EV75" s="235">
        <f t="shared" si="444"/>
        <v>24595</v>
      </c>
      <c r="EW75" s="235">
        <f>EW73-EW74</f>
        <v>24422</v>
      </c>
      <c r="EX75" s="235">
        <f t="shared" si="444"/>
        <v>29196.573487500005</v>
      </c>
      <c r="EY75" s="235">
        <f t="shared" si="444"/>
        <v>30239.162331562504</v>
      </c>
      <c r="EZ75" s="235">
        <f t="shared" si="444"/>
        <v>25740.039314483904</v>
      </c>
      <c r="FA75" s="235">
        <f t="shared" si="444"/>
        <v>24074.414365587021</v>
      </c>
      <c r="FB75" s="235">
        <f t="shared" si="444"/>
        <v>24563.900410817132</v>
      </c>
      <c r="FC75" s="235">
        <f t="shared" si="444"/>
        <v>25585.995879313999</v>
      </c>
      <c r="FD75" s="235">
        <f t="shared" si="444"/>
        <v>25872.688659031359</v>
      </c>
      <c r="FE75" s="235">
        <f t="shared" si="444"/>
        <v>26406.906283063014</v>
      </c>
      <c r="FF75" s="235">
        <f t="shared" ref="FF75:FJ75" si="445">FF73-FF74</f>
        <v>25238.454954814326</v>
      </c>
      <c r="FG75" s="235">
        <f t="shared" si="445"/>
        <v>25597.455778688858</v>
      </c>
      <c r="FH75" s="235">
        <f t="shared" si="445"/>
        <v>26179.237149686756</v>
      </c>
      <c r="FI75" s="235">
        <f t="shared" si="445"/>
        <v>26839.635415620607</v>
      </c>
      <c r="FJ75" s="235">
        <f t="shared" si="445"/>
        <v>27556.774401971139</v>
      </c>
      <c r="FK75" s="235">
        <f>+FJ75*(1+$FN$78)</f>
        <v>27694.558273980991</v>
      </c>
      <c r="FL75" s="235">
        <f t="shared" ref="FL75:HW75" si="446">+FK75*(1+$FN$78)</f>
        <v>27833.031065350893</v>
      </c>
      <c r="FM75" s="235">
        <f t="shared" si="446"/>
        <v>27972.196220677644</v>
      </c>
      <c r="FN75" s="235">
        <f t="shared" si="446"/>
        <v>28112.05720178103</v>
      </c>
      <c r="FO75" s="235">
        <f t="shared" si="446"/>
        <v>28252.617487789932</v>
      </c>
      <c r="FP75" s="235">
        <f t="shared" si="446"/>
        <v>28393.880575228879</v>
      </c>
      <c r="FQ75" s="235">
        <f t="shared" si="446"/>
        <v>28535.84997810502</v>
      </c>
      <c r="FR75" s="235">
        <f t="shared" si="446"/>
        <v>28678.529227995543</v>
      </c>
      <c r="FS75" s="235">
        <f t="shared" si="446"/>
        <v>28821.921874135518</v>
      </c>
      <c r="FT75" s="235">
        <f t="shared" si="446"/>
        <v>28966.031483506191</v>
      </c>
      <c r="FU75" s="235">
        <f t="shared" si="446"/>
        <v>29110.861640923718</v>
      </c>
      <c r="FV75" s="235">
        <f t="shared" si="446"/>
        <v>29256.415949128335</v>
      </c>
      <c r="FW75" s="235">
        <f t="shared" si="446"/>
        <v>29402.698028873972</v>
      </c>
      <c r="FX75" s="235">
        <f t="shared" si="446"/>
        <v>29549.711519018339</v>
      </c>
      <c r="FY75" s="235">
        <f t="shared" si="446"/>
        <v>29697.460076613428</v>
      </c>
      <c r="FZ75" s="235">
        <f t="shared" si="446"/>
        <v>29845.947376996493</v>
      </c>
      <c r="GA75" s="235">
        <f t="shared" si="446"/>
        <v>29995.177113881473</v>
      </c>
      <c r="GB75" s="235">
        <f t="shared" si="446"/>
        <v>30145.152999450878</v>
      </c>
      <c r="GC75" s="235">
        <f t="shared" si="446"/>
        <v>30295.878764448131</v>
      </c>
      <c r="GD75" s="235">
        <f t="shared" si="446"/>
        <v>30447.35815827037</v>
      </c>
      <c r="GE75" s="235">
        <f t="shared" si="446"/>
        <v>30599.59494906172</v>
      </c>
      <c r="GF75" s="235">
        <f t="shared" si="446"/>
        <v>30752.592923807028</v>
      </c>
      <c r="GG75" s="235">
        <f t="shared" si="446"/>
        <v>30906.35588842606</v>
      </c>
      <c r="GH75" s="235">
        <f t="shared" si="446"/>
        <v>31060.887667868188</v>
      </c>
      <c r="GI75" s="235">
        <f t="shared" si="446"/>
        <v>31216.192106207527</v>
      </c>
      <c r="GJ75" s="235">
        <f t="shared" si="446"/>
        <v>31372.273066738562</v>
      </c>
      <c r="GK75" s="235">
        <f t="shared" si="446"/>
        <v>31529.134432072253</v>
      </c>
      <c r="GL75" s="235">
        <f t="shared" si="446"/>
        <v>31686.78010423261</v>
      </c>
      <c r="GM75" s="235">
        <f t="shared" si="446"/>
        <v>31845.214004753769</v>
      </c>
      <c r="GN75" s="235">
        <f t="shared" si="446"/>
        <v>32004.440074777533</v>
      </c>
      <c r="GO75" s="235">
        <f t="shared" si="446"/>
        <v>32164.462275151418</v>
      </c>
      <c r="GP75" s="235">
        <f t="shared" si="446"/>
        <v>32325.28458652717</v>
      </c>
      <c r="GQ75" s="235">
        <f t="shared" si="446"/>
        <v>32486.911009459804</v>
      </c>
      <c r="GR75" s="235">
        <f t="shared" si="446"/>
        <v>32649.345564507101</v>
      </c>
      <c r="GS75" s="235">
        <f t="shared" si="446"/>
        <v>32812.592292329631</v>
      </c>
      <c r="GT75" s="235">
        <f t="shared" si="446"/>
        <v>32976.655253791279</v>
      </c>
      <c r="GU75" s="235">
        <f t="shared" si="446"/>
        <v>33141.538530060236</v>
      </c>
      <c r="GV75" s="235">
        <f t="shared" si="446"/>
        <v>33307.246222710535</v>
      </c>
      <c r="GW75" s="235">
        <f t="shared" si="446"/>
        <v>33473.782453824082</v>
      </c>
      <c r="GX75" s="235">
        <f t="shared" si="446"/>
        <v>33641.151366093196</v>
      </c>
      <c r="GY75" s="235">
        <f t="shared" si="446"/>
        <v>33809.357122923655</v>
      </c>
      <c r="GZ75" s="235">
        <f t="shared" si="446"/>
        <v>33978.403908538268</v>
      </c>
      <c r="HA75" s="235">
        <f t="shared" si="446"/>
        <v>34148.295928080959</v>
      </c>
      <c r="HB75" s="235">
        <f t="shared" si="446"/>
        <v>34319.037407721364</v>
      </c>
      <c r="HC75" s="235">
        <f t="shared" si="446"/>
        <v>34490.632594759969</v>
      </c>
      <c r="HD75" s="235">
        <f t="shared" si="446"/>
        <v>34663.085757733767</v>
      </c>
      <c r="HE75" s="235">
        <f t="shared" si="446"/>
        <v>34836.401186522431</v>
      </c>
      <c r="HF75" s="235">
        <f t="shared" si="446"/>
        <v>35010.583192455037</v>
      </c>
      <c r="HG75" s="235">
        <f t="shared" si="446"/>
        <v>35185.636108417311</v>
      </c>
      <c r="HH75" s="235">
        <f t="shared" si="446"/>
        <v>35361.564288959395</v>
      </c>
      <c r="HI75" s="235">
        <f t="shared" si="446"/>
        <v>35538.372110404191</v>
      </c>
      <c r="HJ75" s="235">
        <f t="shared" si="446"/>
        <v>35716.063970956209</v>
      </c>
      <c r="HK75" s="235">
        <f t="shared" si="446"/>
        <v>35894.644290810989</v>
      </c>
      <c r="HL75" s="235">
        <f t="shared" si="446"/>
        <v>36074.117512265038</v>
      </c>
      <c r="HM75" s="235">
        <f t="shared" si="446"/>
        <v>36254.488099826362</v>
      </c>
      <c r="HN75" s="235">
        <f t="shared" si="446"/>
        <v>36435.760540325493</v>
      </c>
      <c r="HO75" s="235">
        <f t="shared" si="446"/>
        <v>36617.939343027116</v>
      </c>
      <c r="HP75" s="235">
        <f t="shared" si="446"/>
        <v>36801.02903974225</v>
      </c>
      <c r="HQ75" s="235">
        <f t="shared" si="446"/>
        <v>36985.03418494096</v>
      </c>
      <c r="HR75" s="235">
        <f t="shared" si="446"/>
        <v>37169.959355865663</v>
      </c>
      <c r="HS75" s="235">
        <f t="shared" si="446"/>
        <v>37355.809152644986</v>
      </c>
      <c r="HT75" s="235">
        <f t="shared" si="446"/>
        <v>37542.588198408208</v>
      </c>
      <c r="HU75" s="235">
        <f t="shared" si="446"/>
        <v>37730.301139400246</v>
      </c>
      <c r="HV75" s="235">
        <f t="shared" si="446"/>
        <v>37918.952645097241</v>
      </c>
      <c r="HW75" s="235">
        <f t="shared" si="446"/>
        <v>38108.547408322724</v>
      </c>
      <c r="HX75" s="235">
        <f t="shared" ref="HX75:JJ75" si="447">+HW75*(1+$FN$78)</f>
        <v>38299.090145364331</v>
      </c>
      <c r="HY75" s="235">
        <f t="shared" si="447"/>
        <v>38490.58559609115</v>
      </c>
      <c r="HZ75" s="235">
        <f t="shared" si="447"/>
        <v>38683.038524071599</v>
      </c>
      <c r="IA75" s="235">
        <f t="shared" si="447"/>
        <v>38876.453716691954</v>
      </c>
      <c r="IB75" s="235">
        <f t="shared" si="447"/>
        <v>39070.835985275407</v>
      </c>
      <c r="IC75" s="235">
        <f t="shared" si="447"/>
        <v>39266.190165201777</v>
      </c>
      <c r="ID75" s="235">
        <f t="shared" si="447"/>
        <v>39462.521116027783</v>
      </c>
      <c r="IE75" s="235">
        <f t="shared" si="447"/>
        <v>39659.833721607916</v>
      </c>
      <c r="IF75" s="235">
        <f t="shared" si="447"/>
        <v>39858.132890215951</v>
      </c>
      <c r="IG75" s="235">
        <f t="shared" si="447"/>
        <v>40057.423554667024</v>
      </c>
      <c r="IH75" s="235">
        <f t="shared" si="447"/>
        <v>40257.710672440357</v>
      </c>
      <c r="II75" s="235">
        <f t="shared" si="447"/>
        <v>40458.999225802552</v>
      </c>
      <c r="IJ75" s="235">
        <f t="shared" si="447"/>
        <v>40661.294221931559</v>
      </c>
      <c r="IK75" s="235">
        <f t="shared" si="447"/>
        <v>40864.600693041211</v>
      </c>
      <c r="IL75" s="235">
        <f t="shared" si="447"/>
        <v>41068.923696506412</v>
      </c>
      <c r="IM75" s="235">
        <f t="shared" si="447"/>
        <v>41274.268314988942</v>
      </c>
      <c r="IN75" s="235">
        <f t="shared" si="447"/>
        <v>41480.639656563879</v>
      </c>
      <c r="IO75" s="235">
        <f t="shared" si="447"/>
        <v>41688.042854846695</v>
      </c>
      <c r="IP75" s="235">
        <f t="shared" si="447"/>
        <v>41896.483069120921</v>
      </c>
      <c r="IQ75" s="235">
        <f t="shared" si="447"/>
        <v>42105.96548446652</v>
      </c>
      <c r="IR75" s="235">
        <f t="shared" si="447"/>
        <v>42316.495311888852</v>
      </c>
      <c r="IS75" s="235">
        <f t="shared" si="447"/>
        <v>42528.077788448289</v>
      </c>
      <c r="IT75" s="235">
        <f t="shared" si="447"/>
        <v>42740.718177390525</v>
      </c>
      <c r="IU75" s="235">
        <f t="shared" si="447"/>
        <v>42954.421768277476</v>
      </c>
      <c r="IV75" s="235">
        <f t="shared" si="447"/>
        <v>43169.193877118858</v>
      </c>
      <c r="IW75" s="235">
        <f t="shared" si="447"/>
        <v>43385.039846504449</v>
      </c>
      <c r="IX75" s="235">
        <f t="shared" si="447"/>
        <v>43601.965045736964</v>
      </c>
      <c r="IY75" s="235">
        <f t="shared" si="447"/>
        <v>43819.974870965641</v>
      </c>
      <c r="IZ75" s="235">
        <f t="shared" si="447"/>
        <v>44039.074745320468</v>
      </c>
      <c r="JA75" s="235">
        <f t="shared" si="447"/>
        <v>44259.270119047069</v>
      </c>
      <c r="JB75" s="235">
        <f t="shared" si="447"/>
        <v>44480.566469642297</v>
      </c>
      <c r="JC75" s="235">
        <f t="shared" si="447"/>
        <v>44702.969301990503</v>
      </c>
      <c r="JD75" s="235">
        <f t="shared" si="447"/>
        <v>44926.484148500451</v>
      </c>
      <c r="JE75" s="235">
        <f t="shared" si="447"/>
        <v>45151.116569242949</v>
      </c>
      <c r="JF75" s="235">
        <f t="shared" si="447"/>
        <v>45376.872152089156</v>
      </c>
      <c r="JG75" s="235">
        <f t="shared" si="447"/>
        <v>45603.756512849599</v>
      </c>
      <c r="JH75" s="235">
        <f t="shared" si="447"/>
        <v>45831.775295413841</v>
      </c>
      <c r="JI75" s="235">
        <f t="shared" si="447"/>
        <v>46060.934171890905</v>
      </c>
      <c r="JJ75" s="235">
        <f t="shared" si="447"/>
        <v>46291.238842750354</v>
      </c>
    </row>
    <row r="76" spans="1:270" s="281" customFormat="1" ht="12.75" customHeight="1" x14ac:dyDescent="0.2">
      <c r="B76" s="1" t="s">
        <v>344</v>
      </c>
      <c r="C76" s="282">
        <f t="shared" ref="C76:AY76" si="448">C75/C77</f>
        <v>0.34093466356612412</v>
      </c>
      <c r="D76" s="282">
        <f t="shared" si="448"/>
        <v>0.34108818011257036</v>
      </c>
      <c r="E76" s="282">
        <f t="shared" si="448"/>
        <v>0.32020073402741372</v>
      </c>
      <c r="F76" s="282">
        <f t="shared" si="448"/>
        <v>0.23470680277177558</v>
      </c>
      <c r="G76" s="282">
        <f t="shared" si="448"/>
        <v>0.36735287699134356</v>
      </c>
      <c r="H76" s="282">
        <f t="shared" si="448"/>
        <v>0.36694902877172481</v>
      </c>
      <c r="I76" s="282">
        <f t="shared" si="448"/>
        <v>0.34996358339402767</v>
      </c>
      <c r="J76" s="282">
        <f t="shared" si="448"/>
        <v>0.25262467191601051</v>
      </c>
      <c r="K76" s="282">
        <f t="shared" si="448"/>
        <v>0.41065967671472253</v>
      </c>
      <c r="L76" s="282">
        <f t="shared" si="448"/>
        <v>0.42006109979633405</v>
      </c>
      <c r="M76" s="282">
        <f t="shared" si="448"/>
        <v>0.40004368083867214</v>
      </c>
      <c r="N76" s="282">
        <f t="shared" si="448"/>
        <v>0.26558647411060232</v>
      </c>
      <c r="O76" s="282">
        <f t="shared" si="448"/>
        <v>0.46562721474131824</v>
      </c>
      <c r="P76" s="282">
        <f t="shared" si="448"/>
        <v>0.47078381437464634</v>
      </c>
      <c r="Q76" s="282">
        <f t="shared" si="448"/>
        <v>0.44661154688714583</v>
      </c>
      <c r="R76" s="282">
        <f t="shared" si="448"/>
        <v>0.33286368439591407</v>
      </c>
      <c r="S76" s="282">
        <f t="shared" si="448"/>
        <v>0.53014773450201458</v>
      </c>
      <c r="T76" s="282">
        <f t="shared" si="448"/>
        <v>0.47645073139366662</v>
      </c>
      <c r="U76" s="282">
        <f t="shared" si="448"/>
        <v>0.49149763733967661</v>
      </c>
      <c r="V76" s="282">
        <f t="shared" si="448"/>
        <v>0.38767140843265413</v>
      </c>
      <c r="W76" s="282">
        <f t="shared" si="448"/>
        <v>0.58868845092123001</v>
      </c>
      <c r="X76" s="282">
        <f t="shared" si="448"/>
        <v>0.63793047274622872</v>
      </c>
      <c r="Y76" s="282">
        <f t="shared" si="448"/>
        <v>0.56992764396867879</v>
      </c>
      <c r="Z76" s="282">
        <f t="shared" si="448"/>
        <v>0.45771736614082087</v>
      </c>
      <c r="AA76" s="282">
        <f t="shared" si="448"/>
        <v>0.6920655954944509</v>
      </c>
      <c r="AB76" s="282">
        <f t="shared" si="448"/>
        <v>0.69902269339075696</v>
      </c>
      <c r="AC76" s="282">
        <f t="shared" si="448"/>
        <v>0.68842868065020102</v>
      </c>
      <c r="AD76" s="282">
        <f t="shared" si="448"/>
        <v>0.65881413455779592</v>
      </c>
      <c r="AE76" s="282">
        <f t="shared" si="448"/>
        <v>0.97117752779072097</v>
      </c>
      <c r="AF76" s="282">
        <f t="shared" si="448"/>
        <v>0.95364855422087635</v>
      </c>
      <c r="AG76" s="282">
        <f t="shared" si="448"/>
        <v>0.78398138916583582</v>
      </c>
      <c r="AH76" s="282">
        <f t="shared" si="448"/>
        <v>0.66567114650738346</v>
      </c>
      <c r="AI76" s="282">
        <f t="shared" si="448"/>
        <v>0.93891589774117812</v>
      </c>
      <c r="AJ76" s="282">
        <f t="shared" si="448"/>
        <v>0.99679307038714593</v>
      </c>
      <c r="AK76" s="282">
        <f t="shared" si="448"/>
        <v>0.84425520590779057</v>
      </c>
      <c r="AL76" s="282">
        <f t="shared" si="448"/>
        <v>0.69719595155135228</v>
      </c>
      <c r="AM76" s="282">
        <f t="shared" si="448"/>
        <v>1.1167173455408161</v>
      </c>
      <c r="AN76" s="282">
        <f t="shared" si="448"/>
        <v>1.0328133405056481</v>
      </c>
      <c r="AO76" s="282">
        <f t="shared" si="448"/>
        <v>0.97520436891557272</v>
      </c>
      <c r="AP76" s="282">
        <f t="shared" si="448"/>
        <v>0.81379875115160205</v>
      </c>
      <c r="AQ76" s="282">
        <f>AQ75/AQ77</f>
        <v>1.1729302739117053</v>
      </c>
      <c r="AR76" s="282">
        <f t="shared" si="448"/>
        <v>1.0579982891360138</v>
      </c>
      <c r="AS76" s="282">
        <f t="shared" si="448"/>
        <v>1.0674647258745578</v>
      </c>
      <c r="AT76" s="282">
        <f t="shared" si="448"/>
        <v>1.0009770870829295</v>
      </c>
      <c r="AU76" s="282">
        <f t="shared" si="448"/>
        <v>1.2552768377350592</v>
      </c>
      <c r="AV76" s="282">
        <f t="shared" si="448"/>
        <v>1.1835629921259843</v>
      </c>
      <c r="AW76" s="282">
        <f t="shared" si="448"/>
        <v>1.169074276833963</v>
      </c>
      <c r="AX76" s="282">
        <f t="shared" si="448"/>
        <v>0.93732153055396916</v>
      </c>
      <c r="AY76" s="282">
        <f t="shared" si="448"/>
        <v>1.2570793605276362</v>
      </c>
      <c r="AZ76" s="282">
        <f t="shared" ref="AZ76:BG76" si="449">AZ75/AZ77</f>
        <v>1.1531272465851905</v>
      </c>
      <c r="BA76" s="282">
        <f t="shared" si="449"/>
        <v>1.1976369495166488</v>
      </c>
      <c r="BB76" s="282">
        <f t="shared" si="449"/>
        <v>1.0312891113892366</v>
      </c>
      <c r="BC76" s="282">
        <f t="shared" si="449"/>
        <v>1.2926750795409858</v>
      </c>
      <c r="BD76" s="282">
        <f t="shared" si="449"/>
        <v>1.2306866952789699</v>
      </c>
      <c r="BE76" s="282">
        <f t="shared" si="449"/>
        <v>1.2263135228251507</v>
      </c>
      <c r="BF76" s="282">
        <f t="shared" si="449"/>
        <v>1.0296232384239288</v>
      </c>
      <c r="BG76" s="282">
        <f t="shared" si="449"/>
        <v>1.539654488404804</v>
      </c>
      <c r="BH76" s="282">
        <f t="shared" ref="BH76:BN76" si="450">BH75/BH77</f>
        <v>1.2098658900514148</v>
      </c>
      <c r="BI76" s="282">
        <f>BI75/BI77</f>
        <v>1.1525448131883955</v>
      </c>
      <c r="BJ76" s="282">
        <f t="shared" si="450"/>
        <v>2.0597489963470648</v>
      </c>
      <c r="BK76" s="282">
        <f t="shared" si="450"/>
        <v>1.4090597859382319</v>
      </c>
      <c r="BL76" s="282">
        <f t="shared" si="450"/>
        <v>1.2940461725394898</v>
      </c>
      <c r="BM76" s="282">
        <f t="shared" si="450"/>
        <v>1.2231645434867464</v>
      </c>
      <c r="BN76" s="282">
        <f t="shared" si="450"/>
        <v>1.0076233500388225</v>
      </c>
      <c r="BO76" s="282">
        <f t="shared" ref="BO76:BR76" si="451">BO75/BO77</f>
        <v>1.2606688120889884</v>
      </c>
      <c r="BP76" s="282">
        <f t="shared" si="451"/>
        <v>1.5019011406844107</v>
      </c>
      <c r="BQ76" s="282">
        <f t="shared" si="451"/>
        <v>1.3824101068999028</v>
      </c>
      <c r="BR76" s="282">
        <f t="shared" si="451"/>
        <v>1.2703882311977714</v>
      </c>
      <c r="BS76" s="282">
        <f t="shared" ref="BS76:BV76" si="452">BS75/BS77</f>
        <v>1.7466170382996489</v>
      </c>
      <c r="BT76" s="282">
        <f t="shared" si="452"/>
        <v>1.5969661123095122</v>
      </c>
      <c r="BU76" s="282">
        <f t="shared" si="452"/>
        <v>1.1884230003840379</v>
      </c>
      <c r="BV76" s="282">
        <f t="shared" si="452"/>
        <v>1.2793027097318384</v>
      </c>
      <c r="BW76" s="282">
        <f t="shared" ref="BW76:BZ76" si="453">BW75/BW77</f>
        <v>1.40552016985138</v>
      </c>
      <c r="BX76" s="282">
        <f t="shared" si="453"/>
        <v>1.2748933143669985</v>
      </c>
      <c r="BY76" s="282">
        <f t="shared" si="453"/>
        <v>1.3493872898261614</v>
      </c>
      <c r="BZ76" s="282">
        <f t="shared" si="453"/>
        <v>0.97492241287054537</v>
      </c>
      <c r="CA76" s="282">
        <f t="shared" ref="CA76:CC76" si="454">+CA75/CA77</f>
        <v>1.6373327609644415</v>
      </c>
      <c r="CB76" s="282">
        <f t="shared" si="454"/>
        <v>1.6809820342137285</v>
      </c>
      <c r="CC76" s="282">
        <f t="shared" si="454"/>
        <v>1.5559704171752711</v>
      </c>
      <c r="CD76" s="282">
        <f t="shared" ref="CD76:CE76" si="455">+CD75/CD77</f>
        <v>1.4501718213058419</v>
      </c>
      <c r="CE76" s="282">
        <f t="shared" si="455"/>
        <v>1.6362316209838446</v>
      </c>
      <c r="CF76" s="282">
        <f t="shared" ref="CF76:CG76" si="456">+CF75/CF77</f>
        <v>1.6144446470910085</v>
      </c>
      <c r="CG76" s="282">
        <f t="shared" si="456"/>
        <v>1.4000803594257956</v>
      </c>
      <c r="CH76" s="282">
        <f t="shared" ref="CH76:CJ76" si="457">+CH75/CH77</f>
        <v>1.778092293940184</v>
      </c>
      <c r="CI76" s="282">
        <f t="shared" si="457"/>
        <v>1.6138950913283794</v>
      </c>
      <c r="CJ76" s="282">
        <f t="shared" si="457"/>
        <v>1.6076875022966963</v>
      </c>
      <c r="CK76" s="282">
        <f t="shared" ref="CK76:CL76" si="458">+CK75/CK77</f>
        <v>2.1205455345358559</v>
      </c>
      <c r="CL76" s="282">
        <f t="shared" si="458"/>
        <v>1.9629221732745963</v>
      </c>
      <c r="CM76" s="282">
        <f t="shared" ref="CM76:CN76" si="459">+CM75/CM77</f>
        <v>1.7322513709796945</v>
      </c>
      <c r="CN76" s="282">
        <f t="shared" si="459"/>
        <v>1.4797339971022032</v>
      </c>
      <c r="CO76" s="282">
        <f t="shared" ref="CO76:CQ76" si="460">+CO75/CO77</f>
        <v>2.1154350350200382</v>
      </c>
      <c r="CP76" s="282">
        <f t="shared" si="460"/>
        <v>1.896144767899292</v>
      </c>
      <c r="CQ76" s="282">
        <f t="shared" si="460"/>
        <v>1.9056533133657807</v>
      </c>
      <c r="CR76" s="282">
        <f t="shared" ref="CR76" si="461">+CR75/CR77</f>
        <v>1.3862314762708685</v>
      </c>
      <c r="CS76" s="282">
        <f>+CS75/CS77</f>
        <v>1.8583739228175347</v>
      </c>
      <c r="CT76" s="282">
        <f>+CT75/CT77</f>
        <v>1.5357811914574746</v>
      </c>
      <c r="CU76" s="282">
        <f>+CU75/CU77</f>
        <v>2.3384592359785987</v>
      </c>
      <c r="CV76" s="282">
        <f t="shared" ref="CV76" si="462">+CV75/CV77</f>
        <v>2.5280730648300644</v>
      </c>
      <c r="CW76" s="282">
        <f>+CW75/CW77</f>
        <v>2.4202773935474222</v>
      </c>
      <c r="CX76" s="282">
        <f>+CX75/CX77</f>
        <v>1.8325842696629213</v>
      </c>
      <c r="CY76" s="282">
        <f>+CY75/CY77</f>
        <v>2.2227639227451714</v>
      </c>
      <c r="CZ76" s="282">
        <f t="shared" ref="CZ76:DG76" si="463">+CZ75/CZ77</f>
        <v>2.6316578582405636</v>
      </c>
      <c r="DA76" s="282">
        <f t="shared" si="463"/>
        <v>1.9497989704279861</v>
      </c>
      <c r="DB76" s="282">
        <f t="shared" si="463"/>
        <v>2.4116071091656921</v>
      </c>
      <c r="DC76" s="282">
        <f t="shared" si="463"/>
        <v>1.932834388792938</v>
      </c>
      <c r="DD76" s="282">
        <f t="shared" si="463"/>
        <v>2.0501199680085311</v>
      </c>
      <c r="DE76" s="282">
        <f t="shared" si="463"/>
        <v>2.6577636584696243</v>
      </c>
      <c r="DF76" s="282">
        <f t="shared" si="463"/>
        <v>2.3746245937384294</v>
      </c>
      <c r="DG76" s="282">
        <f t="shared" si="463"/>
        <v>2.7072959960495453</v>
      </c>
      <c r="DH76" s="282">
        <f t="shared" ref="DH76:DN76" si="464">+DH75/DH77</f>
        <v>2.0119735755573904</v>
      </c>
      <c r="DI76" s="282">
        <f t="shared" si="464"/>
        <v>2.4200337740434112</v>
      </c>
      <c r="DJ76" s="282">
        <f t="shared" si="464"/>
        <v>1.9789048658893331</v>
      </c>
      <c r="DK76" s="282">
        <f t="shared" si="464"/>
        <v>6.705863994066994</v>
      </c>
      <c r="DL76" s="282">
        <f t="shared" si="464"/>
        <v>6.8944378064356631</v>
      </c>
      <c r="DM76" s="282">
        <f t="shared" si="464"/>
        <v>6.9054954472415648</v>
      </c>
      <c r="DN76" s="282">
        <f t="shared" si="464"/>
        <v>6.8297150405834133</v>
      </c>
      <c r="DP76" s="282">
        <f t="shared" ref="DP76:EQ76" si="465">DP75/DP77</f>
        <v>0.40603422395676969</v>
      </c>
      <c r="DQ76" s="282">
        <f t="shared" si="465"/>
        <v>0.47156254726970198</v>
      </c>
      <c r="DR76" s="282">
        <f t="shared" si="465"/>
        <v>0.4759850708145893</v>
      </c>
      <c r="DS76" s="282">
        <f t="shared" si="465"/>
        <v>0.52940839182345845</v>
      </c>
      <c r="DT76" s="282">
        <f t="shared" si="465"/>
        <v>0.58218178406300991</v>
      </c>
      <c r="DU76" s="282">
        <f t="shared" si="465"/>
        <v>0.65351385866378242</v>
      </c>
      <c r="DV76" s="282">
        <f t="shared" si="465"/>
        <v>0.78282591359009235</v>
      </c>
      <c r="DW76" s="282">
        <f t="shared" si="465"/>
        <v>0.94049871516212935</v>
      </c>
      <c r="DX76" s="282">
        <f t="shared" si="465"/>
        <v>1.0760191396537975</v>
      </c>
      <c r="DY76" s="282">
        <f t="shared" si="465"/>
        <v>1.2496546835337472</v>
      </c>
      <c r="DZ76" s="282">
        <f t="shared" si="465"/>
        <v>1.3574032715796827</v>
      </c>
      <c r="EA76" s="282">
        <f t="shared" si="465"/>
        <v>1.5704391300920373</v>
      </c>
      <c r="EB76" s="282">
        <f t="shared" si="465"/>
        <v>1.8504142196944589</v>
      </c>
      <c r="EC76" s="282">
        <f t="shared" si="465"/>
        <v>2.5504287815058815</v>
      </c>
      <c r="ED76" s="282">
        <f t="shared" si="465"/>
        <v>2.9038000008760192</v>
      </c>
      <c r="EE76" s="282">
        <f t="shared" si="465"/>
        <v>3.1288886016701989</v>
      </c>
      <c r="EF76" s="282">
        <f t="shared" si="465"/>
        <v>3.2802394235223793</v>
      </c>
      <c r="EG76" s="282">
        <f t="shared" si="465"/>
        <v>3.7598784194528876</v>
      </c>
      <c r="EH76" s="282">
        <f>EH75/EH77</f>
        <v>4.2069005657186507</v>
      </c>
      <c r="EI76" s="282">
        <f t="shared" si="465"/>
        <v>4.5490126939351194</v>
      </c>
      <c r="EJ76" s="282">
        <f>EJ75/EJ77</f>
        <v>6.0130988325732666</v>
      </c>
      <c r="EK76" s="282">
        <f>EK75/EK77</f>
        <v>4.7116375332622535</v>
      </c>
      <c r="EL76" s="282">
        <f t="shared" si="465"/>
        <v>5.9586738877724805</v>
      </c>
      <c r="EM76" s="282">
        <f t="shared" si="465"/>
        <v>4.8147818185057814</v>
      </c>
      <c r="EN76" s="282">
        <f t="shared" si="465"/>
        <v>5.3269204693611476</v>
      </c>
      <c r="EO76" s="282">
        <f t="shared" si="465"/>
        <v>6.7952575953713632</v>
      </c>
      <c r="EP76" s="282">
        <f t="shared" si="465"/>
        <v>17.206297526205997</v>
      </c>
      <c r="EQ76" s="282">
        <f t="shared" si="465"/>
        <v>15.858812765135593</v>
      </c>
      <c r="ER76" s="282" t="e">
        <f t="shared" ref="ER76:EY76" si="466">ER75/ER77</f>
        <v>#DIV/0!</v>
      </c>
      <c r="ES76" s="282">
        <f t="shared" si="466"/>
        <v>7.3050399823930743</v>
      </c>
      <c r="ET76" s="282">
        <f t="shared" si="466"/>
        <v>7.2200941329978097</v>
      </c>
      <c r="EU76" s="282">
        <f t="shared" si="466"/>
        <v>6.6865895358096399</v>
      </c>
      <c r="EV76" s="282">
        <f t="shared" si="466"/>
        <v>9.2036822213074885</v>
      </c>
      <c r="EW76" s="282">
        <f t="shared" si="466"/>
        <v>9.167761552610834</v>
      </c>
      <c r="EX76" s="282">
        <f t="shared" si="466"/>
        <v>11.436630297896514</v>
      </c>
      <c r="EY76" s="282">
        <f t="shared" si="466"/>
        <v>11.845024220127113</v>
      </c>
      <c r="EZ76" s="282">
        <f t="shared" ref="EZ76:FE76" si="467">EZ75/EZ77</f>
        <v>10.082666502598578</v>
      </c>
      <c r="FA76" s="282">
        <f t="shared" si="467"/>
        <v>9.4302222435610581</v>
      </c>
      <c r="FB76" s="282">
        <f t="shared" si="467"/>
        <v>9.6219595012797736</v>
      </c>
      <c r="FC76" s="282">
        <f t="shared" si="467"/>
        <v>10.022325934942224</v>
      </c>
      <c r="FD76" s="282">
        <f t="shared" si="467"/>
        <v>10.134626761342536</v>
      </c>
      <c r="FE76" s="282">
        <f t="shared" si="467"/>
        <v>10.343885887838544</v>
      </c>
      <c r="FF76" s="282">
        <f t="shared" ref="FF76:FJ76" si="468">FF75/FF77</f>
        <v>9.8861901973498103</v>
      </c>
      <c r="FG76" s="282">
        <f t="shared" si="468"/>
        <v>10.026814908021803</v>
      </c>
      <c r="FH76" s="282">
        <f t="shared" si="468"/>
        <v>10.254705295815253</v>
      </c>
      <c r="FI76" s="282">
        <f t="shared" si="468"/>
        <v>10.513390816569631</v>
      </c>
      <c r="FJ76" s="282">
        <f t="shared" si="468"/>
        <v>10.794302323620645</v>
      </c>
    </row>
    <row r="77" spans="1:270" ht="12.75" customHeight="1" x14ac:dyDescent="0.2">
      <c r="B77" t="s">
        <v>349</v>
      </c>
      <c r="C77" s="235">
        <f>1333.1*2</f>
        <v>2666.2</v>
      </c>
      <c r="D77" s="235">
        <f>1332.5*2</f>
        <v>2665</v>
      </c>
      <c r="E77" s="235">
        <f>1335.1*2</f>
        <v>2670.2</v>
      </c>
      <c r="F77" s="235">
        <f>1342.1*2</f>
        <v>2684.2</v>
      </c>
      <c r="G77" s="235">
        <f>1374.7*2</f>
        <v>2749.4</v>
      </c>
      <c r="H77" s="235">
        <f>1369.4*2</f>
        <v>2738.8</v>
      </c>
      <c r="I77" s="235">
        <f>1373*2</f>
        <v>2746</v>
      </c>
      <c r="J77" s="235">
        <f>1371.6*2</f>
        <v>2743.2</v>
      </c>
      <c r="K77" s="235">
        <f>1373.4*2</f>
        <v>2746.8</v>
      </c>
      <c r="L77" s="235">
        <f>1374.8*2</f>
        <v>2749.6</v>
      </c>
      <c r="M77" s="235">
        <f>1373.6*2</f>
        <v>2747.2</v>
      </c>
      <c r="N77" s="235">
        <f>1419.5*2</f>
        <v>2839</v>
      </c>
      <c r="O77" s="235">
        <f>1411*2</f>
        <v>2822</v>
      </c>
      <c r="P77" s="235">
        <f>1413.6*2</f>
        <v>2827.2</v>
      </c>
      <c r="Q77" s="235">
        <f>1415.1*2</f>
        <v>2830.2</v>
      </c>
      <c r="R77" s="235">
        <f>1419.5*2</f>
        <v>2839</v>
      </c>
      <c r="S77" s="235">
        <f>1414.7*2</f>
        <v>2829.4</v>
      </c>
      <c r="T77" s="235">
        <v>3110.5</v>
      </c>
      <c r="U77" s="235">
        <v>3110.9</v>
      </c>
      <c r="V77" s="235">
        <v>3121.2</v>
      </c>
      <c r="W77" s="235">
        <v>3115.4</v>
      </c>
      <c r="X77" s="235">
        <v>3069.3</v>
      </c>
      <c r="Y77" s="235">
        <v>3026.7</v>
      </c>
      <c r="Z77" s="235">
        <f>3023.7</f>
        <v>3023.7</v>
      </c>
      <c r="AA77" s="235">
        <v>3018.5</v>
      </c>
      <c r="AB77" s="235">
        <v>3018.5</v>
      </c>
      <c r="AC77" s="235">
        <v>3008.3</v>
      </c>
      <c r="AD77" s="235">
        <v>3005.4</v>
      </c>
      <c r="AE77" s="243">
        <v>3004.6</v>
      </c>
      <c r="AF77" s="243">
        <v>3005.3</v>
      </c>
      <c r="AG77" s="243">
        <v>3009</v>
      </c>
      <c r="AH77" s="243">
        <v>3013.5</v>
      </c>
      <c r="AI77" s="243">
        <v>3023.7</v>
      </c>
      <c r="AJ77" s="243">
        <v>3024.7</v>
      </c>
      <c r="AK77" s="243">
        <v>3006.2</v>
      </c>
      <c r="AL77" s="243">
        <v>3013.5</v>
      </c>
      <c r="AM77" s="243">
        <v>2992.7</v>
      </c>
      <c r="AN77" s="243">
        <v>2974.4</v>
      </c>
      <c r="AO77" s="243">
        <v>2948.1</v>
      </c>
      <c r="AP77" s="243">
        <v>2930.7</v>
      </c>
      <c r="AQ77" s="243">
        <v>2924.3</v>
      </c>
      <c r="AR77" s="243">
        <v>2922.5</v>
      </c>
      <c r="AS77" s="243">
        <v>2912.9</v>
      </c>
      <c r="AT77" s="243">
        <v>2889.2</v>
      </c>
      <c r="AU77" s="243">
        <v>2866.3</v>
      </c>
      <c r="AV77" s="243">
        <v>2844.8</v>
      </c>
      <c r="AW77" s="243">
        <v>2831.3</v>
      </c>
      <c r="AX77" s="243">
        <v>2801.6</v>
      </c>
      <c r="AY77" s="243">
        <v>2789.8</v>
      </c>
      <c r="AZ77" s="243">
        <v>2782</v>
      </c>
      <c r="BA77" s="243">
        <v>2793</v>
      </c>
      <c r="BB77" s="243">
        <v>2796.5</v>
      </c>
      <c r="BC77" s="243">
        <v>2797.3</v>
      </c>
      <c r="BD77" s="243">
        <v>2796</v>
      </c>
      <c r="BE77" s="243">
        <v>2786.4</v>
      </c>
      <c r="BF77" s="243">
        <v>2781.6</v>
      </c>
      <c r="BG77" s="243">
        <v>2772.7</v>
      </c>
      <c r="BH77" s="243">
        <v>2781.3</v>
      </c>
      <c r="BI77" s="243">
        <v>2778.2</v>
      </c>
      <c r="BJ77" s="243">
        <v>2764.9</v>
      </c>
      <c r="BK77" s="243">
        <v>2774.9</v>
      </c>
      <c r="BL77" s="243">
        <v>2798.2</v>
      </c>
      <c r="BM77" s="243">
        <v>2818.1</v>
      </c>
      <c r="BN77" s="243">
        <v>2833.4</v>
      </c>
      <c r="BO77" s="243">
        <v>2858.8</v>
      </c>
      <c r="BP77" s="243">
        <v>2893</v>
      </c>
      <c r="BQ77" s="243">
        <v>2881.2</v>
      </c>
      <c r="BR77" s="243">
        <v>2872</v>
      </c>
      <c r="BS77" s="243">
        <v>2874.7</v>
      </c>
      <c r="BT77" s="243">
        <v>2874.2</v>
      </c>
      <c r="BU77" s="243">
        <v>2864.3</v>
      </c>
      <c r="BV77" s="243">
        <v>2845.3</v>
      </c>
      <c r="BW77" s="243">
        <v>2826</v>
      </c>
      <c r="BX77" s="243">
        <v>2812</v>
      </c>
      <c r="BY77" s="243">
        <v>2807.2</v>
      </c>
      <c r="BZ77" s="243">
        <v>2803.3</v>
      </c>
      <c r="CA77" s="243">
        <v>2795.4</v>
      </c>
      <c r="CB77" s="243">
        <v>2794.2</v>
      </c>
      <c r="CC77" s="243">
        <v>2785.4</v>
      </c>
      <c r="CD77" s="243">
        <v>2764.5</v>
      </c>
      <c r="CE77" s="243">
        <v>2754.5</v>
      </c>
      <c r="CF77" s="243">
        <v>2741.5</v>
      </c>
      <c r="CG77" s="243">
        <v>2737.7</v>
      </c>
      <c r="CH77" s="243">
        <v>2684.9</v>
      </c>
      <c r="CI77" s="243">
        <v>2731.9</v>
      </c>
      <c r="CJ77" s="243">
        <v>2721.3</v>
      </c>
      <c r="CK77" s="243">
        <v>2727.6</v>
      </c>
      <c r="CL77" s="243">
        <v>2724</v>
      </c>
      <c r="CM77" s="243">
        <v>2698.8</v>
      </c>
      <c r="CN77" s="243">
        <v>2691.7</v>
      </c>
      <c r="CO77" s="243">
        <v>2669.9</v>
      </c>
      <c r="CP77" s="243">
        <v>2669.1</v>
      </c>
      <c r="CQ77" s="243">
        <v>2671</v>
      </c>
      <c r="CR77" s="243">
        <v>2665.5</v>
      </c>
      <c r="CS77" s="243">
        <v>2669</v>
      </c>
      <c r="CT77" s="243">
        <v>2669</v>
      </c>
      <c r="CU77" s="243">
        <v>2672.7</v>
      </c>
      <c r="CV77" s="243">
        <v>2671.6</v>
      </c>
      <c r="CW77" s="243">
        <v>2674.9</v>
      </c>
      <c r="CX77" s="243">
        <v>2670</v>
      </c>
      <c r="CY77" s="243">
        <v>2666.5</v>
      </c>
      <c r="CZ77" s="243">
        <v>2667.9</v>
      </c>
      <c r="DA77" s="243">
        <v>2661.3</v>
      </c>
      <c r="DB77" s="243">
        <v>2650.1</v>
      </c>
      <c r="DC77" s="243">
        <v>2605.5</v>
      </c>
      <c r="DD77" s="243">
        <v>2625.7</v>
      </c>
      <c r="DE77" s="243">
        <v>2549.6999999999998</v>
      </c>
      <c r="DF77" s="243">
        <v>2430.6999999999998</v>
      </c>
      <c r="DG77" s="243">
        <v>2430.1</v>
      </c>
      <c r="DH77" s="243">
        <v>2422</v>
      </c>
      <c r="DI77" s="243">
        <v>2427.9</v>
      </c>
      <c r="DJ77" s="243">
        <v>2427.1</v>
      </c>
      <c r="DK77" s="243">
        <f t="shared" ref="DK77:DN77" si="469">+DJ77</f>
        <v>2427.1</v>
      </c>
      <c r="DL77" s="243">
        <f t="shared" si="469"/>
        <v>2427.1</v>
      </c>
      <c r="DM77" s="243">
        <f t="shared" si="469"/>
        <v>2427.1</v>
      </c>
      <c r="DN77" s="243">
        <f t="shared" si="469"/>
        <v>2427.1</v>
      </c>
      <c r="DP77" s="276">
        <f>666.2*4</f>
        <v>2664.8</v>
      </c>
      <c r="DQ77" s="276">
        <f>661.1*4</f>
        <v>2644.4</v>
      </c>
      <c r="DR77" s="276">
        <f>767.356*4</f>
        <v>3069.424</v>
      </c>
      <c r="DS77" s="276">
        <f>767.366*4</f>
        <v>3069.4639999999999</v>
      </c>
      <c r="DT77" s="276">
        <f>767.372*4</f>
        <v>3069.4879999999998</v>
      </c>
      <c r="DU77" s="276">
        <f>767.39*4</f>
        <v>3069.56</v>
      </c>
      <c r="DV77" s="243">
        <f>767.412*4</f>
        <v>3069.6480000000001</v>
      </c>
      <c r="DW77" s="243">
        <f>1534.824*2</f>
        <v>3069.6480000000001</v>
      </c>
      <c r="DX77" s="243">
        <f>1534.824*2</f>
        <v>3069.6480000000001</v>
      </c>
      <c r="DY77" s="243">
        <f>1534.824*2</f>
        <v>3069.6480000000001</v>
      </c>
      <c r="DZ77" s="243">
        <f>1534.916*2</f>
        <v>3069.8319999999999</v>
      </c>
      <c r="EA77" s="243">
        <f>1534.921*2</f>
        <v>3069.8420000000001</v>
      </c>
      <c r="EB77" s="243">
        <v>3119.8420000000001</v>
      </c>
      <c r="EC77" s="243">
        <f>3119.842-151.547</f>
        <v>2968.2950000000001</v>
      </c>
      <c r="ED77" s="235">
        <f>3119.842-151.869</f>
        <v>2967.973</v>
      </c>
      <c r="EE77" s="235">
        <f>3119.842-148.819</f>
        <v>2971.0230000000001</v>
      </c>
      <c r="EF77" s="235">
        <f>3119.842-145.364</f>
        <v>2974.4780000000001</v>
      </c>
      <c r="EG77" s="276">
        <v>2961</v>
      </c>
      <c r="EH77" s="276">
        <f>AVERAGE(AQ77:AT77)</f>
        <v>2912.2250000000004</v>
      </c>
      <c r="EI77" s="243">
        <f>AVERAGE(AU77:AX77)</f>
        <v>2836.0000000000005</v>
      </c>
      <c r="EJ77" s="243">
        <f>AVERAGE(AY77:BB77)</f>
        <v>2790.3249999999998</v>
      </c>
      <c r="EK77" s="243">
        <f>AVERAGE(BC77:BF77)</f>
        <v>2790.3250000000003</v>
      </c>
      <c r="EL77" s="243">
        <f>AVERAGE(BG77:BJ77)</f>
        <v>2774.2750000000001</v>
      </c>
      <c r="EM77" s="243">
        <f>AVERAGE(BK77:BN77)</f>
        <v>2806.15</v>
      </c>
      <c r="EN77" s="243">
        <f>AVERAGE(BO77:BR77)</f>
        <v>2876.25</v>
      </c>
      <c r="EO77" s="243">
        <f t="shared" ref="EO77:EP77" si="470">EN77</f>
        <v>2876.25</v>
      </c>
      <c r="EP77" s="243">
        <f t="shared" si="470"/>
        <v>2876.25</v>
      </c>
      <c r="EQ77" s="243">
        <f>EP77</f>
        <v>2876.25</v>
      </c>
      <c r="ER77" s="243"/>
      <c r="ES77" s="243">
        <f>AVERAGE(CI77:CL77)</f>
        <v>2726.2000000000003</v>
      </c>
      <c r="ET77" s="243">
        <f>AVERAGE(CM77:CP77)</f>
        <v>2682.375</v>
      </c>
      <c r="EU77" s="243">
        <f>AVERAGE(CQ77:CT77)</f>
        <v>2668.625</v>
      </c>
      <c r="EV77" s="243">
        <f>AVERAGE(CU77:CX77)</f>
        <v>2672.2999999999997</v>
      </c>
      <c r="EW77" s="243">
        <v>2663.9</v>
      </c>
      <c r="EX77" s="243">
        <f>AVERAGE(DC77:DF77)</f>
        <v>2552.8999999999996</v>
      </c>
      <c r="EY77" s="243">
        <f>+EX77</f>
        <v>2552.8999999999996</v>
      </c>
      <c r="EZ77" s="243">
        <f t="shared" ref="EZ77:FE77" si="471">+EY77</f>
        <v>2552.8999999999996</v>
      </c>
      <c r="FA77" s="243">
        <f t="shared" si="471"/>
        <v>2552.8999999999996</v>
      </c>
      <c r="FB77" s="243">
        <f t="shared" si="471"/>
        <v>2552.8999999999996</v>
      </c>
      <c r="FC77" s="243">
        <f t="shared" si="471"/>
        <v>2552.8999999999996</v>
      </c>
      <c r="FD77" s="243">
        <f t="shared" si="471"/>
        <v>2552.8999999999996</v>
      </c>
      <c r="FE77" s="243">
        <f t="shared" si="471"/>
        <v>2552.8999999999996</v>
      </c>
      <c r="FF77" s="243">
        <f t="shared" ref="FF77" si="472">+FE77</f>
        <v>2552.8999999999996</v>
      </c>
      <c r="FG77" s="243">
        <f t="shared" ref="FG77" si="473">+FF77</f>
        <v>2552.8999999999996</v>
      </c>
      <c r="FH77" s="243">
        <f t="shared" ref="FH77" si="474">+FG77</f>
        <v>2552.8999999999996</v>
      </c>
      <c r="FI77" s="243">
        <f t="shared" ref="FI77" si="475">+FH77</f>
        <v>2552.8999999999996</v>
      </c>
      <c r="FJ77" s="243">
        <f t="shared" ref="FJ77" si="476">+FI77</f>
        <v>2552.8999999999996</v>
      </c>
      <c r="FM77" t="s">
        <v>1432</v>
      </c>
      <c r="FN77" s="81">
        <v>0.01</v>
      </c>
    </row>
    <row r="78" spans="1:270" s="254" customFormat="1" ht="12.75" customHeight="1" x14ac:dyDescent="0.2">
      <c r="B78" t="s">
        <v>348</v>
      </c>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283"/>
      <c r="AJ78" s="283"/>
      <c r="AK78" s="283"/>
      <c r="AL78" s="283"/>
      <c r="AM78" s="283"/>
      <c r="AN78" s="283"/>
      <c r="AO78" s="283"/>
      <c r="AP78" s="283"/>
      <c r="AQ78" s="283"/>
      <c r="AR78" s="283"/>
      <c r="AS78" s="283"/>
      <c r="AT78" s="283"/>
      <c r="AU78" s="283"/>
      <c r="AV78" s="283"/>
      <c r="AW78" s="283"/>
      <c r="AX78" s="283"/>
      <c r="AY78" s="76"/>
      <c r="AZ78" s="76">
        <v>1.1200000000000001</v>
      </c>
      <c r="BA78" s="76">
        <v>1.1100000000000001</v>
      </c>
      <c r="BB78" s="76">
        <v>0.92</v>
      </c>
      <c r="BC78" s="76"/>
      <c r="BD78" s="76">
        <v>1.23</v>
      </c>
      <c r="BE78" s="76"/>
      <c r="BF78" s="283">
        <v>1.03</v>
      </c>
      <c r="BG78" s="283"/>
      <c r="BH78" s="283"/>
      <c r="BI78" s="283"/>
      <c r="BJ78" s="283"/>
      <c r="BK78" s="283"/>
      <c r="BL78" s="283"/>
      <c r="BM78" s="283"/>
      <c r="BN78" s="283"/>
      <c r="BO78" s="283"/>
      <c r="BP78" s="283"/>
      <c r="BQ78" s="283"/>
      <c r="BR78" s="283"/>
      <c r="BS78" s="283"/>
      <c r="BT78" s="283"/>
      <c r="BU78" s="283"/>
      <c r="BV78" s="283"/>
      <c r="BW78" s="283"/>
      <c r="BX78" s="283"/>
      <c r="BY78" s="283"/>
      <c r="BZ78" s="283"/>
      <c r="CA78" s="283"/>
      <c r="CB78" s="283"/>
      <c r="CC78" s="283"/>
      <c r="CD78" s="283"/>
      <c r="CE78" s="283"/>
      <c r="CF78" s="283"/>
      <c r="CG78" s="283"/>
      <c r="CH78" s="283"/>
      <c r="CI78" s="283"/>
      <c r="CJ78" s="283"/>
      <c r="CK78" s="283"/>
      <c r="CL78" s="283"/>
      <c r="CM78" s="283"/>
      <c r="CN78" s="283"/>
      <c r="CO78" s="283"/>
      <c r="CP78" s="283"/>
      <c r="CQ78" s="283"/>
      <c r="CR78" s="283"/>
      <c r="CS78" s="283"/>
      <c r="CT78" s="283"/>
      <c r="CU78" s="283"/>
      <c r="CV78" s="283"/>
      <c r="CW78" s="283"/>
      <c r="CX78" s="283"/>
      <c r="CY78" s="283"/>
      <c r="CZ78" s="283"/>
      <c r="DA78" s="283"/>
      <c r="DB78" s="283"/>
      <c r="DC78" s="283"/>
      <c r="DD78" s="283"/>
      <c r="DE78" s="283"/>
      <c r="DF78" s="283"/>
      <c r="DG78" s="283"/>
      <c r="DH78" s="283"/>
      <c r="DI78" s="283"/>
      <c r="DJ78" s="283"/>
      <c r="DK78" s="283"/>
      <c r="DL78" s="283"/>
      <c r="DM78" s="283"/>
      <c r="DN78" s="283"/>
      <c r="DP78" s="284"/>
      <c r="DQ78" s="284"/>
      <c r="DR78" s="284"/>
      <c r="DS78" s="284"/>
      <c r="DT78" s="284"/>
      <c r="DU78" s="284"/>
      <c r="DV78" s="284"/>
      <c r="DW78" s="284"/>
      <c r="DX78" s="284"/>
      <c r="DY78" s="284"/>
      <c r="DZ78" s="284"/>
      <c r="EA78" s="284"/>
      <c r="EB78" s="284"/>
      <c r="EC78" s="283">
        <v>2.2200000000000002</v>
      </c>
      <c r="ED78" s="283">
        <v>2.65</v>
      </c>
      <c r="EE78" s="283">
        <v>3.1</v>
      </c>
      <c r="EF78" s="283">
        <f>(EF75+356-225)/EF77</f>
        <v>3.3242807645576802</v>
      </c>
      <c r="EG78" s="283">
        <v>3.68</v>
      </c>
      <c r="EH78" s="283">
        <v>4.05</v>
      </c>
      <c r="EI78" s="283">
        <v>4.51</v>
      </c>
      <c r="EJ78" s="283">
        <v>4.49</v>
      </c>
      <c r="EK78" s="283">
        <v>4.75</v>
      </c>
      <c r="EL78" s="283">
        <v>5.36</v>
      </c>
      <c r="EM78" s="283">
        <v>5.81</v>
      </c>
      <c r="EN78" s="283">
        <v>6.25</v>
      </c>
      <c r="EO78" s="283">
        <v>6.68</v>
      </c>
      <c r="EP78" s="283">
        <v>7.28</v>
      </c>
      <c r="EQ78" s="284" t="s">
        <v>1309</v>
      </c>
      <c r="ER78" s="284"/>
      <c r="ES78" s="284"/>
      <c r="ET78" s="284"/>
      <c r="EU78" s="284"/>
      <c r="FK78" s="285"/>
      <c r="FM78" t="s">
        <v>1236</v>
      </c>
      <c r="FN78" s="81">
        <v>5.0000000000000001E-3</v>
      </c>
      <c r="FQ78" s="184"/>
      <c r="FR78" s="285"/>
      <c r="FS78" s="184"/>
      <c r="FT78" s="184"/>
      <c r="FU78" s="184"/>
      <c r="FV78"/>
      <c r="FW78"/>
    </row>
    <row r="79" spans="1:270" s="281" customFormat="1" ht="12.75" customHeight="1" x14ac:dyDescent="0.2">
      <c r="B79" s="1"/>
      <c r="C79" s="286"/>
      <c r="D79" s="286"/>
      <c r="E79" s="286"/>
      <c r="F79" s="286"/>
      <c r="G79" s="286"/>
      <c r="H79" s="286"/>
      <c r="I79" s="286"/>
      <c r="J79" s="286"/>
      <c r="K79" s="286"/>
      <c r="L79" s="286"/>
      <c r="M79" s="166"/>
      <c r="N79" s="166"/>
      <c r="O79" s="166"/>
      <c r="P79" s="166"/>
      <c r="Q79" s="166"/>
      <c r="R79" s="166"/>
      <c r="S79" s="166"/>
      <c r="T79" s="166"/>
      <c r="U79" s="166"/>
      <c r="V79" s="166"/>
      <c r="W79" s="166"/>
      <c r="X79" s="166"/>
      <c r="Y79" s="166"/>
      <c r="Z79" s="166"/>
      <c r="AA79" s="76"/>
      <c r="AB79" s="76"/>
      <c r="AC79" s="76"/>
      <c r="AD79" s="76"/>
      <c r="AE79" s="76"/>
      <c r="AF79" s="76"/>
      <c r="AG79" s="76"/>
      <c r="AH79" s="76"/>
      <c r="AI79" s="287"/>
      <c r="AJ79" s="287"/>
      <c r="AK79" s="287"/>
      <c r="AL79" s="287"/>
      <c r="AM79" s="287"/>
      <c r="AN79" s="287"/>
      <c r="AO79" s="287"/>
      <c r="AP79" s="287"/>
      <c r="AQ79" s="287"/>
      <c r="AR79" s="287"/>
      <c r="AS79" s="287"/>
      <c r="AT79" s="287"/>
      <c r="AU79" s="287"/>
      <c r="AV79" s="287"/>
      <c r="AW79" s="287"/>
      <c r="AX79" s="287"/>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c r="CS79" s="166"/>
      <c r="CT79" s="166"/>
      <c r="CU79" s="166"/>
      <c r="CV79" s="166"/>
      <c r="CW79" s="166"/>
      <c r="CX79" s="166"/>
      <c r="CY79" s="166"/>
      <c r="CZ79" s="166"/>
      <c r="DA79" s="166"/>
      <c r="DB79" s="166"/>
      <c r="DC79" s="166"/>
      <c r="DD79" s="166"/>
      <c r="DE79" s="166"/>
      <c r="DF79" s="166"/>
      <c r="DG79" s="166"/>
      <c r="DH79" s="166"/>
      <c r="DI79" s="166"/>
      <c r="DJ79" s="166"/>
      <c r="DK79" s="166"/>
      <c r="DL79" s="166"/>
      <c r="DM79" s="166"/>
      <c r="DN79" s="166"/>
      <c r="DP79" s="287"/>
      <c r="DQ79" s="287"/>
      <c r="DR79" s="287"/>
      <c r="DS79" s="287"/>
      <c r="DT79" s="287"/>
      <c r="DU79" s="287"/>
      <c r="DV79" s="287"/>
      <c r="DW79" s="287"/>
      <c r="DX79" s="287"/>
      <c r="DY79" s="287"/>
      <c r="DZ79" s="287"/>
      <c r="EA79" s="287"/>
      <c r="EB79" s="287"/>
      <c r="EC79" s="282"/>
      <c r="ED79" s="287"/>
      <c r="EE79" s="287"/>
      <c r="EF79" s="287"/>
      <c r="EG79" s="287"/>
      <c r="EH79" s="287"/>
      <c r="EI79" s="282"/>
      <c r="EJ79" s="282"/>
      <c r="EK79" s="282"/>
      <c r="EL79" s="282"/>
      <c r="EM79" s="282"/>
      <c r="EN79" s="287"/>
      <c r="EO79" s="287"/>
      <c r="EP79" s="287"/>
      <c r="EQ79" s="287"/>
      <c r="ER79" s="287"/>
      <c r="ES79" s="287"/>
      <c r="ET79" s="287"/>
      <c r="EU79" s="287"/>
      <c r="FM79" s="1" t="s">
        <v>1237</v>
      </c>
      <c r="FN79" s="223">
        <f>+FN80+(FN82*FN83)</f>
        <v>6.5500000000000003E-2</v>
      </c>
      <c r="FQ79"/>
      <c r="FR79" s="254"/>
      <c r="FS79"/>
      <c r="FT79"/>
      <c r="FU79"/>
      <c r="FV79" s="1"/>
      <c r="FW79" s="1"/>
    </row>
    <row r="80" spans="1:270" s="279" customFormat="1" ht="12.75" customHeight="1" x14ac:dyDescent="0.2">
      <c r="A80" s="1"/>
      <c r="B80" s="1" t="s">
        <v>346</v>
      </c>
      <c r="C80" s="282">
        <f>PV(11%,4,0,-EO76)*14</f>
        <v>62.667453175112655</v>
      </c>
      <c r="D80" s="282"/>
      <c r="E80" s="282"/>
      <c r="F80" s="282"/>
      <c r="G80" s="282"/>
      <c r="H80" s="288">
        <f t="shared" ref="H80:BB80" si="477">H64/D64-1</f>
        <v>1.4917514917514918E-2</v>
      </c>
      <c r="I80" s="288">
        <f t="shared" si="477"/>
        <v>2.4704618689581181E-2</v>
      </c>
      <c r="J80" s="288">
        <f t="shared" si="477"/>
        <v>0.13090586145648309</v>
      </c>
      <c r="K80" s="288">
        <f t="shared" si="477"/>
        <v>0.14784713816358286</v>
      </c>
      <c r="L80" s="288">
        <f t="shared" si="477"/>
        <v>0.18519799412069871</v>
      </c>
      <c r="M80" s="288">
        <f t="shared" si="477"/>
        <v>0.17907058001397624</v>
      </c>
      <c r="N80" s="288">
        <f t="shared" si="477"/>
        <v>8.0100518297471446E-2</v>
      </c>
      <c r="O80" s="288">
        <f t="shared" si="477"/>
        <v>0.1025911419102139</v>
      </c>
      <c r="P80" s="288">
        <f>P64/L64-1</f>
        <v>9.54187335862271E-2</v>
      </c>
      <c r="Q80" s="288">
        <f t="shared" si="477"/>
        <v>6.7417395169654837E-2</v>
      </c>
      <c r="R80" s="288">
        <f t="shared" si="477"/>
        <v>3.3590228297222691E-2</v>
      </c>
      <c r="S80" s="288">
        <f t="shared" si="477"/>
        <v>6.4489684383112422E-2</v>
      </c>
      <c r="T80" s="288">
        <f>T64/P64-1</f>
        <v>0.11108151305274383</v>
      </c>
      <c r="U80" s="288">
        <f t="shared" si="477"/>
        <v>0.14353137146029993</v>
      </c>
      <c r="V80" s="288">
        <f t="shared" si="477"/>
        <v>0.18218908272369161</v>
      </c>
      <c r="W80" s="288">
        <f t="shared" si="477"/>
        <v>0.12219227313566927</v>
      </c>
      <c r="X80" s="288">
        <f t="shared" si="477"/>
        <v>8.7628865979381354E-2</v>
      </c>
      <c r="Y80" s="288">
        <f t="shared" si="477"/>
        <v>0.10208788540907987</v>
      </c>
      <c r="Z80" s="288">
        <f t="shared" si="477"/>
        <v>0.11900511722004037</v>
      </c>
      <c r="AA80" s="288">
        <f t="shared" si="477"/>
        <v>0.12341301612718736</v>
      </c>
      <c r="AB80" s="288">
        <f t="shared" si="477"/>
        <v>0.13876336382673871</v>
      </c>
      <c r="AC80" s="288">
        <f t="shared" si="477"/>
        <v>0.15144839740059468</v>
      </c>
      <c r="AD80" s="288">
        <f t="shared" si="477"/>
        <v>0.21120918855684345</v>
      </c>
      <c r="AE80" s="288">
        <f t="shared" si="477"/>
        <v>0.22011810221950734</v>
      </c>
      <c r="AF80" s="288">
        <f t="shared" si="477"/>
        <v>0.15098722415795596</v>
      </c>
      <c r="AG80" s="288">
        <f t="shared" si="477"/>
        <v>0.1051272240290797</v>
      </c>
      <c r="AH80" s="288">
        <f t="shared" si="477"/>
        <v>0.11967688120115905</v>
      </c>
      <c r="AI80" s="288">
        <f t="shared" si="477"/>
        <v>7.0761014686248291E-2</v>
      </c>
      <c r="AJ80" s="288">
        <f t="shared" si="477"/>
        <v>7.3158425832492435E-2</v>
      </c>
      <c r="AK80" s="288">
        <f t="shared" si="477"/>
        <v>6.552410629273786E-2</v>
      </c>
      <c r="AL80" s="288">
        <f t="shared" si="477"/>
        <v>-1.1135508155583396E-2</v>
      </c>
      <c r="AM80" s="288">
        <f t="shared" si="477"/>
        <v>1.2468827930174564E-2</v>
      </c>
      <c r="AN80" s="288">
        <f t="shared" si="477"/>
        <v>4.7092932142297483E-2</v>
      </c>
      <c r="AO80" s="288">
        <f t="shared" si="477"/>
        <v>7.9366368805848797E-2</v>
      </c>
      <c r="AP80" s="288">
        <f t="shared" si="477"/>
        <v>8.5011895321173592E-2</v>
      </c>
      <c r="AQ80" s="288">
        <f t="shared" si="477"/>
        <v>0.16125307881773399</v>
      </c>
      <c r="AR80" s="288">
        <f t="shared" si="477"/>
        <v>0.13312878844570819</v>
      </c>
      <c r="AS80" s="289">
        <f t="shared" si="477"/>
        <v>0.12944983818770228</v>
      </c>
      <c r="AT80" s="289">
        <f t="shared" si="477"/>
        <v>0.16627686010817122</v>
      </c>
      <c r="AU80" s="289">
        <f t="shared" si="477"/>
        <v>7.3374428315768458E-2</v>
      </c>
      <c r="AV80" s="289">
        <f t="shared" si="477"/>
        <v>8.6382248051776411E-2</v>
      </c>
      <c r="AW80" s="289">
        <f t="shared" si="477"/>
        <v>6.0904911041513854E-2</v>
      </c>
      <c r="AX80" s="289">
        <f>AX64/AT64-1</f>
        <v>-4.8568026571410683E-2</v>
      </c>
      <c r="AY80" s="289">
        <f t="shared" si="477"/>
        <v>-7.2125478572310775E-2</v>
      </c>
      <c r="AZ80" s="289">
        <f t="shared" si="477"/>
        <v>-7.3617021276595751E-2</v>
      </c>
      <c r="BA80" s="289">
        <f>BA64/AW64-1</f>
        <v>-5.27605049934049E-2</v>
      </c>
      <c r="BB80" s="289">
        <f t="shared" si="477"/>
        <v>9.017257278355939E-2</v>
      </c>
      <c r="BC80" s="289">
        <f>BC64/AY64-1</f>
        <v>4.026354319180081E-2</v>
      </c>
      <c r="BD80" s="289">
        <f>BD64/AZ64-1</f>
        <v>9.8431655620447867E-3</v>
      </c>
      <c r="BE80" s="289">
        <f t="shared" ref="BE80:BG80" si="478">BE64/BA64-1</f>
        <v>-6.5645514223194867E-3</v>
      </c>
      <c r="BF80" s="289">
        <f t="shared" si="478"/>
        <v>-5.4800314180412091E-2</v>
      </c>
      <c r="BG80" s="289">
        <f t="shared" si="478"/>
        <v>8.5407203633804718E-2</v>
      </c>
      <c r="BH80" s="289">
        <f>BH64/BD64-1</f>
        <v>7.8497628175969947E-2</v>
      </c>
      <c r="BI80" s="289">
        <f>BI64/BE64-1</f>
        <v>6.8281938325991165E-2</v>
      </c>
      <c r="BJ80" s="289">
        <f t="shared" ref="BJ80" si="479">BJ64/BF64-1</f>
        <v>0.20308105343901817</v>
      </c>
      <c r="BK80" s="289">
        <f>BK64/BG64-1</f>
        <v>-4.8744547919368109E-2</v>
      </c>
      <c r="BL80" s="289">
        <f>BL64/BH64-1</f>
        <v>1.7473037295896443E-3</v>
      </c>
      <c r="BM80" s="289">
        <f>BM64/BI64-1</f>
        <v>7.4101843174008142E-2</v>
      </c>
      <c r="BN80" s="289">
        <f>BN64/BJ64-1</f>
        <v>-5.4726103820200822E-2</v>
      </c>
      <c r="BO80" s="289">
        <f t="shared" ref="BO80:BR80" si="480">BO64/BK64-1</f>
        <v>8.7304046099510479E-2</v>
      </c>
      <c r="BP80" s="289">
        <f t="shared" si="480"/>
        <v>7.8611812823288885E-2</v>
      </c>
      <c r="BQ80" s="289">
        <f t="shared" si="480"/>
        <v>2.60601477517306E-2</v>
      </c>
      <c r="BR80" s="289">
        <f t="shared" si="480"/>
        <v>3.7097408802203358E-2</v>
      </c>
      <c r="BS80" s="289">
        <f>BS64/BO64-1</f>
        <v>3.8237975837702276E-2</v>
      </c>
      <c r="BT80" s="289">
        <f t="shared" ref="BT80" si="481">BT64/BP64-1</f>
        <v>8.7101990743322366E-2</v>
      </c>
      <c r="BU80" s="289">
        <f t="shared" ref="BU80" si="482">BU64/BQ64-1</f>
        <v>4.6941436589375884E-2</v>
      </c>
      <c r="BV80" s="289">
        <f t="shared" ref="BV80" si="483">BV64/BR64-1</f>
        <v>-1.0676928079778825E-2</v>
      </c>
      <c r="BW80" s="289">
        <f t="shared" ref="BW80" si="484">BW64/BS64-1</f>
        <v>-4.6380152587957579E-2</v>
      </c>
      <c r="BX80" s="289">
        <f t="shared" ref="BX80" si="485">BX64/BT64-1</f>
        <v>-8.7612208258527779E-2</v>
      </c>
      <c r="BY80" s="289">
        <f t="shared" ref="BY80" si="486">BY64/BU64-1</f>
        <v>-7.3915633291817828E-2</v>
      </c>
      <c r="BZ80" s="289">
        <f t="shared" ref="BZ80" si="487">BZ64/BV64-1</f>
        <v>-2.4268653445820076E-2</v>
      </c>
      <c r="CA80" s="289">
        <f t="shared" ref="CA80:CH80" si="488">CA64/BW64-1</f>
        <v>6.2161851041786509E-3</v>
      </c>
      <c r="CB80" s="289">
        <f t="shared" si="488"/>
        <v>3.9073480631922175E-2</v>
      </c>
      <c r="CC80" s="289">
        <f t="shared" si="488"/>
        <v>4.1983393755116394E-2</v>
      </c>
      <c r="CD80" s="289">
        <f t="shared" si="488"/>
        <v>1.6562798270731482E-2</v>
      </c>
      <c r="CE80" s="289">
        <f t="shared" si="488"/>
        <v>1.6245280860313516E-2</v>
      </c>
      <c r="CF80" s="289">
        <f t="shared" si="488"/>
        <v>1.9316091332106877E-2</v>
      </c>
      <c r="CG80" s="289">
        <f t="shared" si="488"/>
        <v>0.10269360269360273</v>
      </c>
      <c r="CH80" s="289">
        <f t="shared" si="488"/>
        <v>0.11537611841378559</v>
      </c>
      <c r="CI80" s="289">
        <f t="shared" ref="CI80:CO80" si="489">+CI64/CE64-1</f>
        <v>0.12625239220983908</v>
      </c>
      <c r="CJ80" s="289">
        <f t="shared" si="489"/>
        <v>0.10568501512819162</v>
      </c>
      <c r="CK80" s="289">
        <f t="shared" si="489"/>
        <v>3.5521628498727642E-2</v>
      </c>
      <c r="CL80" s="289">
        <f t="shared" si="489"/>
        <v>9.8539242386730397E-3</v>
      </c>
      <c r="CM80" s="289">
        <f t="shared" si="489"/>
        <v>5.9973012144531879E-4</v>
      </c>
      <c r="CN80" s="289">
        <f t="shared" si="489"/>
        <v>-1.2770043206913106E-2</v>
      </c>
      <c r="CO80" s="289">
        <f t="shared" si="489"/>
        <v>1.867505405936698E-2</v>
      </c>
      <c r="CP80" s="289">
        <f t="shared" ref="CP80" si="490">+CP64/CL64-1</f>
        <v>1.7161910365793842E-2</v>
      </c>
      <c r="CQ80" s="289">
        <f t="shared" ref="CQ80:CU80" si="491">+CQ64/CM64-1</f>
        <v>3.3414914339943147E-2</v>
      </c>
      <c r="CR80" s="289">
        <f t="shared" si="491"/>
        <v>-0.10824742268041232</v>
      </c>
      <c r="CS80" s="289">
        <f t="shared" si="491"/>
        <v>1.7078348128135801E-2</v>
      </c>
      <c r="CT80" s="289">
        <f>+CT64/CP64-1</f>
        <v>8.3494022367913701E-2</v>
      </c>
      <c r="CU80" s="289">
        <f t="shared" si="491"/>
        <v>7.8830352827452765E-2</v>
      </c>
      <c r="CV80" s="289">
        <f t="shared" ref="CV80" si="492">+CV64/CR64-1</f>
        <v>0.27827462100556222</v>
      </c>
      <c r="CW80" s="289">
        <f t="shared" ref="CW80:CX80" si="493">+CW64/CS64-1</f>
        <v>0.10686841855611418</v>
      </c>
      <c r="CX80" s="289">
        <f t="shared" si="493"/>
        <v>0.10686954974194696</v>
      </c>
      <c r="CY80" s="289">
        <f>+CY64/CU64-1</f>
        <v>5.3895434792347929E-2</v>
      </c>
      <c r="CZ80" s="289">
        <f t="shared" ref="CZ80:DG80" si="494">+CZ64/CV64-1</f>
        <v>2.9350283690968926E-2</v>
      </c>
      <c r="DA80" s="289">
        <f t="shared" si="494"/>
        <v>2.6226698092993272E-2</v>
      </c>
      <c r="DB80" s="289">
        <f>+DB64/CX64-1</f>
        <v>-4.0155961090119763E-2</v>
      </c>
      <c r="DC80" s="289">
        <f t="shared" si="494"/>
        <v>-0.11180071416425774</v>
      </c>
      <c r="DD80" s="289">
        <f t="shared" si="494"/>
        <v>6.1958638982137604E-2</v>
      </c>
      <c r="DE80" s="289">
        <f t="shared" si="494"/>
        <v>-0.10842694283208754</v>
      </c>
      <c r="DF80" s="289">
        <f t="shared" si="494"/>
        <v>-0.10398257883495954</v>
      </c>
      <c r="DG80" s="289">
        <f t="shared" si="494"/>
        <v>2.3355987364793718E-2</v>
      </c>
      <c r="DH80" s="289">
        <f t="shared" ref="DH80" si="495">+DH64/DD64-1</f>
        <v>-0.12375117077739617</v>
      </c>
      <c r="DI80" s="289">
        <f t="shared" ref="DI80" si="496">+DI64/DE64-1</f>
        <v>5.246247160488049E-2</v>
      </c>
      <c r="DJ80" s="289">
        <f t="shared" ref="DJ80" si="497">+DJ64/DF64-1</f>
        <v>5.2579921480650604E-2</v>
      </c>
      <c r="DK80" s="289">
        <f t="shared" ref="DK80" si="498">+DK64/DG64-1</f>
        <v>1.4922364605743033E-2</v>
      </c>
      <c r="DL80" s="289">
        <f t="shared" ref="DL80" si="499">+DL64/DH64-1</f>
        <v>-6.3100699238409774E-3</v>
      </c>
      <c r="DM80" s="289">
        <f t="shared" ref="DM80" si="500">+DM64/DI64-1</f>
        <v>-5.4958924105272811E-3</v>
      </c>
      <c r="DN80" s="289">
        <f t="shared" ref="DN80" si="501">+DN64/DJ64-1</f>
        <v>-1.8610696683095784E-2</v>
      </c>
      <c r="DP80" s="245"/>
      <c r="DQ80" s="245">
        <f t="shared" ref="DQ80:EQ80" si="502">DQ64/DP64-1</f>
        <v>0.15117351644972832</v>
      </c>
      <c r="DR80" s="245">
        <f t="shared" si="502"/>
        <v>0.10817307692307687</v>
      </c>
      <c r="DS80" s="245">
        <f t="shared" si="502"/>
        <v>0.10492488149754964</v>
      </c>
      <c r="DT80" s="245">
        <f t="shared" si="502"/>
        <v>2.7993892241692686E-2</v>
      </c>
      <c r="DU80" s="245">
        <f t="shared" si="502"/>
        <v>0.11288725420851597</v>
      </c>
      <c r="DV80" s="245">
        <f t="shared" si="502"/>
        <v>0.19753400279649158</v>
      </c>
      <c r="DW80" s="245">
        <f t="shared" si="502"/>
        <v>0.14743657785797692</v>
      </c>
      <c r="DX80" s="245">
        <f t="shared" si="502"/>
        <v>4.6669750231267404E-2</v>
      </c>
      <c r="DY80" s="245">
        <f t="shared" si="502"/>
        <v>4.542843254231288E-2</v>
      </c>
      <c r="DZ80" s="245">
        <f t="shared" si="502"/>
        <v>0.16122078031872178</v>
      </c>
      <c r="EA80" s="245">
        <f t="shared" si="502"/>
        <v>6.071857595282304E-2</v>
      </c>
      <c r="EB80" s="245">
        <f t="shared" si="502"/>
        <v>0.13264010432753359</v>
      </c>
      <c r="EC80" s="245">
        <f t="shared" si="502"/>
        <v>0.11840685977457288</v>
      </c>
      <c r="ED80" s="245">
        <f t="shared" si="502"/>
        <v>0.14774368157694395</v>
      </c>
      <c r="EE80" s="245">
        <f t="shared" si="502"/>
        <v>0.13576173009106474</v>
      </c>
      <c r="EF80" s="245">
        <f t="shared" si="502"/>
        <v>2.870087495064122E-2</v>
      </c>
      <c r="EG80" s="245">
        <f t="shared" si="502"/>
        <v>7.729605236575221E-2</v>
      </c>
      <c r="EH80" s="245">
        <f t="shared" si="502"/>
        <v>0.14573175305678499</v>
      </c>
      <c r="EI80" s="245">
        <f>EI64/EH64-1</f>
        <v>4.3407807512889862E-2</v>
      </c>
      <c r="EJ80" s="245">
        <f>EJ64/EI64-1</f>
        <v>-2.902097353600952E-2</v>
      </c>
      <c r="EK80" s="245">
        <f t="shared" si="502"/>
        <v>-7.1408953584179979E-3</v>
      </c>
      <c r="EL80" s="245">
        <f t="shared" si="502"/>
        <v>5.817264665202182E-2</v>
      </c>
      <c r="EM80" s="245">
        <f t="shared" si="502"/>
        <v>4.178071659234206E-2</v>
      </c>
      <c r="EN80" s="245">
        <f t="shared" si="502"/>
        <v>5.2622256336073869E-2</v>
      </c>
      <c r="EO80" s="245">
        <f t="shared" si="502"/>
        <v>5.5186013574153092E-2</v>
      </c>
      <c r="EP80" s="245">
        <f t="shared" si="502"/>
        <v>1.0956896863912657E-2</v>
      </c>
      <c r="EQ80" s="245">
        <f t="shared" si="502"/>
        <v>-7.3837523337225819E-2</v>
      </c>
      <c r="ER80" s="245">
        <f t="shared" ref="ER80" si="503">ER64/EQ64-1</f>
        <v>8.5090661621805008E-2</v>
      </c>
      <c r="ES80" s="245">
        <f t="shared" ref="ES80" si="504">ES64/ER64-1</f>
        <v>6.7115761935905738E-2</v>
      </c>
      <c r="ET80" s="245">
        <f t="shared" ref="ET80" si="505">ET64/ES64-1</f>
        <v>5.8346919013005927E-3</v>
      </c>
      <c r="EU80" s="245">
        <f t="shared" ref="EU80" si="506">EU64/ET64-1</f>
        <v>6.4467382429287401E-3</v>
      </c>
      <c r="EV80" s="245">
        <f t="shared" ref="EV80" si="507">EV64/EU64-1</f>
        <v>0.14061705373792166</v>
      </c>
      <c r="EW80" s="245">
        <f t="shared" ref="EW80" si="508">EW64/EV64-1</f>
        <v>1.2462977313984158E-2</v>
      </c>
      <c r="EX80" s="245">
        <f t="shared" ref="EX80" si="509">EX64/EW64-1</f>
        <v>2.2393706814297643E-2</v>
      </c>
      <c r="EY80" s="245">
        <f t="shared" ref="EY80" si="510">EY64/EX64-1</f>
        <v>3.3154290863420366E-2</v>
      </c>
      <c r="EZ80" s="245">
        <f>EZ64/(EY64-EY63)-1</f>
        <v>1.2350245234512336E-2</v>
      </c>
      <c r="FA80" s="245">
        <f t="shared" ref="FA80" si="511">FA64/EZ64-1</f>
        <v>-6.6831696950947039E-2</v>
      </c>
      <c r="FB80" s="245">
        <f t="shared" ref="FB80" si="512">FB64/FA64-1</f>
        <v>1.1903541225419589E-2</v>
      </c>
      <c r="FC80" s="245">
        <f t="shared" ref="FC80" si="513">FC64/FB64-1</f>
        <v>3.1904692173848392E-2</v>
      </c>
      <c r="FD80" s="245">
        <f t="shared" ref="FD80" si="514">FD64/FC64-1</f>
        <v>3.4981513835992128E-3</v>
      </c>
      <c r="FE80" s="245">
        <f t="shared" ref="FE80" si="515">FE64/FD64-1</f>
        <v>1.2509007853916065E-2</v>
      </c>
      <c r="FF80" s="245">
        <f t="shared" ref="FF80" si="516">FF64/FE64-1</f>
        <v>-4.9628991417750679E-2</v>
      </c>
      <c r="FG80" s="245">
        <f t="shared" ref="FG80" si="517">FG64/FF64-1</f>
        <v>6.4855266104186793E-3</v>
      </c>
      <c r="FH80" s="245">
        <f t="shared" ref="FH80" si="518">FH64/FG64-1</f>
        <v>1.4800161196926176E-2</v>
      </c>
      <c r="FI80" s="245">
        <f t="shared" ref="FI80" si="519">FI64/FH64-1</f>
        <v>1.7362493156017234E-2</v>
      </c>
      <c r="FJ80" s="245">
        <f t="shared" ref="FJ80" si="520">FJ64/FI64-1</f>
        <v>1.8970742137055518E-2</v>
      </c>
      <c r="FM80" t="s">
        <v>1436</v>
      </c>
      <c r="FN80" s="81">
        <v>0.02</v>
      </c>
      <c r="FQ80" s="290"/>
      <c r="FR80" s="290"/>
      <c r="FS80" s="291"/>
      <c r="FT80"/>
      <c r="FU80" s="291"/>
      <c r="FV80" s="290"/>
      <c r="FW80" s="290"/>
    </row>
    <row r="81" spans="1:179" s="279" customFormat="1" ht="12.75" customHeight="1" x14ac:dyDescent="0.2">
      <c r="A81" s="1"/>
      <c r="B81" s="1" t="s">
        <v>1960</v>
      </c>
      <c r="C81" s="282"/>
      <c r="D81" s="282"/>
      <c r="E81" s="282"/>
      <c r="F81" s="282"/>
      <c r="G81" s="282"/>
      <c r="H81" s="288"/>
      <c r="I81" s="288"/>
      <c r="J81" s="288"/>
      <c r="K81" s="288"/>
      <c r="L81" s="288"/>
      <c r="M81" s="288"/>
      <c r="N81" s="288"/>
      <c r="O81" s="288"/>
      <c r="P81" s="288"/>
      <c r="Q81" s="288"/>
      <c r="R81" s="288"/>
      <c r="S81" s="288"/>
      <c r="T81" s="288"/>
      <c r="U81" s="288"/>
      <c r="V81" s="288"/>
      <c r="W81" s="288"/>
      <c r="X81" s="288"/>
      <c r="Y81" s="288"/>
      <c r="Z81" s="288"/>
      <c r="AA81" s="288"/>
      <c r="AB81" s="288"/>
      <c r="AC81" s="288"/>
      <c r="AD81" s="288"/>
      <c r="AE81" s="288"/>
      <c r="AF81" s="288"/>
      <c r="AG81" s="288"/>
      <c r="AH81" s="288"/>
      <c r="AI81" s="288"/>
      <c r="AJ81" s="288"/>
      <c r="AK81" s="288"/>
      <c r="AL81" s="288"/>
      <c r="AM81" s="288"/>
      <c r="AN81" s="288"/>
      <c r="AO81" s="288"/>
      <c r="AP81" s="288"/>
      <c r="AQ81" s="288"/>
      <c r="AR81" s="288"/>
      <c r="AS81" s="289"/>
      <c r="AT81" s="289"/>
      <c r="AU81" s="289"/>
      <c r="AV81" s="289"/>
      <c r="AW81" s="289"/>
      <c r="AX81" s="289"/>
      <c r="AY81" s="289"/>
      <c r="AZ81" s="289"/>
      <c r="BA81" s="289"/>
      <c r="BB81" s="289"/>
      <c r="BC81" s="289"/>
      <c r="BD81" s="289"/>
      <c r="BE81" s="289"/>
      <c r="BF81" s="289"/>
      <c r="BG81" s="289"/>
      <c r="BH81" s="289"/>
      <c r="BI81" s="289"/>
      <c r="BJ81" s="289"/>
      <c r="BK81" s="289"/>
      <c r="BL81" s="289"/>
      <c r="BM81" s="289"/>
      <c r="BN81" s="289"/>
      <c r="BO81" s="289"/>
      <c r="BP81" s="289"/>
      <c r="BQ81" s="289"/>
      <c r="BR81" s="289"/>
      <c r="BS81" s="289"/>
      <c r="BT81" s="289"/>
      <c r="BU81" s="289"/>
      <c r="BV81" s="289"/>
      <c r="BW81" s="289"/>
      <c r="BX81" s="289"/>
      <c r="BY81" s="289"/>
      <c r="BZ81" s="289"/>
      <c r="CA81" s="289"/>
      <c r="CB81" s="289"/>
      <c r="CC81" s="289"/>
      <c r="CD81" s="289"/>
      <c r="CE81" s="289"/>
      <c r="CF81" s="289"/>
      <c r="CG81" s="289"/>
      <c r="CH81" s="289"/>
      <c r="CI81" s="289"/>
      <c r="CJ81" s="289"/>
      <c r="CK81" s="289"/>
      <c r="CL81" s="289"/>
      <c r="CM81" s="289"/>
      <c r="CN81" s="289"/>
      <c r="CO81" s="289"/>
      <c r="CP81" s="289"/>
      <c r="CQ81" s="289"/>
      <c r="CR81" s="289"/>
      <c r="CS81" s="289"/>
      <c r="CT81" s="289"/>
      <c r="CU81" s="289"/>
      <c r="CV81" s="289"/>
      <c r="CW81" s="289"/>
      <c r="CX81" s="289"/>
      <c r="CY81" s="289"/>
      <c r="CZ81" s="289"/>
      <c r="DA81" s="289"/>
      <c r="DB81" s="289"/>
      <c r="DC81" s="289"/>
      <c r="DD81" s="289"/>
      <c r="DE81" s="289"/>
      <c r="DF81" s="289"/>
      <c r="DG81" s="289"/>
      <c r="DH81" s="289"/>
      <c r="DI81" s="289">
        <v>5.3999999999999999E-2</v>
      </c>
      <c r="DJ81" s="289">
        <v>5.7000000000000002E-2</v>
      </c>
      <c r="DK81" s="289"/>
      <c r="DL81" s="289"/>
      <c r="DM81" s="289"/>
      <c r="DN81" s="289"/>
      <c r="DP81" s="245"/>
      <c r="DQ81" s="245"/>
      <c r="DR81" s="245"/>
      <c r="DS81" s="245"/>
      <c r="DT81" s="245"/>
      <c r="DU81" s="245"/>
      <c r="DV81" s="245"/>
      <c r="DW81" s="245"/>
      <c r="DX81" s="245"/>
      <c r="DY81" s="245"/>
      <c r="DZ81" s="245"/>
      <c r="EA81" s="245"/>
      <c r="EB81" s="245"/>
      <c r="EC81" s="245"/>
      <c r="ED81" s="245"/>
      <c r="EE81" s="245"/>
      <c r="EF81" s="245"/>
      <c r="EG81" s="245"/>
      <c r="EH81" s="245"/>
      <c r="EI81" s="245"/>
      <c r="EJ81" s="245"/>
      <c r="EK81" s="245"/>
      <c r="EL81" s="245"/>
      <c r="EM81" s="245"/>
      <c r="EN81" s="245"/>
      <c r="EO81" s="245"/>
      <c r="EP81" s="245"/>
      <c r="EQ81" s="245"/>
      <c r="ER81" s="245"/>
      <c r="ES81" s="245"/>
      <c r="ET81" s="245"/>
      <c r="EU81" s="245"/>
      <c r="EV81" s="245"/>
      <c r="EW81" s="245"/>
      <c r="EX81" s="245"/>
      <c r="EY81" s="245"/>
      <c r="EZ81" s="245"/>
      <c r="FA81" s="245"/>
      <c r="FB81" s="245"/>
      <c r="FC81" s="245"/>
      <c r="FD81" s="245"/>
      <c r="FE81" s="245"/>
      <c r="FF81" s="245"/>
      <c r="FG81" s="245"/>
      <c r="FH81" s="245"/>
      <c r="FI81" s="245"/>
      <c r="FJ81" s="245"/>
      <c r="FM81"/>
      <c r="FN81" s="81"/>
      <c r="FQ81" s="290"/>
      <c r="FR81" s="290"/>
      <c r="FS81" s="291"/>
      <c r="FT81"/>
      <c r="FU81" s="291"/>
      <c r="FV81" s="290"/>
      <c r="FW81" s="290"/>
    </row>
    <row r="82" spans="1:179" s="275" customFormat="1" ht="12.75" customHeight="1" x14ac:dyDescent="0.2">
      <c r="A82"/>
      <c r="B82" t="s">
        <v>1539</v>
      </c>
      <c r="C82" s="283"/>
      <c r="D82" s="283"/>
      <c r="E82" s="283"/>
      <c r="F82" s="283"/>
      <c r="G82" s="283"/>
      <c r="H82" s="288"/>
      <c r="I82" s="288"/>
      <c r="J82" s="288"/>
      <c r="K82" s="288"/>
      <c r="L82" s="288"/>
      <c r="M82" s="288"/>
      <c r="N82" s="288"/>
      <c r="O82" s="288"/>
      <c r="P82" s="288"/>
      <c r="Q82" s="288"/>
      <c r="R82" s="288"/>
      <c r="S82" s="288"/>
      <c r="T82" s="288"/>
      <c r="U82" s="288"/>
      <c r="V82" s="288"/>
      <c r="W82" s="288"/>
      <c r="X82" s="288"/>
      <c r="Y82" s="288"/>
      <c r="Z82" s="288"/>
      <c r="AA82" s="288"/>
      <c r="AB82" s="288"/>
      <c r="AC82" s="288"/>
      <c r="AD82" s="288"/>
      <c r="AE82" s="288"/>
      <c r="AF82" s="288"/>
      <c r="AG82" s="288"/>
      <c r="AH82" s="288"/>
      <c r="AI82" s="288"/>
      <c r="AJ82" s="288"/>
      <c r="AK82" s="288"/>
      <c r="AL82" s="288"/>
      <c r="AM82" s="288"/>
      <c r="AN82" s="288"/>
      <c r="AO82" s="288"/>
      <c r="AP82" s="288"/>
      <c r="AQ82" s="288"/>
      <c r="AR82" s="288"/>
      <c r="AS82" s="288"/>
      <c r="AT82" s="288"/>
      <c r="AU82" s="288"/>
      <c r="AV82" s="288"/>
      <c r="AW82" s="288"/>
      <c r="AX82" s="288"/>
      <c r="AY82" s="288"/>
      <c r="AZ82" s="288"/>
      <c r="BA82" s="288"/>
      <c r="BB82" s="288"/>
      <c r="BC82" s="288"/>
      <c r="BD82" s="288">
        <f t="shared" ref="BD82" si="521">+BD68/AZ68-1</f>
        <v>6.1050061050060833E-3</v>
      </c>
      <c r="BE82" s="288">
        <f t="shared" ref="BE82" si="522">+BE68/BA68-1</f>
        <v>2.4737167594310439E-2</v>
      </c>
      <c r="BF82" s="288">
        <f t="shared" ref="BF82" si="523">+BF68/BB68-1</f>
        <v>-0.10438319023949394</v>
      </c>
      <c r="BG82" s="288">
        <f t="shared" ref="BG82" si="524">+BG68/BC68-1</f>
        <v>0.11624919717405269</v>
      </c>
      <c r="BH82" s="288">
        <f t="shared" ref="BH82:BL82" si="525">+BH68/BD68-1</f>
        <v>0.14199029126213603</v>
      </c>
      <c r="BI82" s="288">
        <f t="shared" si="525"/>
        <v>7.0006035003017608E-2</v>
      </c>
      <c r="BJ82" s="288">
        <f t="shared" si="525"/>
        <v>8.7285570131180545E-2</v>
      </c>
      <c r="BK82" s="288">
        <f t="shared" si="525"/>
        <v>-5.3509781357882646E-2</v>
      </c>
      <c r="BL82" s="288">
        <f t="shared" si="525"/>
        <v>-6.1636556854410163E-2</v>
      </c>
      <c r="BM82" s="288">
        <f>+BM68/BI68-1</f>
        <v>8.4602368866328215E-2</v>
      </c>
      <c r="BN82" s="288">
        <f t="shared" ref="BN82:BR82" si="526">+BN68/BJ68-1</f>
        <v>8.1670533642691501E-2</v>
      </c>
      <c r="BO82" s="288">
        <f t="shared" si="526"/>
        <v>8.44984802431612E-2</v>
      </c>
      <c r="BP82" s="288">
        <f t="shared" si="526"/>
        <v>0.10192525481313708</v>
      </c>
      <c r="BQ82" s="288">
        <f t="shared" si="526"/>
        <v>6.1882475299011919E-2</v>
      </c>
      <c r="BR82" s="288">
        <f t="shared" si="526"/>
        <v>3.4320034320034276E-2</v>
      </c>
      <c r="BS82" s="288">
        <f>+BS68/BO68-1</f>
        <v>2.6345291479820565E-2</v>
      </c>
      <c r="BT82" s="288">
        <f t="shared" ref="BT82" si="527">+BT68/BP68-1</f>
        <v>3.0318602261048211E-2</v>
      </c>
      <c r="BU82" s="288">
        <f t="shared" ref="BU82" si="528">+BU68/BQ68-1</f>
        <v>-9.3046033300685504E-3</v>
      </c>
      <c r="BV82" s="288">
        <f t="shared" ref="BV82" si="529">+BV68/BR68-1</f>
        <v>9.2907507258398914E-2</v>
      </c>
      <c r="BW82" s="288">
        <f t="shared" ref="BW82" si="530">+BW68/BS68-1</f>
        <v>3.713817586018564E-2</v>
      </c>
      <c r="BX82" s="288">
        <f t="shared" ref="BX82" si="531">+BX68/BT68-1</f>
        <v>6.1845386533665891E-2</v>
      </c>
      <c r="BY82" s="288">
        <f t="shared" ref="BY82" si="532">+BY68/BU68-1</f>
        <v>6.4755313890261901E-2</v>
      </c>
      <c r="BZ82" s="288">
        <f t="shared" ref="BZ82" si="533">+BZ68/BV68-1</f>
        <v>8.6907020872865282E-2</v>
      </c>
      <c r="CA82" s="288">
        <f t="shared" ref="CA82" si="534">+CA68/BW68-1</f>
        <v>6.0031595576619301E-2</v>
      </c>
      <c r="CB82" s="288">
        <f t="shared" ref="CB82" si="535">+CB68/BX68-1</f>
        <v>6.3410051667449396E-2</v>
      </c>
      <c r="CC82" s="288">
        <f t="shared" ref="CC82" si="536">+CC68/BY68-1</f>
        <v>1.1142061281337101E-2</v>
      </c>
      <c r="CD82" s="288">
        <f t="shared" ref="CD82" si="537">+CD68/BZ68-1</f>
        <v>-7.8212290502793325E-2</v>
      </c>
      <c r="CE82" s="288">
        <f t="shared" ref="CE82" si="538">+CE68/CA68-1</f>
        <v>2.3348236462990668E-2</v>
      </c>
      <c r="CF82" s="288">
        <f t="shared" ref="CF82" si="539">+CF68/CB68-1</f>
        <v>9.2756183745583698E-3</v>
      </c>
      <c r="CG82" s="288">
        <f t="shared" ref="CG82" si="540">+CG68/CC68-1</f>
        <v>0.18181818181818188</v>
      </c>
      <c r="CH82" s="288">
        <f t="shared" ref="CH82" si="541">+CH68/CD68-1</f>
        <v>0.37689393939393945</v>
      </c>
      <c r="CI82" s="288">
        <f t="shared" ref="CI82" si="542">+CI68/CE68-1</f>
        <v>0.16699029126213594</v>
      </c>
      <c r="CJ82" s="288">
        <f t="shared" ref="CJ82" si="543">+CJ68/CF68-1</f>
        <v>0.15492341356673967</v>
      </c>
      <c r="CK82" s="288">
        <f t="shared" ref="CK82" si="544">+CK68/CG68-1</f>
        <v>-2.5641025641025661E-2</v>
      </c>
      <c r="CL82" s="288">
        <f t="shared" ref="CL82" si="545">+CL68/CH68-1</f>
        <v>-0.1130674002751032</v>
      </c>
      <c r="CM82" s="288">
        <f t="shared" ref="CM82:CO82" si="546">+CM68/CI68-1</f>
        <v>0.18885191347753749</v>
      </c>
      <c r="CN82" s="288">
        <f t="shared" si="546"/>
        <v>1.0231148162182624E-2</v>
      </c>
      <c r="CO82" s="288">
        <f t="shared" si="546"/>
        <v>3.6283891547049363E-2</v>
      </c>
      <c r="CP82" s="288">
        <f t="shared" ref="CP82" si="547">+CP68/CL68-1</f>
        <v>2.4813895781636841E-3</v>
      </c>
      <c r="CQ82" s="288">
        <f t="shared" ref="CQ82" si="548">+CQ68/CM68-1</f>
        <v>-9.7270818754373711E-2</v>
      </c>
      <c r="CR82" s="288">
        <f t="shared" ref="CR82" si="549">+CR68/CN68-1</f>
        <v>1.5378844711177786E-2</v>
      </c>
      <c r="CS82" s="288">
        <f t="shared" ref="CS82" si="550">+CS68/CO68-1</f>
        <v>9.2727972297037331E-2</v>
      </c>
      <c r="CT82" s="288">
        <f t="shared" ref="CT82" si="551">+CT68/CP68-1</f>
        <v>0.24752475247524752</v>
      </c>
      <c r="CU82" s="288">
        <f t="shared" ref="CU82" si="552">+CU68/CQ68-1</f>
        <v>0.23178294573643421</v>
      </c>
      <c r="CV82" s="288">
        <f t="shared" ref="CV82" si="553">+CV68/CR68-1</f>
        <v>0.24270410048023638</v>
      </c>
      <c r="CW82" s="288">
        <f t="shared" ref="CW82:CX82" si="554">+CW68/CS68-1</f>
        <v>0.20492957746478879</v>
      </c>
      <c r="CX82" s="288">
        <f t="shared" si="554"/>
        <v>0.17063492063492069</v>
      </c>
      <c r="CY82" s="288">
        <f>+CY68/CU68-1</f>
        <v>8.9364380113278852E-2</v>
      </c>
      <c r="CZ82" s="288">
        <f t="shared" ref="CZ82:DJ82" si="555">+CZ68/CV68-1</f>
        <v>5.6480380499405403E-2</v>
      </c>
      <c r="DA82" s="288">
        <f t="shared" si="555"/>
        <v>5.1139684395090645E-2</v>
      </c>
      <c r="DB82" s="288">
        <f t="shared" si="555"/>
        <v>-0.22012711864406775</v>
      </c>
      <c r="DC82" s="288">
        <f t="shared" si="555"/>
        <v>-2.021952628538437E-3</v>
      </c>
      <c r="DD82" s="288">
        <f t="shared" si="555"/>
        <v>7.7377602701181658E-2</v>
      </c>
      <c r="DE82" s="288">
        <f t="shared" si="555"/>
        <v>-6.0884070058382034E-2</v>
      </c>
      <c r="DF82" s="288">
        <f t="shared" si="555"/>
        <v>0.20211898940505302</v>
      </c>
      <c r="DG82" s="288">
        <f t="shared" si="555"/>
        <v>1.013024602026058E-2</v>
      </c>
      <c r="DH82" s="288">
        <f t="shared" si="555"/>
        <v>-0.10159310524941234</v>
      </c>
      <c r="DI82" s="288">
        <f t="shared" si="555"/>
        <v>0.44908229721728832</v>
      </c>
      <c r="DJ82" s="288">
        <f t="shared" si="555"/>
        <v>0.19028248587570618</v>
      </c>
      <c r="DK82" s="288">
        <f t="shared" ref="DK82" si="556">+DK68/DG68-1</f>
        <v>-1</v>
      </c>
      <c r="DL82" s="288">
        <f t="shared" ref="DL82" si="557">+DL68/DH68-1</f>
        <v>-1</v>
      </c>
      <c r="DM82" s="288">
        <f t="shared" ref="DM82" si="558">+DM68/DI68-1</f>
        <v>-1</v>
      </c>
      <c r="DN82" s="288">
        <f t="shared" ref="DN82" si="559">+DN68/DJ68-1</f>
        <v>-1</v>
      </c>
      <c r="DP82" s="246"/>
      <c r="DQ82" s="246"/>
      <c r="DR82" s="246"/>
      <c r="DS82" s="246"/>
      <c r="DT82" s="246"/>
      <c r="DU82" s="246"/>
      <c r="DV82" s="246"/>
      <c r="DW82" s="246"/>
      <c r="DX82" s="246"/>
      <c r="DY82" s="246"/>
      <c r="DZ82" s="246"/>
      <c r="EA82" s="246"/>
      <c r="EB82" s="246"/>
      <c r="EC82" s="246"/>
      <c r="ED82" s="246"/>
      <c r="EE82" s="246"/>
      <c r="EF82" s="246"/>
      <c r="EG82" s="246"/>
      <c r="EH82" s="246"/>
      <c r="EI82" s="246"/>
      <c r="EJ82" s="246"/>
      <c r="EK82" s="246">
        <f t="shared" ref="EK82:EM82" si="560">EK68/EJ68-1</f>
        <v>-2.0326367019753766E-2</v>
      </c>
      <c r="EL82" s="246">
        <f t="shared" si="560"/>
        <v>0.10286382232612512</v>
      </c>
      <c r="EM82" s="246">
        <f t="shared" si="560"/>
        <v>1.5500794912559623E-2</v>
      </c>
      <c r="EN82" s="246">
        <f>EN68/EM68-1</f>
        <v>6.7579908675799105E-2</v>
      </c>
      <c r="EO82" s="246">
        <f t="shared" ref="EO82:EY82" si="561">EO68/EN68-1</f>
        <v>-0.63338628864719548</v>
      </c>
      <c r="EP82" s="246">
        <f t="shared" si="561"/>
        <v>0</v>
      </c>
      <c r="EQ82" s="246">
        <f t="shared" si="561"/>
        <v>0</v>
      </c>
      <c r="ER82" s="246">
        <f t="shared" si="561"/>
        <v>-1</v>
      </c>
      <c r="ES82" s="246" t="e">
        <f t="shared" si="561"/>
        <v>#DIV/0!</v>
      </c>
      <c r="ET82" s="246">
        <f t="shared" si="561"/>
        <v>5.382830626450108E-2</v>
      </c>
      <c r="EU82" s="246">
        <f t="shared" si="561"/>
        <v>7.080581241743733E-2</v>
      </c>
      <c r="EV82" s="246">
        <f t="shared" si="561"/>
        <v>0.20766510403816096</v>
      </c>
      <c r="EW82" s="246">
        <f t="shared" si="561"/>
        <v>-2.6559520566603156E-2</v>
      </c>
      <c r="EX82" s="246">
        <f t="shared" si="561"/>
        <v>-0.7901217293969498</v>
      </c>
      <c r="EY82" s="246">
        <f t="shared" si="561"/>
        <v>0</v>
      </c>
      <c r="EZ82" s="246"/>
      <c r="FA82" s="246"/>
      <c r="FB82" s="246"/>
      <c r="FC82" s="246"/>
      <c r="FD82" s="246"/>
      <c r="FE82" s="246"/>
      <c r="FF82" s="246"/>
      <c r="FG82" s="246"/>
      <c r="FH82" s="246"/>
      <c r="FI82" s="246"/>
      <c r="FJ82" s="246"/>
      <c r="FM82" t="s">
        <v>1437</v>
      </c>
      <c r="FN82" s="81">
        <v>6.5000000000000002E-2</v>
      </c>
      <c r="FQ82" s="291"/>
      <c r="FR82" s="291"/>
      <c r="FS82" s="291"/>
      <c r="FT82"/>
      <c r="FU82" s="291"/>
      <c r="FV82" s="291"/>
      <c r="FW82" s="291"/>
    </row>
    <row r="83" spans="1:179" s="275" customFormat="1" ht="12.75" customHeight="1" x14ac:dyDescent="0.2">
      <c r="A83"/>
      <c r="B83" t="s">
        <v>1540</v>
      </c>
      <c r="C83" s="283"/>
      <c r="D83" s="283"/>
      <c r="E83" s="283"/>
      <c r="F83" s="283"/>
      <c r="G83" s="283"/>
      <c r="H83" s="288"/>
      <c r="I83" s="288"/>
      <c r="J83" s="288"/>
      <c r="K83" s="288"/>
      <c r="L83" s="288"/>
      <c r="M83" s="288"/>
      <c r="N83" s="288"/>
      <c r="O83" s="288"/>
      <c r="P83" s="288"/>
      <c r="Q83" s="288"/>
      <c r="R83" s="288"/>
      <c r="S83" s="288"/>
      <c r="T83" s="288"/>
      <c r="U83" s="288"/>
      <c r="V83" s="288"/>
      <c r="W83" s="288"/>
      <c r="X83" s="288"/>
      <c r="Y83" s="288"/>
      <c r="Z83" s="288"/>
      <c r="AA83" s="288"/>
      <c r="AB83" s="288"/>
      <c r="AC83" s="288"/>
      <c r="AD83" s="288"/>
      <c r="AE83" s="288"/>
      <c r="AF83" s="288"/>
      <c r="AG83" s="288"/>
      <c r="AH83" s="288"/>
      <c r="AI83" s="288"/>
      <c r="AJ83" s="288"/>
      <c r="AK83" s="288"/>
      <c r="AL83" s="288"/>
      <c r="AM83" s="288"/>
      <c r="AN83" s="288"/>
      <c r="AO83" s="288"/>
      <c r="AP83" s="288"/>
      <c r="AQ83" s="288"/>
      <c r="AR83" s="288"/>
      <c r="AS83" s="288"/>
      <c r="AT83" s="288"/>
      <c r="AU83" s="288"/>
      <c r="AV83" s="288"/>
      <c r="AW83" s="288"/>
      <c r="AX83" s="288"/>
      <c r="AY83" s="288"/>
      <c r="AZ83" s="288"/>
      <c r="BA83" s="288"/>
      <c r="BB83" s="288"/>
      <c r="BC83" s="288"/>
      <c r="BD83" s="288">
        <f t="shared" ref="BD83:BL83" si="562">BD67/AZ67-1</f>
        <v>-8.5470085470085166E-3</v>
      </c>
      <c r="BE83" s="288">
        <f t="shared" si="562"/>
        <v>-1.2166981329976956E-2</v>
      </c>
      <c r="BF83" s="288">
        <f t="shared" si="562"/>
        <v>-7.9765500088825769E-2</v>
      </c>
      <c r="BG83" s="288">
        <f t="shared" si="562"/>
        <v>5.7961916718978879E-2</v>
      </c>
      <c r="BH83" s="288">
        <f t="shared" si="562"/>
        <v>9.6509671993271651E-2</v>
      </c>
      <c r="BI83" s="288">
        <f t="shared" si="562"/>
        <v>0.11276279464854544</v>
      </c>
      <c r="BJ83" s="288">
        <f t="shared" si="562"/>
        <v>5.3667953667953627E-2</v>
      </c>
      <c r="BK83" s="288">
        <f t="shared" si="562"/>
        <v>-8.1091772151898889E-3</v>
      </c>
      <c r="BL83" s="288">
        <f t="shared" si="562"/>
        <v>-4.7938638542665335E-2</v>
      </c>
      <c r="BM83" s="288">
        <f>BM67/BI67-1</f>
        <v>-2.2900763358778553E-3</v>
      </c>
      <c r="BN83" s="288">
        <f t="shared" ref="BN83:BR83" si="563">BN67/BJ67-1</f>
        <v>3.7193111029681258E-2</v>
      </c>
      <c r="BO83" s="288">
        <f t="shared" si="563"/>
        <v>4.1475573280159495E-2</v>
      </c>
      <c r="BP83" s="288">
        <f t="shared" si="563"/>
        <v>7.2507552870091363E-3</v>
      </c>
      <c r="BQ83" s="288">
        <f t="shared" si="563"/>
        <v>1.6449885233358774E-2</v>
      </c>
      <c r="BR83" s="288">
        <f t="shared" si="563"/>
        <v>4.5221692280515757E-2</v>
      </c>
      <c r="BS83" s="288">
        <f>BS67/BO67-1</f>
        <v>-7.6584338502776461E-3</v>
      </c>
      <c r="BT83" s="288">
        <f t="shared" ref="BT83" si="564">BT67/BP67-1</f>
        <v>9.5980803839232243E-2</v>
      </c>
      <c r="BU83" s="288">
        <f t="shared" ref="BU83" si="565">BU67/BQ67-1</f>
        <v>2.8980052691004898E-2</v>
      </c>
      <c r="BV83" s="288">
        <f t="shared" ref="BV83" si="566">BV67/BR67-1</f>
        <v>-1.6055433496704463E-2</v>
      </c>
      <c r="BW83" s="288">
        <f t="shared" ref="BW83" si="567">BW67/BS67-1</f>
        <v>-6.4827320084892892E-2</v>
      </c>
      <c r="BX83" s="288">
        <f t="shared" ref="BX83" si="568">BX67/BT67-1</f>
        <v>-1.7697500456121174E-2</v>
      </c>
      <c r="BY83" s="288">
        <f t="shared" ref="BY83" si="569">BY67/BU67-1</f>
        <v>-7.0775420629114905E-2</v>
      </c>
      <c r="BZ83" s="288">
        <f t="shared" ref="BZ83" si="570">BZ67/BV67-1</f>
        <v>1.1851597389213264E-2</v>
      </c>
      <c r="CA83" s="288">
        <f t="shared" ref="CA83" si="571">CA67/BW67-1</f>
        <v>-3.2803796162574783E-2</v>
      </c>
      <c r="CB83" s="288">
        <f t="shared" ref="CB83" si="572">CB67/BX67-1</f>
        <v>-3.8632986627043064E-2</v>
      </c>
      <c r="CC83" s="288">
        <f t="shared" ref="CC83" si="573">CC67/BY67-1</f>
        <v>-6.0814800236174027E-2</v>
      </c>
      <c r="CD83" s="288">
        <f t="shared" ref="CD83" si="574">CD67/BZ67-1</f>
        <v>-9.8794771685622118E-2</v>
      </c>
      <c r="CE83" s="288">
        <f t="shared" ref="CE83" si="575">CE67/CA67-1</f>
        <v>1.0452218430034188E-2</v>
      </c>
      <c r="CF83" s="288">
        <f t="shared" ref="CF83" si="576">CF67/CB67-1</f>
        <v>1.6615146831530092E-2</v>
      </c>
      <c r="CG83" s="288">
        <f t="shared" ref="CG83" si="577">CG67/CC67-1</f>
        <v>0.13076278290025156</v>
      </c>
      <c r="CH83" s="288">
        <f t="shared" ref="CH83" si="578">CH67/CD67-1</f>
        <v>0.13486532303635346</v>
      </c>
      <c r="CI83" s="288">
        <f t="shared" ref="CI83" si="579">CI67/CE67-1</f>
        <v>0.1110407430863416</v>
      </c>
      <c r="CJ83" s="288">
        <f t="shared" ref="CJ83" si="580">CJ67/CF67-1</f>
        <v>9.1410110224249275E-2</v>
      </c>
      <c r="CK83" s="288">
        <f t="shared" ref="CK83" si="581">CK67/CG67-1</f>
        <v>-0.17383246849518164</v>
      </c>
      <c r="CL83" s="288">
        <f t="shared" ref="CL83" si="582">CL67/CH67-1</f>
        <v>-0.18373443983402493</v>
      </c>
      <c r="CM83" s="288">
        <f t="shared" ref="CM83:CO83" si="583">+CM67/CI67-1</f>
        <v>-8.3602508075242277E-3</v>
      </c>
      <c r="CN83" s="288">
        <f t="shared" si="583"/>
        <v>-3.4302629287828679E-2</v>
      </c>
      <c r="CO83" s="288">
        <f t="shared" si="583"/>
        <v>-4.9798115746971683E-2</v>
      </c>
      <c r="CP83" s="288">
        <f t="shared" ref="CP83" si="584">+CP67/CL67-1</f>
        <v>-4.2700284668564237E-3</v>
      </c>
      <c r="CQ83" s="288">
        <f t="shared" ref="CQ83" si="585">+CQ67/CM67-1</f>
        <v>-3.0657214025675561E-3</v>
      </c>
      <c r="CR83" s="288">
        <f t="shared" ref="CR83" si="586">+CR67/CN67-1</f>
        <v>-9.9711503786512834E-2</v>
      </c>
      <c r="CS83" s="288">
        <f t="shared" ref="CS83" si="587">+CS67/CO67-1</f>
        <v>0.2821057601510859</v>
      </c>
      <c r="CT83" s="288">
        <f t="shared" ref="CT83" si="588">+CT67/CP67-1</f>
        <v>0.31856238513375534</v>
      </c>
      <c r="CU83" s="288">
        <f t="shared" ref="CU83" si="589">+CU67/CQ67-1</f>
        <v>4.4013069383048276E-2</v>
      </c>
      <c r="CV83" s="288">
        <f t="shared" ref="CV83" si="590">+CV67/CR67-1</f>
        <v>0.21510114159823757</v>
      </c>
      <c r="CW83" s="288">
        <f t="shared" ref="CW83:CX83" si="591">+CW67/CS67-1</f>
        <v>0.10476891916774078</v>
      </c>
      <c r="CX83" s="288">
        <f t="shared" si="591"/>
        <v>0.10794486603685916</v>
      </c>
      <c r="CY83" s="288">
        <f>+CY67/CU67-1</f>
        <v>9.3151693667157476E-2</v>
      </c>
      <c r="CZ83" s="288">
        <f t="shared" ref="CZ83:DG83" si="592">+CZ67/CV67-1</f>
        <v>2.5218394593703675E-2</v>
      </c>
      <c r="DA83" s="288">
        <f t="shared" si="592"/>
        <v>1.4833333333333254E-2</v>
      </c>
      <c r="DB83" s="288">
        <f t="shared" si="592"/>
        <v>-9.7008666480290717E-2</v>
      </c>
      <c r="DC83" s="288">
        <f t="shared" si="592"/>
        <v>-0.17379589087234759</v>
      </c>
      <c r="DD83" s="288">
        <f t="shared" si="592"/>
        <v>7.1543408360128513E-2</v>
      </c>
      <c r="DE83" s="288">
        <f t="shared" si="592"/>
        <v>-0.11414025291509278</v>
      </c>
      <c r="DF83" s="288">
        <f t="shared" si="592"/>
        <v>-0.10185758513931886</v>
      </c>
      <c r="DG83" s="288">
        <f t="shared" si="592"/>
        <v>7.0729718711781464E-2</v>
      </c>
      <c r="DH83" s="288">
        <f t="shared" ref="DH83" si="593">+DH67/DD67-1</f>
        <v>-0.14763690922730688</v>
      </c>
      <c r="DI83" s="288">
        <f t="shared" ref="DI83" si="594">+DI67/DE67-1</f>
        <v>1.5016685205784253E-2</v>
      </c>
      <c r="DJ83" s="288">
        <f t="shared" ref="DJ83" si="595">+DJ67/DF67-1</f>
        <v>0.1115132712857636</v>
      </c>
      <c r="DK83" s="288">
        <f t="shared" ref="DK83" si="596">+DK67/DG67-1</f>
        <v>-1</v>
      </c>
      <c r="DL83" s="288">
        <f t="shared" ref="DL83" si="597">+DL67/DH67-1</f>
        <v>-1</v>
      </c>
      <c r="DM83" s="288">
        <f t="shared" ref="DM83" si="598">+DM67/DI67-1</f>
        <v>-1</v>
      </c>
      <c r="DN83" s="288">
        <f t="shared" ref="DN83" si="599">+DN67/DJ67-1</f>
        <v>-1</v>
      </c>
      <c r="DP83" s="246"/>
      <c r="DQ83" s="246"/>
      <c r="DR83" s="246"/>
      <c r="DS83" s="246"/>
      <c r="DT83" s="246"/>
      <c r="DU83" s="246"/>
      <c r="DV83" s="246"/>
      <c r="DW83" s="246"/>
      <c r="DX83" s="246"/>
      <c r="DY83" s="246"/>
      <c r="DZ83" s="246"/>
      <c r="EA83" s="246"/>
      <c r="EB83" s="246"/>
      <c r="EC83" s="246"/>
      <c r="ED83" s="246"/>
      <c r="EE83" s="246"/>
      <c r="EF83" s="246"/>
      <c r="EG83" s="246"/>
      <c r="EH83" s="246"/>
      <c r="EI83" s="246"/>
      <c r="EJ83" s="246"/>
      <c r="EK83" s="246">
        <f t="shared" ref="EK83:EM83" si="600">EK67/EJ67-1</f>
        <v>-1.9039442452401412E-2</v>
      </c>
      <c r="EL83" s="246">
        <f t="shared" si="600"/>
        <v>7.9540774299835304E-2</v>
      </c>
      <c r="EM83" s="246">
        <f t="shared" si="600"/>
        <v>-4.7689446325528406E-3</v>
      </c>
      <c r="EN83" s="246">
        <f>EN67/EM67-1</f>
        <v>2.8079927164694096E-2</v>
      </c>
      <c r="EO83" s="246">
        <f t="shared" ref="EO83:EY83" si="601">EO67/EN67-1</f>
        <v>0.15738290608249828</v>
      </c>
      <c r="EP83" s="246">
        <f t="shared" si="601"/>
        <v>-1</v>
      </c>
      <c r="EQ83" s="246" t="e">
        <f t="shared" si="601"/>
        <v>#DIV/0!</v>
      </c>
      <c r="ER83" s="246" t="e">
        <f t="shared" si="601"/>
        <v>#DIV/0!</v>
      </c>
      <c r="ES83" s="246" t="e">
        <f t="shared" si="601"/>
        <v>#DIV/0!</v>
      </c>
      <c r="ET83" s="246">
        <f t="shared" si="601"/>
        <v>-2.3746442939848844E-2</v>
      </c>
      <c r="EU83" s="246">
        <f t="shared" si="601"/>
        <v>0.10986028746607701</v>
      </c>
      <c r="EV83" s="246">
        <f t="shared" si="601"/>
        <v>0.11632856366600253</v>
      </c>
      <c r="EW83" s="246">
        <f t="shared" si="601"/>
        <v>2.1904027907353463E-3</v>
      </c>
      <c r="EX83" s="246">
        <f t="shared" si="601"/>
        <v>2.6117144938681447E-2</v>
      </c>
      <c r="EY83" s="246">
        <f t="shared" si="601"/>
        <v>3.3154290863420366E-2</v>
      </c>
      <c r="EZ83" s="246"/>
      <c r="FA83" s="246"/>
      <c r="FB83" s="246"/>
      <c r="FC83" s="246"/>
      <c r="FD83" s="246"/>
      <c r="FE83" s="246"/>
      <c r="FF83" s="246"/>
      <c r="FG83" s="246"/>
      <c r="FH83" s="246"/>
      <c r="FI83" s="246"/>
      <c r="FJ83" s="246"/>
      <c r="FM83" t="s">
        <v>1438</v>
      </c>
      <c r="FN83" s="292">
        <v>0.7</v>
      </c>
      <c r="FQ83" s="291"/>
      <c r="FR83" s="291"/>
      <c r="FS83" s="291"/>
      <c r="FT83"/>
      <c r="FU83" s="291"/>
      <c r="FV83" s="291"/>
      <c r="FW83" s="291"/>
    </row>
    <row r="84" spans="1:179" s="281" customFormat="1" ht="12.75" customHeight="1" x14ac:dyDescent="0.2">
      <c r="B84" s="1" t="s">
        <v>345</v>
      </c>
      <c r="C84" s="282">
        <f>PV(9%,4,0,-EO76)*14</f>
        <v>67.395045147406719</v>
      </c>
      <c r="D84" s="282"/>
      <c r="E84" s="282"/>
      <c r="F84" s="166"/>
      <c r="G84" s="166"/>
      <c r="H84" s="287">
        <f t="shared" ref="H84:AY84" si="602">H76/D76-1</f>
        <v>7.5818659710282343E-2</v>
      </c>
      <c r="I84" s="287">
        <f t="shared" si="602"/>
        <v>9.2950596934190166E-2</v>
      </c>
      <c r="J84" s="287">
        <f t="shared" si="602"/>
        <v>7.634149897929432E-2</v>
      </c>
      <c r="K84" s="287">
        <f t="shared" si="602"/>
        <v>0.11788882689055269</v>
      </c>
      <c r="L84" s="287">
        <f t="shared" si="602"/>
        <v>0.14473964191263655</v>
      </c>
      <c r="M84" s="287">
        <f t="shared" si="602"/>
        <v>0.14310088198022242</v>
      </c>
      <c r="N84" s="287">
        <f t="shared" si="602"/>
        <v>5.1308536479371281E-2</v>
      </c>
      <c r="O84" s="287">
        <f t="shared" si="602"/>
        <v>0.13385180270518893</v>
      </c>
      <c r="P84" s="287">
        <f>P76/L76-1</f>
        <v>0.12075080173552166</v>
      </c>
      <c r="Q84" s="287">
        <f t="shared" si="602"/>
        <v>0.11640695323782246</v>
      </c>
      <c r="R84" s="287">
        <f t="shared" si="602"/>
        <v>0.25331564986737409</v>
      </c>
      <c r="S84" s="287">
        <f t="shared" si="602"/>
        <v>0.13856690012533113</v>
      </c>
      <c r="T84" s="287">
        <f>T76/P76-1</f>
        <v>1.2037195940025613E-2</v>
      </c>
      <c r="U84" s="287">
        <f t="shared" si="602"/>
        <v>0.10050364968255754</v>
      </c>
      <c r="V84" s="287">
        <f t="shared" si="602"/>
        <v>0.16465516247651335</v>
      </c>
      <c r="W84" s="287">
        <f t="shared" si="602"/>
        <v>0.11042340202435219</v>
      </c>
      <c r="X84" s="287">
        <f t="shared" si="602"/>
        <v>0.33892222366878832</v>
      </c>
      <c r="Y84" s="287">
        <f t="shared" si="602"/>
        <v>0.15957351708447542</v>
      </c>
      <c r="Z84" s="287">
        <f t="shared" si="602"/>
        <v>0.18068383735432225</v>
      </c>
      <c r="AA84" s="287">
        <f t="shared" si="602"/>
        <v>0.17560586488735686</v>
      </c>
      <c r="AB84" s="287">
        <f t="shared" si="602"/>
        <v>9.5766268040985869E-2</v>
      </c>
      <c r="AC84" s="287">
        <f t="shared" si="602"/>
        <v>0.20792294940519618</v>
      </c>
      <c r="AD84" s="287">
        <f t="shared" si="602"/>
        <v>0.43934703660578567</v>
      </c>
      <c r="AE84" s="287">
        <f t="shared" si="602"/>
        <v>0.40330271308582621</v>
      </c>
      <c r="AF84" s="287">
        <f t="shared" si="602"/>
        <v>0.36425979190318269</v>
      </c>
      <c r="AG84" s="287">
        <f t="shared" si="602"/>
        <v>0.13879826799979922</v>
      </c>
      <c r="AH84" s="287">
        <f t="shared" si="602"/>
        <v>1.0408112986510343E-2</v>
      </c>
      <c r="AI84" s="287">
        <f t="shared" si="602"/>
        <v>-3.321908623949843E-2</v>
      </c>
      <c r="AJ84" s="287">
        <f t="shared" si="602"/>
        <v>4.5241526320477954E-2</v>
      </c>
      <c r="AK84" s="287">
        <f t="shared" si="602"/>
        <v>7.6881693334693413E-2</v>
      </c>
      <c r="AL84" s="287">
        <f t="shared" si="602"/>
        <v>4.7357926221335944E-2</v>
      </c>
      <c r="AM84" s="287">
        <f t="shared" si="602"/>
        <v>0.18936887555891713</v>
      </c>
      <c r="AN84" s="287">
        <f t="shared" si="602"/>
        <v>3.6136156228004479E-2</v>
      </c>
      <c r="AO84" s="287">
        <f t="shared" si="602"/>
        <v>0.15510613626240932</v>
      </c>
      <c r="AP84" s="287">
        <f t="shared" si="602"/>
        <v>0.16724537677075335</v>
      </c>
      <c r="AQ84" s="287">
        <f t="shared" si="602"/>
        <v>5.0337651327217348E-2</v>
      </c>
      <c r="AR84" s="287">
        <f t="shared" si="602"/>
        <v>2.4384801824921754E-2</v>
      </c>
      <c r="AS84" s="287">
        <f t="shared" si="602"/>
        <v>9.4606176817664034E-2</v>
      </c>
      <c r="AT84" s="287">
        <f t="shared" si="602"/>
        <v>0.23000568097020602</v>
      </c>
      <c r="AU84" s="287">
        <f t="shared" si="602"/>
        <v>7.020584740193403E-2</v>
      </c>
      <c r="AV84" s="287">
        <f t="shared" si="602"/>
        <v>0.11868138566888375</v>
      </c>
      <c r="AW84" s="287">
        <f t="shared" si="602"/>
        <v>9.5187736415512925E-2</v>
      </c>
      <c r="AX84" s="287">
        <f t="shared" si="602"/>
        <v>-6.3593420219504537E-2</v>
      </c>
      <c r="AY84" s="287">
        <f t="shared" si="602"/>
        <v>1.4359563869827952E-3</v>
      </c>
      <c r="AZ84" s="287">
        <f t="shared" ref="AZ84:BF84" si="603">AZ76/AV76-1</f>
        <v>-2.5715357562949182E-2</v>
      </c>
      <c r="BA84" s="287">
        <f t="shared" si="603"/>
        <v>2.4431871651507064E-2</v>
      </c>
      <c r="BB84" s="287">
        <f t="shared" si="603"/>
        <v>0.10025117077992585</v>
      </c>
      <c r="BC84" s="287">
        <f t="shared" si="603"/>
        <v>2.8316206701865632E-2</v>
      </c>
      <c r="BD84" s="287">
        <f t="shared" si="603"/>
        <v>6.7260095469480863E-2</v>
      </c>
      <c r="BE84" s="287">
        <f t="shared" si="603"/>
        <v>2.3944295740103483E-2</v>
      </c>
      <c r="BF84" s="287">
        <f t="shared" si="603"/>
        <v>-1.6153307030108977E-3</v>
      </c>
      <c r="BG84" s="287">
        <f>BG76/BC76-1</f>
        <v>0.1910607025483293</v>
      </c>
      <c r="BH84" s="287">
        <f>BH76/BD76-1</f>
        <v>-1.6918038772520849E-2</v>
      </c>
      <c r="BI84" s="287">
        <f>BI76/BE76-1</f>
        <v>-6.0154852950498827E-2</v>
      </c>
      <c r="BJ84" s="287">
        <f t="shared" ref="BJ84" si="604">BJ76/BF76-1</f>
        <v>1.0004880615359619</v>
      </c>
      <c r="BK84" s="287">
        <f>BK76/BG76-1</f>
        <v>-8.4820785085281014E-2</v>
      </c>
      <c r="BL84" s="287">
        <f t="shared" ref="BL84" si="605">BL76/BH76-1</f>
        <v>6.9578193071049954E-2</v>
      </c>
      <c r="BM84" s="287">
        <f t="shared" ref="BM84" si="606">BM76/BI76-1</f>
        <v>6.1272871553678554E-2</v>
      </c>
      <c r="BN84" s="287">
        <f t="shared" ref="BN84" si="607">BN76/BJ76-1</f>
        <v>-0.51080284450880753</v>
      </c>
      <c r="BO84" s="287">
        <f t="shared" ref="BO84" si="608">BO76/BK76-1</f>
        <v>-0.10531204944610384</v>
      </c>
      <c r="BP84" s="287">
        <f t="shared" ref="BP84" si="609">BP76/BL76-1</f>
        <v>0.16062407397490119</v>
      </c>
      <c r="BQ84" s="287">
        <f t="shared" ref="BQ84" si="610">BQ76/BM76-1</f>
        <v>0.13019144828970597</v>
      </c>
      <c r="BR84" s="287">
        <f t="shared" ref="BR84" si="611">BR76/BN76-1</f>
        <v>0.2607768876622647</v>
      </c>
      <c r="BS84" s="287">
        <f>BS76/BO76-1</f>
        <v>0.38546858742814538</v>
      </c>
      <c r="BT84" s="287">
        <f t="shared" ref="BT84" si="612">BT76/BP76-1</f>
        <v>6.3296424145320662E-2</v>
      </c>
      <c r="BU84" s="287">
        <f t="shared" ref="BU84" si="613">BU76/BQ76-1</f>
        <v>-0.14032529532852378</v>
      </c>
      <c r="BV84" s="287">
        <f t="shared" ref="BV84" si="614">BV76/BR76-1</f>
        <v>7.0171293429426296E-3</v>
      </c>
      <c r="BW84" s="287">
        <f t="shared" ref="BW84" si="615">BW76/BS76-1</f>
        <v>-0.19529001548062908</v>
      </c>
      <c r="BX84" s="287">
        <f t="shared" ref="BX84" si="616">BX76/BT76-1</f>
        <v>-0.20167791630639931</v>
      </c>
      <c r="BY84" s="287">
        <f t="shared" ref="BY84" si="617">BY76/BU76-1</f>
        <v>0.13544359995566224</v>
      </c>
      <c r="BZ84" s="287">
        <f t="shared" ref="BZ84" si="618">BZ76/BV76-1</f>
        <v>-0.23792671941193322</v>
      </c>
      <c r="CA84" s="287">
        <f t="shared" ref="CA84" si="619">CA76/BW76-1</f>
        <v>0.16493010636593963</v>
      </c>
      <c r="CB84" s="287">
        <f t="shared" ref="CB84" si="620">CB76/BX76-1</f>
        <v>0.31852760954226067</v>
      </c>
      <c r="CC84" s="287">
        <f t="shared" ref="CC84" si="621">CC76/BY76-1</f>
        <v>0.15309402193622512</v>
      </c>
      <c r="CD84" s="287">
        <f t="shared" ref="CD84" si="622">CD76/BZ76-1</f>
        <v>0.4874740822051471</v>
      </c>
      <c r="CE84" s="287">
        <f t="shared" ref="CE84" si="623">CE76/CA76-1</f>
        <v>-6.7252058155131689E-4</v>
      </c>
      <c r="CF84" s="287">
        <f t="shared" ref="CF84" si="624">CF76/CB76-1</f>
        <v>-3.9582449882542892E-2</v>
      </c>
      <c r="CG84" s="287">
        <f t="shared" ref="CG84" si="625">CG76/CC76-1</f>
        <v>-0.10018831722551658</v>
      </c>
      <c r="CH84" s="287">
        <f t="shared" ref="CH84" si="626">CH76/CD76-1</f>
        <v>0.22612525482605106</v>
      </c>
      <c r="CI84" s="287">
        <f t="shared" ref="CI84" si="627">CI76/CE76-1</f>
        <v>-1.3651202781446381E-2</v>
      </c>
      <c r="CJ84" s="287">
        <f t="shared" ref="CJ84" si="628">CJ76/CF76-1</f>
        <v>-4.1854298358804387E-3</v>
      </c>
      <c r="CK84" s="287">
        <f t="shared" ref="CK84" si="629">CK76/CG76-1</f>
        <v>0.51458844505578183</v>
      </c>
      <c r="CL84" s="287">
        <f t="shared" ref="CL84" si="630">CL76/CH76-1</f>
        <v>0.10394841705592039</v>
      </c>
      <c r="CM84" s="287">
        <f t="shared" ref="CM84:CO84" si="631">+CM76/CI76-1</f>
        <v>7.3335795050902153E-2</v>
      </c>
      <c r="CN84" s="287">
        <f t="shared" si="631"/>
        <v>-7.9588542556748409E-2</v>
      </c>
      <c r="CO84" s="287">
        <f t="shared" si="631"/>
        <v>-2.4099928214634803E-3</v>
      </c>
      <c r="CP84" s="287">
        <f t="shared" ref="CP84" si="632">+CP76/CL76-1</f>
        <v>-3.401938512106395E-2</v>
      </c>
      <c r="CQ84" s="287">
        <f t="shared" ref="CQ84" si="633">+CQ76/CM76-1</f>
        <v>0.10010206676183309</v>
      </c>
      <c r="CR84" s="287">
        <f t="shared" ref="CR84" si="634">+CR76/CN76-1</f>
        <v>-6.3188735958248476E-2</v>
      </c>
      <c r="CS84" s="287">
        <f t="shared" ref="CS84" si="635">+CS76/CO76-1</f>
        <v>-0.12151690217235556</v>
      </c>
      <c r="CT84" s="287">
        <f t="shared" ref="CT84" si="636">+CT76/CP76-1</f>
        <v>-0.19005066624794598</v>
      </c>
      <c r="CU84" s="287">
        <f t="shared" ref="CU84" si="637">+CU76/CQ76-1</f>
        <v>0.22711682108032161</v>
      </c>
      <c r="CV84" s="287">
        <f t="shared" ref="CV84" si="638">+CV76/CR76-1</f>
        <v>0.82370196327592327</v>
      </c>
      <c r="CW84" s="287">
        <f t="shared" ref="CW84:CX84" si="639">+CW76/CS76-1</f>
        <v>0.30236297648751398</v>
      </c>
      <c r="CX84" s="287">
        <f t="shared" si="639"/>
        <v>0.19325870108083376</v>
      </c>
      <c r="CY84" s="287">
        <f>+CY76/CU76-1</f>
        <v>-4.9475018188636977E-2</v>
      </c>
      <c r="CZ84" s="287">
        <f t="shared" ref="CZ84:DG84" si="640">+CZ76/CV76-1</f>
        <v>4.0973813158941219E-2</v>
      </c>
      <c r="DA84" s="287">
        <f t="shared" si="640"/>
        <v>-0.19439028946589121</v>
      </c>
      <c r="DB84" s="287">
        <f t="shared" si="640"/>
        <v>0.31595973461524585</v>
      </c>
      <c r="DC84" s="287">
        <f t="shared" si="640"/>
        <v>-0.13043649439575344</v>
      </c>
      <c r="DD84" s="287">
        <f t="shared" si="640"/>
        <v>-0.22097777201966096</v>
      </c>
      <c r="DE84" s="287">
        <f t="shared" si="640"/>
        <v>0.36309624673062468</v>
      </c>
      <c r="DF84" s="287">
        <f t="shared" si="640"/>
        <v>-1.5335215793113588E-2</v>
      </c>
      <c r="DG84" s="287">
        <f t="shared" si="640"/>
        <v>0.40068699716185274</v>
      </c>
      <c r="DH84" s="287">
        <f t="shared" ref="DH84" si="641">+DH76/DD76-1</f>
        <v>-1.8606907423176722E-2</v>
      </c>
      <c r="DI84" s="287">
        <f t="shared" ref="DI84" si="642">+DI76/DE76-1</f>
        <v>-8.9447338053791126E-2</v>
      </c>
      <c r="DJ84" s="287">
        <f t="shared" ref="DJ84" si="643">+DJ76/DF76-1</f>
        <v>-0.1666451736803185</v>
      </c>
      <c r="DK84" s="287">
        <f t="shared" ref="DK84" si="644">+DK76/DG76-1</f>
        <v>1.4769600383009882</v>
      </c>
      <c r="DL84" s="287">
        <f t="shared" ref="DL84" si="645">+DL76/DH76-1</f>
        <v>2.4267039538656223</v>
      </c>
      <c r="DM84" s="287">
        <f t="shared" ref="DM84" si="646">+DM76/DI76-1</f>
        <v>1.8534706917349379</v>
      </c>
      <c r="DN84" s="287">
        <f t="shared" ref="DN84" si="647">+DN76/DJ76-1</f>
        <v>2.4512599156777015</v>
      </c>
      <c r="DP84" s="287"/>
      <c r="DQ84" s="287">
        <f t="shared" ref="DQ84:EQ84" si="648">DQ76/DP76-1</f>
        <v>0.16138620699103701</v>
      </c>
      <c r="DR84" s="287">
        <f t="shared" si="648"/>
        <v>9.3784452783480798E-3</v>
      </c>
      <c r="DS84" s="287">
        <f t="shared" si="648"/>
        <v>0.11223738786059356</v>
      </c>
      <c r="DT84" s="287">
        <f t="shared" si="648"/>
        <v>9.9683709315189217E-2</v>
      </c>
      <c r="DU84" s="287">
        <f t="shared" si="648"/>
        <v>0.12252543201017119</v>
      </c>
      <c r="DV84" s="287">
        <f t="shared" si="648"/>
        <v>0.19787193984028106</v>
      </c>
      <c r="DW84" s="287">
        <f t="shared" si="648"/>
        <v>0.20141489804411172</v>
      </c>
      <c r="DX84" s="287">
        <f t="shared" si="648"/>
        <v>0.14409421544856249</v>
      </c>
      <c r="DY84" s="287">
        <f t="shared" si="648"/>
        <v>0.16136845292158641</v>
      </c>
      <c r="DZ84" s="287">
        <f t="shared" si="648"/>
        <v>8.6222689728370661E-2</v>
      </c>
      <c r="EA84" s="287">
        <f t="shared" si="648"/>
        <v>0.15694367545205146</v>
      </c>
      <c r="EB84" s="287">
        <f t="shared" si="648"/>
        <v>0.17827821800773225</v>
      </c>
      <c r="EC84" s="287">
        <f t="shared" si="648"/>
        <v>0.37830154695147633</v>
      </c>
      <c r="ED84" s="287">
        <f t="shared" si="648"/>
        <v>0.13855365103019746</v>
      </c>
      <c r="EE84" s="287">
        <f t="shared" si="648"/>
        <v>7.7515187246461448E-2</v>
      </c>
      <c r="EF84" s="287">
        <f t="shared" si="648"/>
        <v>4.8372071083447876E-2</v>
      </c>
      <c r="EG84" s="287">
        <f t="shared" si="648"/>
        <v>0.1462207278197587</v>
      </c>
      <c r="EH84" s="287">
        <f t="shared" si="648"/>
        <v>0.11889271311352956</v>
      </c>
      <c r="EI84" s="287">
        <f t="shared" si="648"/>
        <v>8.1321657802964298E-2</v>
      </c>
      <c r="EJ84" s="287">
        <f>EJ76/EI76-1</f>
        <v>0.32184701102067947</v>
      </c>
      <c r="EK84" s="287">
        <f t="shared" si="648"/>
        <v>-0.21643770301278442</v>
      </c>
      <c r="EL84" s="287">
        <f t="shared" si="648"/>
        <v>0.26467153844213498</v>
      </c>
      <c r="EM84" s="287">
        <f t="shared" si="648"/>
        <v>-0.19197091346348505</v>
      </c>
      <c r="EN84" s="287">
        <f t="shared" si="648"/>
        <v>0.10636798720285601</v>
      </c>
      <c r="EO84" s="287">
        <f t="shared" si="648"/>
        <v>0.27564464955984436</v>
      </c>
      <c r="EP84" s="287">
        <f t="shared" si="648"/>
        <v>1.532103792198575</v>
      </c>
      <c r="EQ84" s="287">
        <f t="shared" si="648"/>
        <v>-7.8313463952260576E-2</v>
      </c>
      <c r="ER84" s="287" t="e">
        <f t="shared" ref="ER84" si="649">ER76/EQ76-1</f>
        <v>#DIV/0!</v>
      </c>
      <c r="ES84" s="287" t="e">
        <f t="shared" ref="ES84" si="650">ES76/ER76-1</f>
        <v>#DIV/0!</v>
      </c>
      <c r="ET84" s="287">
        <f t="shared" ref="ET84" si="651">ET76/ES76-1</f>
        <v>-1.1628389385958893E-2</v>
      </c>
      <c r="EU84" s="287">
        <f t="shared" ref="EU84" si="652">EU76/ET76-1</f>
        <v>-7.3891640103403544E-2</v>
      </c>
      <c r="EV84" s="287">
        <f t="shared" ref="EV84" si="653">EV76/EU76-1</f>
        <v>0.37643894125962207</v>
      </c>
      <c r="EW84" s="287">
        <f t="shared" ref="EW84" si="654">EW76/EV76-1</f>
        <v>-3.902858424804645E-3</v>
      </c>
      <c r="EX84" s="287">
        <f t="shared" ref="EX84" si="655">EX76/EW76-1</f>
        <v>0.24748339409411679</v>
      </c>
      <c r="EY84" s="287">
        <f t="shared" ref="EY84" si="656">EY76/EX76-1</f>
        <v>3.5709287752854424E-2</v>
      </c>
      <c r="EZ84" s="287"/>
      <c r="FA84" s="287"/>
      <c r="FB84" s="287"/>
      <c r="FC84" s="287"/>
      <c r="FD84" s="287"/>
      <c r="FE84" s="287"/>
      <c r="FF84" s="287"/>
      <c r="FG84" s="287"/>
      <c r="FH84" s="287"/>
      <c r="FI84" s="287"/>
      <c r="FJ84" s="287"/>
      <c r="FM84" t="s">
        <v>1238</v>
      </c>
      <c r="FN84" s="79">
        <f>NPV(FN79,FA75:JZ75)+EZ75+Main!R5-Main!R6</f>
        <v>439676.98218860978</v>
      </c>
      <c r="FQ84" s="1"/>
      <c r="FR84" s="1"/>
      <c r="FS84"/>
      <c r="FT84"/>
      <c r="FU84"/>
      <c r="FV84" s="1"/>
      <c r="FW84" s="1"/>
    </row>
    <row r="85" spans="1:179" s="279" customFormat="1" ht="12.75" customHeight="1" x14ac:dyDescent="0.2">
      <c r="A85" s="1"/>
      <c r="B85" t="s">
        <v>347</v>
      </c>
      <c r="C85" s="282">
        <f>PV(7%,4,0,-EO76)*14</f>
        <v>72.576972777937499</v>
      </c>
      <c r="D85" s="282"/>
      <c r="E85" s="282"/>
      <c r="F85" s="293"/>
      <c r="G85" s="293"/>
      <c r="H85" s="293"/>
      <c r="I85" s="294"/>
      <c r="J85" s="294"/>
      <c r="K85" s="294"/>
      <c r="L85" s="294"/>
      <c r="M85" s="294"/>
      <c r="N85" s="294"/>
      <c r="O85" s="294">
        <f t="shared" ref="O85:AT85" si="657">O3/K3-1</f>
        <v>1.3333333333333335</v>
      </c>
      <c r="P85" s="294">
        <f t="shared" si="657"/>
        <v>2.5076923076923077</v>
      </c>
      <c r="Q85" s="294">
        <f t="shared" si="657"/>
        <v>2.3629629629629627</v>
      </c>
      <c r="R85" s="294">
        <f t="shared" si="657"/>
        <v>2.3902439024390243</v>
      </c>
      <c r="S85" s="294">
        <f t="shared" si="657"/>
        <v>1.6734693877551021</v>
      </c>
      <c r="T85" s="294">
        <f t="shared" si="657"/>
        <v>0.875</v>
      </c>
      <c r="U85" s="294">
        <f t="shared" si="657"/>
        <v>1.3017621145374449</v>
      </c>
      <c r="V85" s="294">
        <f t="shared" si="657"/>
        <v>0.51079136690647475</v>
      </c>
      <c r="W85" s="294">
        <f t="shared" si="657"/>
        <v>0.87022900763358768</v>
      </c>
      <c r="X85" s="294">
        <f t="shared" si="657"/>
        <v>0.9415204678362572</v>
      </c>
      <c r="Y85" s="294">
        <f t="shared" si="657"/>
        <v>0.63157894736842102</v>
      </c>
      <c r="Z85" s="294">
        <f t="shared" si="657"/>
        <v>0.80476190476190479</v>
      </c>
      <c r="AA85" s="294">
        <f t="shared" si="657"/>
        <v>0.66938775510204085</v>
      </c>
      <c r="AB85" s="294">
        <f t="shared" si="657"/>
        <v>0.26807228915662651</v>
      </c>
      <c r="AC85" s="294">
        <f t="shared" si="657"/>
        <v>0.30205278592375362</v>
      </c>
      <c r="AD85" s="294">
        <f t="shared" si="657"/>
        <v>0.20316622691292885</v>
      </c>
      <c r="AE85" s="294">
        <f t="shared" si="657"/>
        <v>0.13447432762836176</v>
      </c>
      <c r="AF85" s="294">
        <f t="shared" si="657"/>
        <v>0.28028503562945373</v>
      </c>
      <c r="AG85" s="294">
        <f t="shared" si="657"/>
        <v>0.22747747747747749</v>
      </c>
      <c r="AH85" s="294">
        <f t="shared" si="657"/>
        <v>0.31140350877192979</v>
      </c>
      <c r="AI85" s="294">
        <f t="shared" si="657"/>
        <v>0.24353448275862077</v>
      </c>
      <c r="AJ85" s="294">
        <f t="shared" si="657"/>
        <v>0.19109461966604813</v>
      </c>
      <c r="AK85" s="294">
        <f t="shared" si="657"/>
        <v>0.14495412844036704</v>
      </c>
      <c r="AL85" s="294">
        <f t="shared" si="657"/>
        <v>0.15719063545150491</v>
      </c>
      <c r="AM85" s="294">
        <f t="shared" si="657"/>
        <v>0.18024263431542464</v>
      </c>
      <c r="AN85" s="294">
        <f t="shared" si="657"/>
        <v>0.21028037383177578</v>
      </c>
      <c r="AO85" s="294">
        <f t="shared" si="657"/>
        <v>0.24358974358974361</v>
      </c>
      <c r="AP85" s="294">
        <f t="shared" si="657"/>
        <v>0.12716763005780352</v>
      </c>
      <c r="AQ85" s="294">
        <f t="shared" si="657"/>
        <v>7.3421439060205484E-2</v>
      </c>
      <c r="AR85" s="294">
        <f t="shared" si="657"/>
        <v>0.11840411840411846</v>
      </c>
      <c r="AS85" s="294">
        <f t="shared" si="657"/>
        <v>5.5412371134020644E-2</v>
      </c>
      <c r="AT85" s="294">
        <f t="shared" si="657"/>
        <v>0.16410256410256419</v>
      </c>
      <c r="AU85" s="294">
        <f t="shared" ref="AU85:BZ85" si="658">AU3/AQ3-1</f>
        <v>0.36525307797537621</v>
      </c>
      <c r="AV85" s="294">
        <f t="shared" si="658"/>
        <v>1.9562715765247374E-2</v>
      </c>
      <c r="AW85" s="294">
        <f t="shared" si="658"/>
        <v>0.19413919413919412</v>
      </c>
      <c r="AX85" s="294">
        <f t="shared" si="658"/>
        <v>-2.4229074889867808E-2</v>
      </c>
      <c r="AY85" s="294">
        <f t="shared" si="658"/>
        <v>3.0060120240480881E-2</v>
      </c>
      <c r="AZ85" s="294">
        <f t="shared" si="658"/>
        <v>0.24379232505643333</v>
      </c>
      <c r="BA85" s="294">
        <f t="shared" si="658"/>
        <v>5.9304703476482645E-2</v>
      </c>
      <c r="BB85" s="294">
        <f t="shared" si="658"/>
        <v>0.28442437923250563</v>
      </c>
      <c r="BC85" s="294">
        <f t="shared" si="658"/>
        <v>0.15369649805447461</v>
      </c>
      <c r="BD85" s="294">
        <f t="shared" si="658"/>
        <v>2.5408348457350183E-2</v>
      </c>
      <c r="BE85" s="294">
        <f t="shared" si="658"/>
        <v>0.18629343629343631</v>
      </c>
      <c r="BF85" s="294">
        <f t="shared" si="658"/>
        <v>-6.4147627416520248E-2</v>
      </c>
      <c r="BG85" s="294">
        <f t="shared" si="658"/>
        <v>8.3473861720067433E-2</v>
      </c>
      <c r="BH85" s="294">
        <f t="shared" si="658"/>
        <v>0.21327433628318593</v>
      </c>
      <c r="BI85" s="294">
        <f t="shared" si="658"/>
        <v>0.14564686737184696</v>
      </c>
      <c r="BJ85" s="294">
        <f t="shared" si="658"/>
        <v>0.3408450704225352</v>
      </c>
      <c r="BK85" s="294">
        <f t="shared" si="658"/>
        <v>0.18365758754863815</v>
      </c>
      <c r="BL85" s="294">
        <f t="shared" si="658"/>
        <v>0.11086797957695116</v>
      </c>
      <c r="BM85" s="294">
        <f t="shared" si="658"/>
        <v>0.12997159090909083</v>
      </c>
      <c r="BN85" s="294">
        <f t="shared" si="658"/>
        <v>5.3221288515406195E-2</v>
      </c>
      <c r="BO85" s="294">
        <f t="shared" si="658"/>
        <v>5.1939513477974986E-2</v>
      </c>
      <c r="BP85" s="294">
        <f t="shared" si="658"/>
        <v>9.7833223900196886E-2</v>
      </c>
      <c r="BQ85" s="294">
        <f t="shared" si="658"/>
        <v>6.1596480201131287E-2</v>
      </c>
      <c r="BR85" s="294">
        <f t="shared" si="658"/>
        <v>0.13829787234042556</v>
      </c>
      <c r="BS85" s="294">
        <f t="shared" si="658"/>
        <v>6.2500000000000888E-3</v>
      </c>
      <c r="BT85" s="294">
        <f t="shared" si="658"/>
        <v>7.8947368421052655E-2</v>
      </c>
      <c r="BU85" s="294">
        <f t="shared" si="658"/>
        <v>5.5062166962699832E-2</v>
      </c>
      <c r="BV85" s="294">
        <f t="shared" si="658"/>
        <v>-2.3364485981308358E-2</v>
      </c>
      <c r="BW85" s="294">
        <f t="shared" si="658"/>
        <v>-6.2111801242236142E-3</v>
      </c>
      <c r="BX85" s="294">
        <f t="shared" si="658"/>
        <v>-7.5388026607538849E-2</v>
      </c>
      <c r="BY85" s="294">
        <f t="shared" si="658"/>
        <v>-9.4837261503928127E-2</v>
      </c>
      <c r="BZ85" s="294">
        <f t="shared" si="658"/>
        <v>4.7846889952152249E-3</v>
      </c>
      <c r="CA85" s="294">
        <f t="shared" ref="CA85" si="659">CA3/BW3-1</f>
        <v>0.11187499999999995</v>
      </c>
      <c r="CB85" s="294">
        <f t="shared" ref="CB85" si="660">CB3/BX3-1</f>
        <v>6.714628297362113E-2</v>
      </c>
      <c r="CC85" s="294">
        <f t="shared" ref="CC85" si="661">CC3/BY3-1</f>
        <v>0.10539367637941721</v>
      </c>
      <c r="CD85" s="294">
        <f t="shared" ref="CD85" si="662">CD3/BZ3-1</f>
        <v>-3.3333333333333326E-2</v>
      </c>
      <c r="CE85" s="294">
        <f t="shared" ref="CE85" si="663">CE3/CA3-1</f>
        <v>-6.014614952220354E-2</v>
      </c>
      <c r="CF85" s="294">
        <f t="shared" ref="CF85" si="664">CF3/CB3-1</f>
        <v>-0.1404494382022472</v>
      </c>
      <c r="CG85" s="294">
        <f t="shared" ref="CG85" si="665">CG3/CC3-1</f>
        <v>-7.6275939427930428E-2</v>
      </c>
      <c r="CH85" s="294">
        <f t="shared" ref="CH85" si="666">CH3/CD3-1</f>
        <v>-9.7290640394088634E-2</v>
      </c>
      <c r="CI85" s="294">
        <f t="shared" ref="CI85" si="667">CI3/CE3-1</f>
        <v>-0.16925837320574166</v>
      </c>
      <c r="CJ85" s="294">
        <f t="shared" ref="CJ85" si="668">CJ3/CF3-1</f>
        <v>-0.13725490196078427</v>
      </c>
      <c r="CK85" s="294">
        <f t="shared" ref="CK85" si="669">CK3/CG3-1</f>
        <v>-0.16272009714632663</v>
      </c>
      <c r="CL85" s="294">
        <f t="shared" ref="CL85" si="670">CL3/CH3-1</f>
        <v>-0.155525238744884</v>
      </c>
      <c r="CM85" s="294">
        <f t="shared" ref="CM85:CV86" si="671">+CM3/CI3-1</f>
        <v>-0.20662347012239024</v>
      </c>
      <c r="CN85" s="294">
        <f t="shared" si="671"/>
        <v>-0.16136363636363638</v>
      </c>
      <c r="CO85" s="294">
        <f t="shared" si="671"/>
        <v>-0.17621464829586653</v>
      </c>
      <c r="CP85" s="294">
        <f t="shared" si="671"/>
        <v>-0.16397415185783526</v>
      </c>
      <c r="CQ85" s="294">
        <f t="shared" si="671"/>
        <v>-0.10163339382940106</v>
      </c>
      <c r="CR85" s="294">
        <f t="shared" si="671"/>
        <v>-0.15537488708220415</v>
      </c>
      <c r="CS85" s="294">
        <f t="shared" si="671"/>
        <v>-0.18926056338028174</v>
      </c>
      <c r="CT85" s="294">
        <f t="shared" si="671"/>
        <v>-0.12946859903381647</v>
      </c>
      <c r="CU85" s="294">
        <f t="shared" si="671"/>
        <v>-0.2151515151515152</v>
      </c>
      <c r="CV85" s="294">
        <f t="shared" si="671"/>
        <v>-5.0267379679144408E-2</v>
      </c>
      <c r="CW85" s="294">
        <f t="shared" ref="CW85:DF86" si="672">+CW3/CS3-1</f>
        <v>-0.17372421281216066</v>
      </c>
      <c r="CX85" s="294">
        <f t="shared" si="672"/>
        <v>-0.1520532741398446</v>
      </c>
      <c r="CY85" s="294">
        <f t="shared" si="672"/>
        <v>-0.14671814671814676</v>
      </c>
      <c r="CZ85" s="294">
        <f t="shared" si="672"/>
        <v>-0.27139639639639634</v>
      </c>
      <c r="DA85" s="294">
        <f t="shared" si="672"/>
        <v>-0.26675427069645208</v>
      </c>
      <c r="DB85" s="294">
        <f t="shared" si="672"/>
        <v>-0.37827225130890052</v>
      </c>
      <c r="DC85" s="294">
        <f t="shared" si="672"/>
        <v>-0.26546003016591246</v>
      </c>
      <c r="DD85" s="294">
        <f t="shared" si="672"/>
        <v>-0.28593508500772802</v>
      </c>
      <c r="DE85" s="294">
        <f t="shared" si="672"/>
        <v>-0.17311827956989256</v>
      </c>
      <c r="DF85" s="294">
        <f t="shared" si="672"/>
        <v>-9.6842105263157841E-2</v>
      </c>
      <c r="DG85" s="294">
        <f t="shared" ref="DG85:DN86" si="673">+DG3/DC3-1</f>
        <v>-0.10882956878850103</v>
      </c>
      <c r="DH85" s="294">
        <f t="shared" si="673"/>
        <v>-0.14935064935064934</v>
      </c>
      <c r="DI85" s="294">
        <f t="shared" si="673"/>
        <v>-9.1027308192457745E-2</v>
      </c>
      <c r="DJ85" s="294">
        <f t="shared" si="673"/>
        <v>-0.1631701631701632</v>
      </c>
      <c r="DK85" s="294">
        <f t="shared" si="673"/>
        <v>-0.19999999999999984</v>
      </c>
      <c r="DL85" s="294">
        <f t="shared" si="673"/>
        <v>-0.19999999999999996</v>
      </c>
      <c r="DM85" s="294">
        <f t="shared" si="673"/>
        <v>-0.19999999999999996</v>
      </c>
      <c r="DN85" s="294">
        <f t="shared" si="673"/>
        <v>-0.20000000000000007</v>
      </c>
      <c r="DP85" s="245"/>
      <c r="DQ85" s="245"/>
      <c r="DR85" s="245"/>
      <c r="DS85" s="245"/>
      <c r="DT85" s="245"/>
      <c r="DU85" s="245"/>
      <c r="DV85" s="245"/>
      <c r="DW85" s="245"/>
      <c r="DX85" s="245"/>
      <c r="DY85" s="245"/>
      <c r="DZ85" s="245"/>
      <c r="EA85" s="245"/>
      <c r="EB85" s="245"/>
      <c r="EC85" s="246">
        <f t="shared" ref="EC85:FE85" si="674">EC3/EB3-1</f>
        <v>0.79889042995839121</v>
      </c>
      <c r="ED85" s="246">
        <f t="shared" si="674"/>
        <v>0.33384734001542027</v>
      </c>
      <c r="EE85" s="246">
        <f t="shared" si="674"/>
        <v>0.23988439306358389</v>
      </c>
      <c r="EF85" s="246">
        <f t="shared" si="674"/>
        <v>0.18181818181818188</v>
      </c>
      <c r="EG85" s="246">
        <f t="shared" si="674"/>
        <v>0.18895463510848121</v>
      </c>
      <c r="EH85" s="246">
        <f t="shared" si="674"/>
        <v>0.10384870603848717</v>
      </c>
      <c r="EI85" s="246">
        <f t="shared" si="674"/>
        <v>0.12654042681094069</v>
      </c>
      <c r="EJ85" s="246">
        <f t="shared" si="674"/>
        <v>0.14834578441835644</v>
      </c>
      <c r="EK85" s="246">
        <f t="shared" si="674"/>
        <v>7.1096654275093041E-2</v>
      </c>
      <c r="EL85" s="246">
        <f t="shared" si="674"/>
        <v>0.19132321041214762</v>
      </c>
      <c r="EM85" s="246">
        <f t="shared" si="674"/>
        <v>0.11780772032046616</v>
      </c>
      <c r="EN85" s="246">
        <f t="shared" si="674"/>
        <v>8.6984850952923853E-2</v>
      </c>
      <c r="EO85" s="246">
        <f t="shared" si="674"/>
        <v>2.9222238873070516E-2</v>
      </c>
      <c r="EP85" s="246">
        <f t="shared" si="674"/>
        <v>3.0000000000000027E-2</v>
      </c>
      <c r="EQ85" s="246">
        <f t="shared" si="674"/>
        <v>0</v>
      </c>
      <c r="ER85" s="246">
        <f t="shared" si="674"/>
        <v>-0.10729936500217696</v>
      </c>
      <c r="ES85" s="246">
        <f t="shared" si="674"/>
        <v>-0.15661124307205065</v>
      </c>
      <c r="ET85" s="246">
        <f t="shared" si="674"/>
        <v>-0.17761922643634998</v>
      </c>
      <c r="EU85" s="246">
        <f t="shared" si="674"/>
        <v>-0.14452054794520552</v>
      </c>
      <c r="EV85" s="246">
        <f t="shared" si="674"/>
        <v>-0.14865225513744329</v>
      </c>
      <c r="EW85" s="246">
        <f t="shared" si="674"/>
        <v>-0.26551724137931032</v>
      </c>
      <c r="EX85" s="246">
        <f t="shared" si="674"/>
        <v>-0.21493811352966274</v>
      </c>
      <c r="EY85" s="246">
        <f t="shared" si="674"/>
        <v>-0.12721539632488854</v>
      </c>
      <c r="EZ85" s="246">
        <f t="shared" si="674"/>
        <v>-0.19999999999999996</v>
      </c>
      <c r="FA85" s="246">
        <f t="shared" si="674"/>
        <v>-5.0000000000000044E-2</v>
      </c>
      <c r="FB85" s="246">
        <f t="shared" si="674"/>
        <v>-5.0000000000000044E-2</v>
      </c>
      <c r="FC85" s="246">
        <f t="shared" si="674"/>
        <v>-5.0000000000000044E-2</v>
      </c>
      <c r="FD85" s="246">
        <f t="shared" si="674"/>
        <v>-5.0000000000000044E-2</v>
      </c>
      <c r="FE85" s="246">
        <f t="shared" si="674"/>
        <v>-5.0000000000000044E-2</v>
      </c>
      <c r="FF85" s="246"/>
      <c r="FG85" s="246"/>
      <c r="FH85" s="246"/>
      <c r="FI85" s="246"/>
      <c r="FJ85" s="246"/>
      <c r="FM85" s="1" t="s">
        <v>1240</v>
      </c>
      <c r="FN85" s="295">
        <f>FN84/Main!R3</f>
        <v>182.665966841965</v>
      </c>
      <c r="FQ85" s="290"/>
      <c r="FR85" s="290"/>
      <c r="FS85" s="291"/>
      <c r="FT85"/>
      <c r="FU85" s="290"/>
      <c r="FV85" s="290"/>
      <c r="FW85" s="290"/>
    </row>
    <row r="86" spans="1:179" s="279" customFormat="1" ht="12.75" customHeight="1" x14ac:dyDescent="0.2">
      <c r="A86" s="1"/>
      <c r="B86" t="s">
        <v>1626</v>
      </c>
      <c r="C86" s="282"/>
      <c r="D86" s="282"/>
      <c r="E86" s="282"/>
      <c r="F86" s="293"/>
      <c r="G86" s="293"/>
      <c r="H86" s="293"/>
      <c r="I86" s="294"/>
      <c r="J86" s="294"/>
      <c r="K86" s="294"/>
      <c r="L86" s="294"/>
      <c r="M86" s="294"/>
      <c r="N86" s="294"/>
      <c r="O86" s="294"/>
      <c r="P86" s="294"/>
      <c r="Q86" s="294"/>
      <c r="R86" s="294"/>
      <c r="S86" s="294"/>
      <c r="T86" s="294"/>
      <c r="U86" s="294"/>
      <c r="V86" s="294"/>
      <c r="W86" s="294"/>
      <c r="X86" s="294"/>
      <c r="Y86" s="294"/>
      <c r="Z86" s="294"/>
      <c r="AA86" s="294"/>
      <c r="AB86" s="294"/>
      <c r="AC86" s="294"/>
      <c r="AD86" s="294"/>
      <c r="AE86" s="294"/>
      <c r="AF86" s="294"/>
      <c r="AG86" s="294"/>
      <c r="AH86" s="294"/>
      <c r="AI86" s="294"/>
      <c r="AJ86" s="294"/>
      <c r="AK86" s="294"/>
      <c r="AL86" s="294"/>
      <c r="AM86" s="294"/>
      <c r="AN86" s="294"/>
      <c r="AO86" s="294"/>
      <c r="AP86" s="294"/>
      <c r="AQ86" s="294"/>
      <c r="AR86" s="294"/>
      <c r="AS86" s="294"/>
      <c r="AT86" s="294"/>
      <c r="AU86" s="294"/>
      <c r="AV86" s="294"/>
      <c r="AW86" s="294"/>
      <c r="AX86" s="294"/>
      <c r="AY86" s="294"/>
      <c r="AZ86" s="294"/>
      <c r="BA86" s="294"/>
      <c r="BB86" s="294"/>
      <c r="BC86" s="294"/>
      <c r="BD86" s="294"/>
      <c r="BE86" s="294"/>
      <c r="BF86" s="294"/>
      <c r="BG86" s="294"/>
      <c r="BH86" s="294"/>
      <c r="BI86" s="294"/>
      <c r="BJ86" s="294"/>
      <c r="BK86" s="294">
        <f t="shared" ref="BK86:BZ86" si="675">+BK4/BG4-1</f>
        <v>0.22105263157894739</v>
      </c>
      <c r="BL86" s="294">
        <f t="shared" si="675"/>
        <v>0.86567164179104483</v>
      </c>
      <c r="BM86" s="294">
        <f t="shared" si="675"/>
        <v>0.43410852713178305</v>
      </c>
      <c r="BN86" s="294">
        <f t="shared" si="675"/>
        <v>0.52100840336134446</v>
      </c>
      <c r="BO86" s="294">
        <f t="shared" si="675"/>
        <v>1.0431034482758621</v>
      </c>
      <c r="BP86" s="294">
        <f t="shared" si="675"/>
        <v>0.39999999999999991</v>
      </c>
      <c r="BQ86" s="294">
        <f t="shared" si="675"/>
        <v>0.43783783783783781</v>
      </c>
      <c r="BR86" s="294">
        <f t="shared" si="675"/>
        <v>0.40331491712707179</v>
      </c>
      <c r="BS86" s="294">
        <f t="shared" si="675"/>
        <v>9.2827004219409259E-2</v>
      </c>
      <c r="BT86" s="294">
        <f t="shared" si="675"/>
        <v>0.61142857142857143</v>
      </c>
      <c r="BU86" s="294">
        <f t="shared" si="675"/>
        <v>0.1278195488721805</v>
      </c>
      <c r="BV86" s="294">
        <f t="shared" si="675"/>
        <v>0.36220472440944884</v>
      </c>
      <c r="BW86" s="294">
        <f t="shared" si="675"/>
        <v>0.15830115830115821</v>
      </c>
      <c r="BX86" s="294">
        <f t="shared" si="675"/>
        <v>9.219858156028371E-2</v>
      </c>
      <c r="BY86" s="294">
        <f t="shared" si="675"/>
        <v>0.26666666666666661</v>
      </c>
      <c r="BZ86" s="294">
        <f t="shared" si="675"/>
        <v>-1.7341040462427793E-2</v>
      </c>
      <c r="CA86" s="294">
        <f t="shared" ref="CA86" si="676">+CA4/BW4-1</f>
        <v>0.30000000000000004</v>
      </c>
      <c r="CB86" s="294">
        <f t="shared" ref="CB86" si="677">+CB4/BX4-1</f>
        <v>0.45454545454545459</v>
      </c>
      <c r="CC86" s="294">
        <f t="shared" ref="CC86" si="678">+CC4/BY4-1</f>
        <v>0.26578947368421058</v>
      </c>
      <c r="CD86" s="294">
        <f t="shared" ref="CD86" si="679">+CD4/BZ4-1</f>
        <v>0.25294117647058822</v>
      </c>
      <c r="CE86" s="294">
        <f t="shared" ref="CE86" si="680">+CE4/CA4-1</f>
        <v>9.7435897435897534E-2</v>
      </c>
      <c r="CF86" s="294">
        <f t="shared" ref="CF86" si="681">+CF4/CB4-1</f>
        <v>-2.0089285714285698E-2</v>
      </c>
      <c r="CG86" s="294">
        <f t="shared" ref="CG86" si="682">+CG4/CC4-1</f>
        <v>-1.039501039501034E-2</v>
      </c>
      <c r="CH86" s="294">
        <f t="shared" ref="CH86" si="683">+CH4/CD4-1</f>
        <v>0.15023474178403751</v>
      </c>
      <c r="CI86" s="294">
        <f t="shared" ref="CI86" si="684">+CI4/CE4-1</f>
        <v>0.21028037383177578</v>
      </c>
      <c r="CJ86" s="294">
        <f t="shared" ref="CJ86" si="685">+CJ4/CF4-1</f>
        <v>0.24829157175398642</v>
      </c>
      <c r="CK86" s="294">
        <f t="shared" ref="CK86" si="686">+CK4/CG4-1</f>
        <v>0.12605042016806722</v>
      </c>
      <c r="CL86" s="294">
        <f t="shared" ref="CL86" si="687">+CL4/CH4-1</f>
        <v>-1.6326530612244872E-2</v>
      </c>
      <c r="CM86" s="294">
        <f t="shared" si="671"/>
        <v>1.158301158301156E-2</v>
      </c>
      <c r="CN86" s="294">
        <f t="shared" si="671"/>
        <v>2.7372262773722733E-2</v>
      </c>
      <c r="CO86" s="294">
        <f t="shared" si="671"/>
        <v>9.3283582089552342E-2</v>
      </c>
      <c r="CP86" s="294">
        <f t="shared" si="671"/>
        <v>6.846473029045641E-2</v>
      </c>
      <c r="CQ86" s="294">
        <f t="shared" si="671"/>
        <v>9.5419847328244156E-3</v>
      </c>
      <c r="CR86" s="294">
        <f t="shared" si="671"/>
        <v>-3.0195381882770822E-2</v>
      </c>
      <c r="CS86" s="294">
        <f t="shared" si="671"/>
        <v>1.0238907849829282E-2</v>
      </c>
      <c r="CT86" s="294">
        <f t="shared" si="671"/>
        <v>0.11844660194174761</v>
      </c>
      <c r="CU86" s="294">
        <f t="shared" si="671"/>
        <v>6.2381852551984807E-2</v>
      </c>
      <c r="CV86" s="294">
        <f t="shared" si="671"/>
        <v>6.9597069597069572E-2</v>
      </c>
      <c r="CW86" s="294">
        <f t="shared" si="672"/>
        <v>-3.5472972972973027E-2</v>
      </c>
      <c r="CX86" s="294">
        <f t="shared" si="672"/>
        <v>-2.951388888888884E-2</v>
      </c>
      <c r="CY86" s="294">
        <f t="shared" si="672"/>
        <v>1.6014234875444844E-2</v>
      </c>
      <c r="CZ86" s="294">
        <f t="shared" si="672"/>
        <v>-3.082191780821919E-2</v>
      </c>
      <c r="DA86" s="294">
        <f t="shared" si="672"/>
        <v>-4.5534150612959734E-2</v>
      </c>
      <c r="DB86" s="294">
        <f t="shared" si="672"/>
        <v>-0.10375670840787121</v>
      </c>
      <c r="DC86" s="294">
        <f t="shared" si="672"/>
        <v>-5.9544658493870362E-2</v>
      </c>
      <c r="DD86" s="294">
        <f t="shared" si="672"/>
        <v>-6.5371024734982353E-2</v>
      </c>
      <c r="DE86" s="294">
        <f t="shared" si="672"/>
        <v>0.15486238532110086</v>
      </c>
      <c r="DF86" s="294">
        <f t="shared" si="672"/>
        <v>1.9960079840319889E-3</v>
      </c>
      <c r="DG86" s="294">
        <f t="shared" si="673"/>
        <v>3.165735567970196E-2</v>
      </c>
      <c r="DH86" s="294">
        <f t="shared" si="673"/>
        <v>1.512287334593565E-2</v>
      </c>
      <c r="DI86" s="294">
        <f t="shared" si="673"/>
        <v>-0.17969494756911353</v>
      </c>
      <c r="DJ86" s="294">
        <f t="shared" si="673"/>
        <v>0.16135458167330685</v>
      </c>
      <c r="DK86" s="294">
        <f t="shared" si="673"/>
        <v>-0.1391696750902528</v>
      </c>
      <c r="DL86" s="294">
        <f t="shared" si="673"/>
        <v>-1.9925512104283172E-2</v>
      </c>
      <c r="DM86" s="294">
        <f t="shared" si="673"/>
        <v>-1.1911679256246366E-2</v>
      </c>
      <c r="DN86" s="294">
        <f t="shared" si="673"/>
        <v>-0.15868782161234996</v>
      </c>
      <c r="DP86" s="245"/>
      <c r="DQ86" s="245"/>
      <c r="DR86" s="245"/>
      <c r="DS86" s="245"/>
      <c r="DT86" s="245"/>
      <c r="DU86" s="245"/>
      <c r="DV86" s="245"/>
      <c r="DW86" s="245"/>
      <c r="DX86" s="245"/>
      <c r="DY86" s="245"/>
      <c r="DZ86" s="245"/>
      <c r="EA86" s="245"/>
      <c r="EB86" s="245"/>
      <c r="EC86" s="246"/>
      <c r="ED86" s="246"/>
      <c r="EE86" s="246"/>
      <c r="EF86" s="246"/>
      <c r="EG86" s="246"/>
      <c r="EH86" s="246"/>
      <c r="EI86" s="265" t="s">
        <v>1309</v>
      </c>
      <c r="EJ86" s="265" t="s">
        <v>1309</v>
      </c>
      <c r="EK86" s="265" t="s">
        <v>1309</v>
      </c>
      <c r="EL86" s="265" t="s">
        <v>1309</v>
      </c>
      <c r="EM86" s="246">
        <f t="shared" ref="EM86:EY86" si="688">EM4/EL4-1</f>
        <v>0.48048780487804876</v>
      </c>
      <c r="EN86" s="246">
        <f t="shared" si="688"/>
        <v>0.53542009884678743</v>
      </c>
      <c r="EO86" s="246">
        <f t="shared" si="688"/>
        <v>0.2736051502145922</v>
      </c>
      <c r="EP86" s="246">
        <f t="shared" si="688"/>
        <v>0.10000000000000009</v>
      </c>
      <c r="EQ86" s="246">
        <f t="shared" si="688"/>
        <v>5.0000000000000044E-2</v>
      </c>
      <c r="ER86" s="246">
        <f t="shared" si="688"/>
        <v>0.33699493429906213</v>
      </c>
      <c r="ES86" s="246">
        <f t="shared" si="688"/>
        <v>0.13693398799781775</v>
      </c>
      <c r="ET86" s="246">
        <f t="shared" si="688"/>
        <v>4.9904030710172798E-2</v>
      </c>
      <c r="EU86" s="246">
        <f t="shared" si="688"/>
        <v>2.5137111517367527E-2</v>
      </c>
      <c r="EV86" s="246">
        <f t="shared" si="688"/>
        <v>1.471243869817207E-2</v>
      </c>
      <c r="EW86" s="246">
        <f t="shared" si="688"/>
        <v>-4.0861159929701185E-2</v>
      </c>
      <c r="EX86" s="246">
        <f t="shared" si="688"/>
        <v>6.5964269354099603E-3</v>
      </c>
      <c r="EY86" s="246">
        <f t="shared" si="688"/>
        <v>-3.2310912897060007E-3</v>
      </c>
      <c r="EZ86" s="246"/>
      <c r="FA86" s="246"/>
      <c r="FB86" s="246"/>
      <c r="FC86" s="246"/>
      <c r="FD86" s="246"/>
      <c r="FE86" s="246"/>
      <c r="FF86" s="246"/>
      <c r="FG86" s="246"/>
      <c r="FH86" s="246"/>
      <c r="FI86" s="246"/>
      <c r="FJ86" s="246"/>
      <c r="FM86" t="s">
        <v>1239</v>
      </c>
      <c r="FN86" s="3">
        <f>FN85/170-1</f>
        <v>7.4505687305676416E-2</v>
      </c>
      <c r="FQ86" s="290"/>
      <c r="FR86" s="290"/>
      <c r="FS86" s="291"/>
      <c r="FT86"/>
      <c r="FU86" s="290"/>
      <c r="FV86" s="290"/>
      <c r="FW86" s="290"/>
    </row>
    <row r="87" spans="1:179" s="279" customFormat="1" ht="12.75" customHeight="1" x14ac:dyDescent="0.2">
      <c r="A87" s="1"/>
      <c r="B87" t="s">
        <v>1625</v>
      </c>
      <c r="C87" s="282"/>
      <c r="D87" s="282"/>
      <c r="E87" s="282"/>
      <c r="F87" s="293"/>
      <c r="G87" s="293"/>
      <c r="H87" s="293"/>
      <c r="I87" s="294"/>
      <c r="J87" s="294"/>
      <c r="K87" s="294"/>
      <c r="L87" s="294"/>
      <c r="M87" s="294"/>
      <c r="N87" s="294"/>
      <c r="O87" s="294"/>
      <c r="P87" s="294"/>
      <c r="Q87" s="294"/>
      <c r="R87" s="294"/>
      <c r="S87" s="294"/>
      <c r="T87" s="294"/>
      <c r="U87" s="294"/>
      <c r="V87" s="294"/>
      <c r="W87" s="294"/>
      <c r="X87" s="294"/>
      <c r="Y87" s="294"/>
      <c r="Z87" s="294"/>
      <c r="AA87" s="294"/>
      <c r="AB87" s="294"/>
      <c r="AC87" s="294"/>
      <c r="AD87" s="294"/>
      <c r="AE87" s="294"/>
      <c r="AF87" s="294"/>
      <c r="AG87" s="294"/>
      <c r="AH87" s="294"/>
      <c r="AI87" s="294"/>
      <c r="AJ87" s="294"/>
      <c r="AK87" s="294"/>
      <c r="AL87" s="294"/>
      <c r="AM87" s="294"/>
      <c r="AN87" s="294"/>
      <c r="AO87" s="294"/>
      <c r="AP87" s="294"/>
      <c r="AQ87" s="294"/>
      <c r="AR87" s="294"/>
      <c r="AS87" s="294"/>
      <c r="AT87" s="294"/>
      <c r="AU87" s="294"/>
      <c r="AV87" s="294"/>
      <c r="AW87" s="294"/>
      <c r="AX87" s="294"/>
      <c r="AY87" s="294"/>
      <c r="AZ87" s="294"/>
      <c r="BA87" s="294"/>
      <c r="BB87" s="294"/>
      <c r="BC87" s="294"/>
      <c r="BD87" s="294"/>
      <c r="BE87" s="294"/>
      <c r="BF87" s="294"/>
      <c r="BG87" s="294"/>
      <c r="BH87" s="294"/>
      <c r="BI87" s="294" t="s">
        <v>1309</v>
      </c>
      <c r="BJ87" s="294" t="s">
        <v>1309</v>
      </c>
      <c r="BK87" s="294">
        <f t="shared" ref="BK87:BZ87" si="689">+BK6/BG6-1</f>
        <v>0.33132530120481918</v>
      </c>
      <c r="BL87" s="294">
        <f t="shared" si="689"/>
        <v>0.40909090909090917</v>
      </c>
      <c r="BM87" s="294">
        <f t="shared" si="689"/>
        <v>0.5185185185185186</v>
      </c>
      <c r="BN87" s="294">
        <f t="shared" si="689"/>
        <v>0.29951690821256038</v>
      </c>
      <c r="BO87" s="294">
        <f t="shared" si="689"/>
        <v>0.56561085972850678</v>
      </c>
      <c r="BP87" s="294">
        <f t="shared" si="689"/>
        <v>0.49596774193548376</v>
      </c>
      <c r="BQ87" s="294">
        <f t="shared" si="689"/>
        <v>0.28919860627177707</v>
      </c>
      <c r="BR87" s="294">
        <f t="shared" si="689"/>
        <v>0.55018587360594795</v>
      </c>
      <c r="BS87" s="294">
        <f t="shared" si="689"/>
        <v>0.31791907514450868</v>
      </c>
      <c r="BT87" s="294">
        <f t="shared" si="689"/>
        <v>0.42318059299191368</v>
      </c>
      <c r="BU87" s="294">
        <f t="shared" si="689"/>
        <v>0.46756756756756768</v>
      </c>
      <c r="BV87" s="294">
        <f t="shared" si="689"/>
        <v>0.30695443645083942</v>
      </c>
      <c r="BW87" s="294">
        <f t="shared" si="689"/>
        <v>0.20394736842105265</v>
      </c>
      <c r="BX87" s="294">
        <f t="shared" si="689"/>
        <v>7.9545454545454586E-2</v>
      </c>
      <c r="BY87" s="294">
        <f t="shared" si="689"/>
        <v>0.1289134438305708</v>
      </c>
      <c r="BZ87" s="294">
        <f t="shared" si="689"/>
        <v>0.36146788990825685</v>
      </c>
      <c r="CA87" s="294">
        <f t="shared" ref="CA87" si="690">+CA6/BW6-1</f>
        <v>0.33879781420765021</v>
      </c>
      <c r="CB87" s="294">
        <f t="shared" ref="CB87" si="691">+CB6/BX6-1</f>
        <v>0.41052631578947363</v>
      </c>
      <c r="CC87" s="294">
        <f t="shared" ref="CC87" si="692">+CC6/BY6-1</f>
        <v>0.32789559543230018</v>
      </c>
      <c r="CD87" s="294">
        <f t="shared" ref="CD87" si="693">+CD6/BZ6-1</f>
        <v>0.18463611859838269</v>
      </c>
      <c r="CE87" s="294">
        <f t="shared" ref="CE87" si="694">+CE6/CA6-1</f>
        <v>0.11972789115646254</v>
      </c>
      <c r="CF87" s="294">
        <f t="shared" ref="CF87" si="695">+CF6/CB6-1</f>
        <v>0.22263681592039797</v>
      </c>
      <c r="CG87" s="294">
        <f t="shared" ref="CG87" si="696">+CG6/CC6-1</f>
        <v>0.38083538083538082</v>
      </c>
      <c r="CH87" s="294">
        <f t="shared" ref="CH87" si="697">+CH6/CD6-1</f>
        <v>0.22980659840728102</v>
      </c>
      <c r="CI87" s="294">
        <f t="shared" ref="CI87" si="698">+CI6/CE6-1</f>
        <v>0.28918590522478738</v>
      </c>
      <c r="CJ87" s="294">
        <f t="shared" ref="CJ87" si="699">+CJ6/CF6-1</f>
        <v>0.36419125127161744</v>
      </c>
      <c r="CK87" s="294">
        <f t="shared" ref="CK87" si="700">+CK6/CG6-1</f>
        <v>0.16548042704626331</v>
      </c>
      <c r="CL87" s="294">
        <f t="shared" ref="CL87" si="701">+CL6/CH6-1</f>
        <v>0.3358001850138761</v>
      </c>
      <c r="CM87" s="294">
        <f t="shared" ref="CM87:DG87" si="702">+CM6/CI6-1</f>
        <v>0.32422243166823761</v>
      </c>
      <c r="CN87" s="294">
        <f t="shared" si="702"/>
        <v>0.16181953765846391</v>
      </c>
      <c r="CO87" s="294">
        <f t="shared" si="702"/>
        <v>0.29618320610687032</v>
      </c>
      <c r="CP87" s="294">
        <f t="shared" si="702"/>
        <v>0.17728531855955687</v>
      </c>
      <c r="CQ87" s="294">
        <f t="shared" si="702"/>
        <v>0.29466192170818495</v>
      </c>
      <c r="CR87" s="294">
        <f t="shared" si="702"/>
        <v>8.9216944801026932E-2</v>
      </c>
      <c r="CS87" s="294">
        <f t="shared" si="702"/>
        <v>0.14664310954063597</v>
      </c>
      <c r="CT87" s="294">
        <f t="shared" si="702"/>
        <v>0.32000000000000006</v>
      </c>
      <c r="CU87" s="294">
        <f t="shared" si="702"/>
        <v>0.18086860912589331</v>
      </c>
      <c r="CV87" s="294">
        <f t="shared" si="702"/>
        <v>0.34001178550383027</v>
      </c>
      <c r="CW87" s="294">
        <f t="shared" si="702"/>
        <v>0.2213662044170519</v>
      </c>
      <c r="CX87" s="294">
        <f t="shared" si="702"/>
        <v>4.0106951871657692E-2</v>
      </c>
      <c r="CY87" s="294">
        <f t="shared" si="702"/>
        <v>6.5176908752327734E-2</v>
      </c>
      <c r="CZ87" s="294">
        <f t="shared" si="702"/>
        <v>0.14291996481970104</v>
      </c>
      <c r="DA87" s="294">
        <f t="shared" si="702"/>
        <v>2.9857022708158043E-2</v>
      </c>
      <c r="DB87" s="294">
        <f t="shared" si="702"/>
        <v>2.227934875749793E-2</v>
      </c>
      <c r="DC87" s="294">
        <f t="shared" si="702"/>
        <v>6.8181818181818121E-2</v>
      </c>
      <c r="DD87" s="294">
        <f t="shared" si="702"/>
        <v>7.6183147364370818E-2</v>
      </c>
      <c r="DE87" s="294">
        <f t="shared" si="702"/>
        <v>0.16962025316455698</v>
      </c>
      <c r="DF87" s="294">
        <f t="shared" si="702"/>
        <v>0.15381391450125736</v>
      </c>
      <c r="DG87" s="294">
        <f t="shared" si="702"/>
        <v>2.864157119476296E-3</v>
      </c>
      <c r="DH87" s="294">
        <f t="shared" ref="DH87" si="703">+DH6/DD6-1</f>
        <v>3.1462281015373517E-2</v>
      </c>
      <c r="DI87" s="294">
        <f t="shared" ref="DI87" si="704">+DI6/DE6-1</f>
        <v>-6.5633291439743058E-2</v>
      </c>
      <c r="DJ87" s="294">
        <f t="shared" ref="DJ87" si="705">+DJ6/DF6-1</f>
        <v>-0.14674900108972033</v>
      </c>
      <c r="DK87" s="294">
        <f t="shared" ref="DK87" si="706">+DK6/DG6-1</f>
        <v>-0.25</v>
      </c>
      <c r="DL87" s="294">
        <f t="shared" ref="DL87" si="707">+DL6/DH6-1</f>
        <v>-0.4</v>
      </c>
      <c r="DM87" s="294">
        <f t="shared" ref="DM87" si="708">+DM6/DI6-1</f>
        <v>-0.4</v>
      </c>
      <c r="DN87" s="294">
        <f t="shared" ref="DN87" si="709">+DN6/DJ6-1</f>
        <v>-0.5</v>
      </c>
      <c r="DP87" s="245"/>
      <c r="DQ87" s="245"/>
      <c r="DR87" s="245"/>
      <c r="DS87" s="245"/>
      <c r="DT87" s="245"/>
      <c r="DU87" s="245"/>
      <c r="DV87" s="245"/>
      <c r="DW87" s="245"/>
      <c r="DX87" s="245"/>
      <c r="DY87" s="245"/>
      <c r="DZ87" s="245"/>
      <c r="EA87" s="245"/>
      <c r="EB87" s="245"/>
      <c r="EC87" s="246"/>
      <c r="ED87" s="246"/>
      <c r="EE87" s="246"/>
      <c r="EF87" s="246"/>
      <c r="EG87" s="246"/>
      <c r="EH87" s="246"/>
      <c r="EI87" s="246"/>
      <c r="EJ87" s="246"/>
      <c r="EK87" s="265" t="s">
        <v>1309</v>
      </c>
      <c r="EL87" s="265" t="s">
        <v>1309</v>
      </c>
      <c r="EM87" s="246">
        <f t="shared" ref="EM87:EY87" si="710">EM6/EL6-1</f>
        <v>0.38888888888888884</v>
      </c>
      <c r="EN87" s="246">
        <f t="shared" si="710"/>
        <v>0.46731707317073168</v>
      </c>
      <c r="EO87" s="246">
        <f t="shared" si="710"/>
        <v>0.37765957446808507</v>
      </c>
      <c r="EP87" s="246">
        <f t="shared" si="710"/>
        <v>0.14999999999999991</v>
      </c>
      <c r="EQ87" s="246">
        <f t="shared" si="710"/>
        <v>-1</v>
      </c>
      <c r="ER87" s="246" t="e">
        <f t="shared" si="710"/>
        <v>#DIV/0!</v>
      </c>
      <c r="ES87" s="246">
        <f t="shared" si="710"/>
        <v>0.28546497132884574</v>
      </c>
      <c r="ET87" s="246">
        <f t="shared" si="710"/>
        <v>0.23370830100853368</v>
      </c>
      <c r="EU87" s="246">
        <f t="shared" si="710"/>
        <v>0.21160194937902843</v>
      </c>
      <c r="EV87" s="246">
        <f t="shared" si="710"/>
        <v>0.18515635136888542</v>
      </c>
      <c r="EW87" s="246">
        <f t="shared" si="710"/>
        <v>6.4374863148675354E-2</v>
      </c>
      <c r="EX87" s="246">
        <f t="shared" si="710"/>
        <v>0.11688952890351767</v>
      </c>
      <c r="EY87" s="246">
        <f t="shared" si="710"/>
        <v>-4.5771015987622454E-2</v>
      </c>
      <c r="EZ87" s="246"/>
      <c r="FA87" s="246"/>
      <c r="FB87" s="246"/>
      <c r="FC87" s="246"/>
      <c r="FD87" s="246"/>
      <c r="FE87" s="246"/>
      <c r="FF87" s="246"/>
      <c r="FG87" s="246"/>
      <c r="FH87" s="246"/>
      <c r="FI87" s="246"/>
      <c r="FJ87" s="246"/>
      <c r="FM87"/>
      <c r="FN87" s="292"/>
      <c r="FQ87" s="290"/>
      <c r="FR87" s="290"/>
      <c r="FS87" s="291"/>
      <c r="FT87"/>
      <c r="FU87" s="290"/>
      <c r="FV87" s="290"/>
      <c r="FW87" s="290"/>
    </row>
    <row r="88" spans="1:179" s="279" customFormat="1" ht="12.75" customHeight="1" x14ac:dyDescent="0.2">
      <c r="A88" s="1"/>
      <c r="B88" t="s">
        <v>1687</v>
      </c>
      <c r="C88" s="282"/>
      <c r="D88" s="282"/>
      <c r="E88" s="282"/>
      <c r="F88" s="293"/>
      <c r="G88" s="293"/>
      <c r="H88" s="293"/>
      <c r="I88" s="294"/>
      <c r="J88" s="294"/>
      <c r="K88" s="294"/>
      <c r="L88" s="294"/>
      <c r="M88" s="294"/>
      <c r="N88" s="294"/>
      <c r="O88" s="294"/>
      <c r="P88" s="294"/>
      <c r="Q88" s="294"/>
      <c r="R88" s="294"/>
      <c r="S88" s="294"/>
      <c r="T88" s="294"/>
      <c r="U88" s="294"/>
      <c r="V88" s="294"/>
      <c r="W88" s="294"/>
      <c r="X88" s="294"/>
      <c r="Y88" s="294"/>
      <c r="Z88" s="294"/>
      <c r="AA88" s="294"/>
      <c r="AB88" s="294"/>
      <c r="AC88" s="294"/>
      <c r="AD88" s="294"/>
      <c r="AE88" s="294"/>
      <c r="AF88" s="294"/>
      <c r="AG88" s="294"/>
      <c r="AH88" s="294"/>
      <c r="AI88" s="294"/>
      <c r="AJ88" s="294"/>
      <c r="AK88" s="294"/>
      <c r="AL88" s="294"/>
      <c r="AM88" s="294"/>
      <c r="AN88" s="294"/>
      <c r="AO88" s="294"/>
      <c r="AP88" s="294"/>
      <c r="AQ88" s="294"/>
      <c r="AR88" s="294"/>
      <c r="AS88" s="294"/>
      <c r="AT88" s="294"/>
      <c r="AU88" s="294"/>
      <c r="AV88" s="294"/>
      <c r="AW88" s="294"/>
      <c r="AX88" s="294"/>
      <c r="AY88" s="294"/>
      <c r="AZ88" s="294"/>
      <c r="BA88" s="294"/>
      <c r="BB88" s="294"/>
      <c r="BC88" s="294"/>
      <c r="BD88" s="294"/>
      <c r="BE88" s="294"/>
      <c r="BF88" s="294"/>
      <c r="BG88" s="294"/>
      <c r="BH88" s="294"/>
      <c r="BI88" s="294"/>
      <c r="BJ88" s="294"/>
      <c r="BK88" s="294"/>
      <c r="BL88" s="294"/>
      <c r="BM88" s="294"/>
      <c r="BN88" s="294"/>
      <c r="BO88" s="294"/>
      <c r="BP88" s="294"/>
      <c r="BQ88" s="294"/>
      <c r="BR88" s="294"/>
      <c r="BS88" s="294"/>
      <c r="BT88" s="294"/>
      <c r="BU88" s="294"/>
      <c r="BV88" s="294"/>
      <c r="BW88" s="294"/>
      <c r="BX88" s="294"/>
      <c r="BY88" s="294"/>
      <c r="BZ88" s="294"/>
      <c r="CA88" s="294"/>
      <c r="CB88" s="294"/>
      <c r="CC88" s="294"/>
      <c r="CD88" s="294"/>
      <c r="CE88" s="294"/>
      <c r="CF88" s="294"/>
      <c r="CG88" s="294"/>
      <c r="CH88" s="294"/>
      <c r="CI88" s="294"/>
      <c r="CJ88" s="294"/>
      <c r="CK88" s="294"/>
      <c r="CL88" s="294">
        <f t="shared" ref="CL88" si="711">+CL5/CH5-1</f>
        <v>2.7234042553191489</v>
      </c>
      <c r="CM88" s="294">
        <f t="shared" ref="CM88:DG88" si="712">+CM5/CI5-1</f>
        <v>2.0138888888888888</v>
      </c>
      <c r="CN88" s="294">
        <f t="shared" si="712"/>
        <v>0.86507936507936511</v>
      </c>
      <c r="CO88" s="294">
        <f t="shared" si="712"/>
        <v>0.69590643274853803</v>
      </c>
      <c r="CP88" s="294">
        <f t="shared" si="712"/>
        <v>0.54285714285714293</v>
      </c>
      <c r="CQ88" s="294">
        <f t="shared" si="712"/>
        <v>0.3640552995391706</v>
      </c>
      <c r="CR88" s="294">
        <f t="shared" si="712"/>
        <v>0.45531914893617031</v>
      </c>
      <c r="CS88" s="294">
        <f t="shared" si="712"/>
        <v>0.12758620689655165</v>
      </c>
      <c r="CT88" s="294">
        <f t="shared" si="712"/>
        <v>0.41481481481481475</v>
      </c>
      <c r="CU88" s="294">
        <f t="shared" si="712"/>
        <v>0.41216216216216206</v>
      </c>
      <c r="CV88" s="294">
        <f t="shared" si="712"/>
        <v>0.40058479532163749</v>
      </c>
      <c r="CW88" s="294">
        <f t="shared" si="712"/>
        <v>0.64220183486238525</v>
      </c>
      <c r="CX88" s="294">
        <f t="shared" si="712"/>
        <v>0.81413612565445037</v>
      </c>
      <c r="CY88" s="294">
        <f t="shared" si="712"/>
        <v>0.41148325358851667</v>
      </c>
      <c r="CZ88" s="294">
        <f t="shared" si="712"/>
        <v>0.24634655532359084</v>
      </c>
      <c r="DA88" s="294">
        <f t="shared" si="712"/>
        <v>0.35754189944134085</v>
      </c>
      <c r="DB88" s="294">
        <f t="shared" si="712"/>
        <v>8.5137085137085178E-2</v>
      </c>
      <c r="DC88" s="294">
        <f t="shared" si="712"/>
        <v>8.4745762711864403E-2</v>
      </c>
      <c r="DD88" s="294">
        <f t="shared" si="712"/>
        <v>0.18257956448911217</v>
      </c>
      <c r="DE88" s="294">
        <f t="shared" si="712"/>
        <v>0.22263374485596699</v>
      </c>
      <c r="DF88" s="294">
        <f t="shared" si="712"/>
        <v>0.21010638297872331</v>
      </c>
      <c r="DG88" s="294">
        <f t="shared" si="712"/>
        <v>0.26249999999999996</v>
      </c>
      <c r="DH88" s="294">
        <f t="shared" ref="DH88" si="713">+DH5/DD5-1</f>
        <v>0.28328611898016987</v>
      </c>
      <c r="DI88" s="294">
        <f t="shared" ref="DI88" si="714">+DI5/DE5-1</f>
        <v>0.13014697632671379</v>
      </c>
      <c r="DJ88" s="294">
        <f t="shared" ref="DJ88" si="715">+DJ5/DF5-1</f>
        <v>4.2857142857142927E-2</v>
      </c>
      <c r="DK88" s="294">
        <f t="shared" ref="DK88" si="716">+DK5/DG5-1</f>
        <v>0.25</v>
      </c>
      <c r="DL88" s="294">
        <f t="shared" ref="DL88" si="717">+DL5/DH5-1</f>
        <v>0.25</v>
      </c>
      <c r="DM88" s="294">
        <f t="shared" ref="DM88" si="718">+DM5/DI5-1</f>
        <v>0.25</v>
      </c>
      <c r="DN88" s="294">
        <f t="shared" ref="DN88" si="719">+DN5/DJ5-1</f>
        <v>0.25</v>
      </c>
      <c r="DP88" s="245"/>
      <c r="DQ88" s="245"/>
      <c r="DR88" s="245"/>
      <c r="DS88" s="245"/>
      <c r="DT88" s="245"/>
      <c r="DU88" s="245"/>
      <c r="DV88" s="245"/>
      <c r="DW88" s="245"/>
      <c r="DX88" s="245"/>
      <c r="DY88" s="245"/>
      <c r="DZ88" s="245"/>
      <c r="EA88" s="245"/>
      <c r="EB88" s="245"/>
      <c r="EC88" s="246"/>
      <c r="ED88" s="246"/>
      <c r="EE88" s="246"/>
      <c r="EF88" s="246"/>
      <c r="EG88" s="246"/>
      <c r="EH88" s="246"/>
      <c r="EI88" s="246"/>
      <c r="EJ88" s="246"/>
      <c r="EK88" s="265"/>
      <c r="EL88" s="265"/>
      <c r="EM88" s="246"/>
      <c r="EN88" s="246"/>
      <c r="EO88" s="246"/>
      <c r="EP88" s="246"/>
      <c r="EQ88" s="246"/>
      <c r="ER88" s="246"/>
      <c r="ES88" s="246"/>
      <c r="ET88" s="246"/>
      <c r="EU88" s="246"/>
      <c r="EV88" s="246"/>
      <c r="EW88" s="246"/>
      <c r="EX88" s="246"/>
      <c r="EY88" s="246"/>
      <c r="EZ88" s="246"/>
      <c r="FA88" s="246"/>
      <c r="FB88" s="246"/>
      <c r="FC88" s="246"/>
      <c r="FD88" s="246"/>
      <c r="FE88" s="246"/>
      <c r="FF88" s="246"/>
      <c r="FG88" s="246"/>
      <c r="FH88" s="246"/>
      <c r="FI88" s="246"/>
      <c r="FJ88" s="246"/>
      <c r="FM88"/>
      <c r="FN88" s="292"/>
      <c r="FQ88" s="290"/>
      <c r="FR88" s="290"/>
      <c r="FS88" s="291"/>
      <c r="FT88"/>
      <c r="FU88" s="290"/>
      <c r="FV88" s="290"/>
      <c r="FW88" s="290"/>
    </row>
    <row r="89" spans="1:179" s="279" customFormat="1" ht="12.75" customHeight="1" x14ac:dyDescent="0.2">
      <c r="A89" s="1"/>
      <c r="B89" t="s">
        <v>1688</v>
      </c>
      <c r="C89" s="282"/>
      <c r="D89" s="282"/>
      <c r="E89" s="282"/>
      <c r="F89" s="293"/>
      <c r="G89" s="293"/>
      <c r="H89" s="293"/>
      <c r="I89" s="294"/>
      <c r="J89" s="294"/>
      <c r="K89" s="294"/>
      <c r="L89" s="294"/>
      <c r="M89" s="294"/>
      <c r="N89" s="294"/>
      <c r="O89" s="294"/>
      <c r="P89" s="294"/>
      <c r="Q89" s="294"/>
      <c r="R89" s="294"/>
      <c r="S89" s="294"/>
      <c r="T89" s="294"/>
      <c r="U89" s="294"/>
      <c r="V89" s="294"/>
      <c r="W89" s="294"/>
      <c r="X89" s="294"/>
      <c r="Y89" s="294"/>
      <c r="Z89" s="294"/>
      <c r="AA89" s="294"/>
      <c r="AB89" s="294"/>
      <c r="AC89" s="294"/>
      <c r="AD89" s="294"/>
      <c r="AE89" s="294"/>
      <c r="AF89" s="294"/>
      <c r="AG89" s="294"/>
      <c r="AH89" s="294"/>
      <c r="AI89" s="294"/>
      <c r="AJ89" s="294"/>
      <c r="AK89" s="294"/>
      <c r="AL89" s="294"/>
      <c r="AM89" s="294"/>
      <c r="AN89" s="294"/>
      <c r="AO89" s="294"/>
      <c r="AP89" s="294"/>
      <c r="AQ89" s="294"/>
      <c r="AR89" s="294"/>
      <c r="AS89" s="294"/>
      <c r="AT89" s="294"/>
      <c r="AU89" s="294"/>
      <c r="AV89" s="294"/>
      <c r="AW89" s="294"/>
      <c r="AX89" s="294"/>
      <c r="AY89" s="294"/>
      <c r="AZ89" s="294"/>
      <c r="BA89" s="294"/>
      <c r="BB89" s="294"/>
      <c r="BC89" s="294"/>
      <c r="BD89" s="294"/>
      <c r="BE89" s="294"/>
      <c r="BF89" s="294"/>
      <c r="BG89" s="294"/>
      <c r="BH89" s="294"/>
      <c r="BI89" s="294"/>
      <c r="BJ89" s="294"/>
      <c r="BK89" s="294"/>
      <c r="BL89" s="294"/>
      <c r="BM89" s="294"/>
      <c r="BN89" s="294"/>
      <c r="BO89" s="294"/>
      <c r="BP89" s="294"/>
      <c r="BQ89" s="294"/>
      <c r="BR89" s="294"/>
      <c r="BS89" s="294"/>
      <c r="BT89" s="294"/>
      <c r="BU89" s="294"/>
      <c r="BV89" s="294"/>
      <c r="BW89" s="294"/>
      <c r="BX89" s="294"/>
      <c r="BY89" s="294"/>
      <c r="BZ89" s="294"/>
      <c r="CA89" s="294"/>
      <c r="CB89" s="294"/>
      <c r="CC89" s="294"/>
      <c r="CD89" s="294"/>
      <c r="CE89" s="294"/>
      <c r="CF89" s="294">
        <f t="shared" ref="CF89" si="720">CF11/CB11-1</f>
        <v>-2.024922118380057E-2</v>
      </c>
      <c r="CG89" s="294">
        <f t="shared" ref="CG89" si="721">CG11/CC11-1</f>
        <v>0</v>
      </c>
      <c r="CH89" s="294">
        <f t="shared" ref="CH89" si="722">CH11/CD11-1</f>
        <v>8.1123244929797167E-2</v>
      </c>
      <c r="CI89" s="294">
        <f t="shared" ref="CI89" si="723">CI11/CE11-1</f>
        <v>0.15231788079470188</v>
      </c>
      <c r="CJ89" s="294">
        <f t="shared" ref="CJ89" si="724">CJ11/CF11-1</f>
        <v>0.14467408585055641</v>
      </c>
      <c r="CK89" s="294">
        <f t="shared" ref="CK89" si="725">CK11/CG11-1</f>
        <v>0.16485225505443224</v>
      </c>
      <c r="CL89" s="294">
        <f t="shared" ref="CL89" si="726">CL11/CH11-1</f>
        <v>0.10101010101010099</v>
      </c>
      <c r="CM89" s="294">
        <f t="shared" ref="CM89:DG89" si="727">CM11/CI11-1</f>
        <v>0.13505747126436773</v>
      </c>
      <c r="CN89" s="294">
        <f t="shared" si="727"/>
        <v>0.13611111111111107</v>
      </c>
      <c r="CO89" s="294">
        <f t="shared" si="727"/>
        <v>0.13618157543391196</v>
      </c>
      <c r="CP89" s="294">
        <f t="shared" si="727"/>
        <v>0.1415465268676277</v>
      </c>
      <c r="CQ89" s="294">
        <f t="shared" si="727"/>
        <v>0.11772151898734173</v>
      </c>
      <c r="CR89" s="294">
        <f t="shared" si="727"/>
        <v>7.457212713936423E-2</v>
      </c>
      <c r="CS89" s="294">
        <f t="shared" si="727"/>
        <v>8.8131609870740313E-2</v>
      </c>
      <c r="CT89" s="294">
        <f t="shared" si="727"/>
        <v>0.10792192881745111</v>
      </c>
      <c r="CU89" s="294">
        <f t="shared" si="727"/>
        <v>9.2865232163080513E-2</v>
      </c>
      <c r="CV89" s="294">
        <f t="shared" si="727"/>
        <v>0.16496018202502838</v>
      </c>
      <c r="CW89" s="294">
        <f t="shared" si="727"/>
        <v>8.4233261339092813E-2</v>
      </c>
      <c r="CX89" s="294">
        <f t="shared" si="727"/>
        <v>6.6321243523316031E-2</v>
      </c>
      <c r="CY89" s="294">
        <f t="shared" si="727"/>
        <v>8.6010362694300513E-2</v>
      </c>
      <c r="CZ89" s="294">
        <f t="shared" si="727"/>
        <v>2.9296875E-2</v>
      </c>
      <c r="DA89" s="294">
        <f t="shared" si="727"/>
        <v>2.6892430278884438E-2</v>
      </c>
      <c r="DB89" s="294">
        <f t="shared" si="727"/>
        <v>-2.0408163265306145E-2</v>
      </c>
      <c r="DC89" s="294">
        <f t="shared" si="727"/>
        <v>-3.8167938931297218E-3</v>
      </c>
      <c r="DD89" s="294">
        <f t="shared" si="727"/>
        <v>-2.1821631878557901E-2</v>
      </c>
      <c r="DE89" s="294">
        <f t="shared" si="727"/>
        <v>-1.9398642095053154E-3</v>
      </c>
      <c r="DF89" s="294">
        <f t="shared" si="727"/>
        <v>2.9761904761904656E-3</v>
      </c>
      <c r="DG89" s="294">
        <f t="shared" si="727"/>
        <v>1.1494252873563315E-2</v>
      </c>
      <c r="DH89" s="294">
        <f t="shared" ref="DH89" si="728">DH11/DD11-1</f>
        <v>2.2308438409311293E-2</v>
      </c>
      <c r="DI89" s="294">
        <f t="shared" ref="DI89" si="729">DI11/DE11-1</f>
        <v>1.9825072886297423E-2</v>
      </c>
      <c r="DJ89" s="294">
        <f t="shared" ref="DJ89" si="730">DJ11/DF11-1</f>
        <v>5.143422354104854E-2</v>
      </c>
      <c r="DK89" s="294">
        <f t="shared" ref="DK89" si="731">DK11/DG11-1</f>
        <v>1.0000000000000009E-2</v>
      </c>
      <c r="DL89" s="294">
        <f t="shared" ref="DL89" si="732">DL11/DH11-1</f>
        <v>1.0000000000000009E-2</v>
      </c>
      <c r="DM89" s="294">
        <f t="shared" ref="DM89" si="733">DM11/DI11-1</f>
        <v>1.0000000000000009E-2</v>
      </c>
      <c r="DN89" s="294">
        <f t="shared" ref="DN89" si="734">DN11/DJ11-1</f>
        <v>1.0000000000000009E-2</v>
      </c>
      <c r="DP89" s="245"/>
      <c r="DQ89" s="245"/>
      <c r="DR89" s="245"/>
      <c r="DS89" s="245"/>
      <c r="DT89" s="245"/>
      <c r="DU89" s="245"/>
      <c r="DV89" s="245"/>
      <c r="DW89" s="245"/>
      <c r="DX89" s="245"/>
      <c r="DY89" s="245"/>
      <c r="DZ89" s="245"/>
      <c r="EA89" s="245"/>
      <c r="EB89" s="245"/>
      <c r="EC89" s="246"/>
      <c r="ED89" s="246"/>
      <c r="EE89" s="246"/>
      <c r="EF89" s="246"/>
      <c r="EG89" s="246"/>
      <c r="EH89" s="246"/>
      <c r="EI89" s="246"/>
      <c r="EJ89" s="246"/>
      <c r="EK89" s="265"/>
      <c r="EL89" s="265"/>
      <c r="EM89" s="246"/>
      <c r="EN89" s="246"/>
      <c r="EO89" s="246"/>
      <c r="EP89" s="246"/>
      <c r="EQ89" s="246"/>
      <c r="ER89" s="246"/>
      <c r="ES89" s="246"/>
      <c r="ET89" s="246"/>
      <c r="EU89" s="246"/>
      <c r="EV89" s="246"/>
      <c r="EW89" s="246"/>
      <c r="EX89" s="246"/>
      <c r="EY89" s="246"/>
      <c r="EZ89" s="246"/>
      <c r="FA89" s="246"/>
      <c r="FB89" s="246"/>
      <c r="FC89" s="246"/>
      <c r="FD89" s="246"/>
      <c r="FE89" s="246"/>
      <c r="FF89" s="246"/>
      <c r="FG89" s="246"/>
      <c r="FH89" s="246"/>
      <c r="FI89" s="246"/>
      <c r="FJ89" s="246"/>
      <c r="FM89"/>
      <c r="FN89" s="292"/>
      <c r="FQ89" s="290"/>
      <c r="FR89" s="290"/>
      <c r="FS89" s="291"/>
      <c r="FT89"/>
      <c r="FU89" s="290"/>
      <c r="FV89" s="290"/>
      <c r="FW89" s="290"/>
    </row>
    <row r="90" spans="1:179" s="279" customFormat="1" ht="12.75" customHeight="1" x14ac:dyDescent="0.2">
      <c r="A90" s="1"/>
      <c r="B90" t="s">
        <v>1685</v>
      </c>
      <c r="C90" s="282"/>
      <c r="D90" s="282"/>
      <c r="E90" s="282"/>
      <c r="F90" s="293"/>
      <c r="G90" s="293"/>
      <c r="H90" s="293"/>
      <c r="I90" s="294"/>
      <c r="J90" s="294"/>
      <c r="K90" s="294"/>
      <c r="L90" s="294"/>
      <c r="M90" s="294"/>
      <c r="N90" s="294"/>
      <c r="O90" s="294"/>
      <c r="P90" s="294"/>
      <c r="Q90" s="294"/>
      <c r="R90" s="294"/>
      <c r="S90" s="294"/>
      <c r="T90" s="294"/>
      <c r="U90" s="294"/>
      <c r="V90" s="294"/>
      <c r="W90" s="294"/>
      <c r="X90" s="294"/>
      <c r="Y90" s="294"/>
      <c r="Z90" s="294"/>
      <c r="AA90" s="294"/>
      <c r="AB90" s="294"/>
      <c r="AC90" s="294"/>
      <c r="AD90" s="294"/>
      <c r="AE90" s="294"/>
      <c r="AF90" s="294"/>
      <c r="AG90" s="294"/>
      <c r="AH90" s="294"/>
      <c r="AI90" s="294"/>
      <c r="AJ90" s="294"/>
      <c r="AK90" s="294"/>
      <c r="AL90" s="294"/>
      <c r="AM90" s="294"/>
      <c r="AN90" s="294"/>
      <c r="AO90" s="294"/>
      <c r="AP90" s="294"/>
      <c r="AQ90" s="294"/>
      <c r="AR90" s="294"/>
      <c r="AS90" s="294"/>
      <c r="AT90" s="294"/>
      <c r="AU90" s="294"/>
      <c r="AV90" s="294"/>
      <c r="AW90" s="294"/>
      <c r="AX90" s="294"/>
      <c r="AY90" s="294"/>
      <c r="AZ90" s="294"/>
      <c r="BA90" s="294"/>
      <c r="BB90" s="294"/>
      <c r="BC90" s="294"/>
      <c r="BD90" s="294"/>
      <c r="BE90" s="294"/>
      <c r="BF90" s="294"/>
      <c r="BG90" s="294"/>
      <c r="BH90" s="294"/>
      <c r="BI90" s="294"/>
      <c r="BJ90" s="294"/>
      <c r="BK90" s="294"/>
      <c r="BL90" s="294"/>
      <c r="BM90" s="294"/>
      <c r="BN90" s="294"/>
      <c r="BO90" s="294"/>
      <c r="BP90" s="294"/>
      <c r="BQ90" s="294"/>
      <c r="BR90" s="294"/>
      <c r="BS90" s="294"/>
      <c r="BT90" s="294"/>
      <c r="BU90" s="294"/>
      <c r="BV90" s="294"/>
      <c r="BW90" s="294"/>
      <c r="BX90" s="294"/>
      <c r="BY90" s="294"/>
      <c r="BZ90" s="294"/>
      <c r="CA90" s="294"/>
      <c r="CB90" s="294"/>
      <c r="CC90" s="294"/>
      <c r="CD90" s="294"/>
      <c r="CE90" s="294"/>
      <c r="CF90" s="294">
        <f t="shared" ref="CF90" si="735">CF28/CB28-1</f>
        <v>1.7685185185185186</v>
      </c>
      <c r="CG90" s="294" t="e">
        <f t="shared" ref="CG90" si="736">CG28/CC28-1</f>
        <v>#DIV/0!</v>
      </c>
      <c r="CH90" s="294">
        <f t="shared" ref="CH90" si="737">CH28/CD28-1</f>
        <v>0.85499999999999998</v>
      </c>
      <c r="CI90" s="294">
        <f t="shared" ref="CI90" si="738">CI28/CE28-1</f>
        <v>0.69411764705882351</v>
      </c>
      <c r="CJ90" s="294">
        <f t="shared" ref="CJ90" si="739">CJ28/CF28-1</f>
        <v>0.70903010033444813</v>
      </c>
      <c r="CK90" s="294">
        <f t="shared" ref="CK90" si="740">CK28/CG28-1</f>
        <v>0.57097791798107256</v>
      </c>
      <c r="CL90" s="294">
        <f t="shared" ref="CL90" si="741">CL28/CH28-1</f>
        <v>0.57412398921832875</v>
      </c>
      <c r="CM90" s="294">
        <f t="shared" ref="CM90:DG90" si="742">CM28/CI28-1</f>
        <v>0.4560185185185186</v>
      </c>
      <c r="CN90" s="294">
        <f t="shared" si="742"/>
        <v>0.51467710371819964</v>
      </c>
      <c r="CO90" s="294">
        <f t="shared" si="742"/>
        <v>0.53614457831325302</v>
      </c>
      <c r="CP90" s="294">
        <f t="shared" si="742"/>
        <v>0.42123287671232879</v>
      </c>
      <c r="CQ90" s="294">
        <f t="shared" si="742"/>
        <v>0.48966613672496018</v>
      </c>
      <c r="CR90" s="294">
        <f t="shared" si="742"/>
        <v>0.16408268733850129</v>
      </c>
      <c r="CS90" s="294">
        <f t="shared" si="742"/>
        <v>0.43660130718954249</v>
      </c>
      <c r="CT90" s="294">
        <f t="shared" si="742"/>
        <v>0.50963855421686755</v>
      </c>
      <c r="CU90" s="294">
        <f t="shared" si="742"/>
        <v>0.45677694770544286</v>
      </c>
      <c r="CV90" s="294">
        <f t="shared" si="742"/>
        <v>0.59045504994450604</v>
      </c>
      <c r="CW90" s="294">
        <f t="shared" si="742"/>
        <v>0.43767060964513194</v>
      </c>
      <c r="CX90" s="294">
        <f t="shared" si="742"/>
        <v>0.31284916201117308</v>
      </c>
      <c r="CY90" s="294">
        <f t="shared" si="742"/>
        <v>0.35970695970695976</v>
      </c>
      <c r="CZ90" s="294">
        <f t="shared" si="742"/>
        <v>0.38590369853454298</v>
      </c>
      <c r="DA90" s="294">
        <f t="shared" si="742"/>
        <v>0.29873417721518991</v>
      </c>
      <c r="DB90" s="294">
        <f t="shared" si="742"/>
        <v>0.2662613981762918</v>
      </c>
      <c r="DC90" s="294">
        <f t="shared" si="742"/>
        <v>0.21982758620689657</v>
      </c>
      <c r="DD90" s="294">
        <f t="shared" si="742"/>
        <v>0.22406847935548835</v>
      </c>
      <c r="DE90" s="294">
        <f t="shared" si="742"/>
        <v>0.21783625730994149</v>
      </c>
      <c r="DF90" s="294">
        <f t="shared" si="742"/>
        <v>0.22419587133941432</v>
      </c>
      <c r="DG90" s="294">
        <f t="shared" si="742"/>
        <v>0.18904593639575973</v>
      </c>
      <c r="DH90" s="294">
        <f t="shared" ref="DH90" si="743">DH28/DD28-1</f>
        <v>0.18387494858083087</v>
      </c>
      <c r="DI90" s="294">
        <f t="shared" ref="DI90" si="744">DI28/DE28-1</f>
        <v>0.2070428171268508</v>
      </c>
      <c r="DJ90" s="294">
        <f>DJ28/DF28-1</f>
        <v>0.20941176470588241</v>
      </c>
      <c r="DK90" s="294">
        <f t="shared" ref="DK90" si="745">DK28/DG28-1</f>
        <v>0.14999999999999991</v>
      </c>
      <c r="DL90" s="294">
        <f t="shared" ref="DL90" si="746">DL28/DH28-1</f>
        <v>0.14999999999999991</v>
      </c>
      <c r="DM90" s="294">
        <f t="shared" ref="DM90" si="747">DM28/DI28-1</f>
        <v>0.14999999999999991</v>
      </c>
      <c r="DN90" s="294">
        <f t="shared" ref="DN90" si="748">DN28/DJ28-1</f>
        <v>0.14999999999999991</v>
      </c>
      <c r="DP90" s="245"/>
      <c r="DQ90" s="245"/>
      <c r="DR90" s="245"/>
      <c r="DS90" s="245"/>
      <c r="DT90" s="245"/>
      <c r="DU90" s="245"/>
      <c r="DV90" s="245"/>
      <c r="DW90" s="245"/>
      <c r="DX90" s="245"/>
      <c r="DY90" s="245"/>
      <c r="DZ90" s="245"/>
      <c r="EA90" s="245"/>
      <c r="EB90" s="245"/>
      <c r="EC90" s="246"/>
      <c r="ED90" s="246"/>
      <c r="EE90" s="246"/>
      <c r="EF90" s="246"/>
      <c r="EG90" s="246"/>
      <c r="EH90" s="246"/>
      <c r="EI90" s="246"/>
      <c r="EJ90" s="246"/>
      <c r="EK90" s="265"/>
      <c r="EL90" s="265"/>
      <c r="EM90" s="246"/>
      <c r="EN90" s="246"/>
      <c r="EO90" s="246"/>
      <c r="EP90" s="246"/>
      <c r="EQ90" s="246"/>
      <c r="ER90" s="246"/>
      <c r="ES90" s="246"/>
      <c r="ET90" s="246"/>
      <c r="EU90" s="246"/>
      <c r="EV90" s="246"/>
      <c r="EW90" s="246"/>
      <c r="EX90" s="246"/>
      <c r="EY90" s="246"/>
      <c r="EZ90" s="246"/>
      <c r="FA90" s="246"/>
      <c r="FB90" s="246"/>
      <c r="FC90" s="246"/>
      <c r="FD90" s="246"/>
      <c r="FE90" s="246"/>
      <c r="FF90" s="246"/>
      <c r="FG90" s="246"/>
      <c r="FH90" s="246"/>
      <c r="FI90" s="246"/>
      <c r="FJ90" s="246"/>
      <c r="FM90"/>
      <c r="FN90" s="292"/>
      <c r="FQ90" s="290"/>
      <c r="FR90" s="290"/>
      <c r="FS90" s="291"/>
      <c r="FT90"/>
      <c r="FU90" s="290"/>
      <c r="FV90" s="290"/>
      <c r="FW90" s="290"/>
    </row>
    <row r="91" spans="1:179" s="279" customFormat="1" ht="12.75" customHeight="1" x14ac:dyDescent="0.2">
      <c r="A91" s="1"/>
      <c r="B91" t="s">
        <v>1686</v>
      </c>
      <c r="C91" s="293"/>
      <c r="D91" s="293"/>
      <c r="E91" s="293"/>
      <c r="F91" s="293"/>
      <c r="G91" s="293"/>
      <c r="H91" s="293"/>
      <c r="I91" s="293"/>
      <c r="J91" s="293"/>
      <c r="K91" s="293"/>
      <c r="L91" s="293"/>
      <c r="M91" s="293"/>
      <c r="N91" s="293"/>
      <c r="O91" s="293"/>
      <c r="P91" s="293"/>
      <c r="Q91" s="293"/>
      <c r="R91" s="293"/>
      <c r="S91" s="293"/>
      <c r="T91" s="293"/>
      <c r="U91" s="293"/>
      <c r="V91" s="293"/>
      <c r="W91" s="293"/>
      <c r="X91" s="293"/>
      <c r="Y91" s="293"/>
      <c r="Z91" s="293"/>
      <c r="AA91" s="293"/>
      <c r="AB91" s="293"/>
      <c r="AC91" s="293"/>
      <c r="AD91" s="293"/>
      <c r="AE91" s="243"/>
      <c r="AF91" s="243"/>
      <c r="AG91" s="243"/>
      <c r="AH91" s="288"/>
      <c r="AI91" s="288"/>
      <c r="AJ91" s="288"/>
      <c r="AK91" s="288"/>
      <c r="AL91" s="288"/>
      <c r="AM91" s="288"/>
      <c r="AN91" s="288"/>
      <c r="AO91" s="288"/>
      <c r="AP91" s="288"/>
      <c r="AQ91" s="288"/>
      <c r="AR91" s="288"/>
      <c r="AS91" s="288"/>
      <c r="AT91" s="288"/>
      <c r="AU91" s="288"/>
      <c r="AV91" s="288"/>
      <c r="AW91" s="294"/>
      <c r="AX91" s="294"/>
      <c r="AY91" s="294"/>
      <c r="AZ91" s="294"/>
      <c r="BA91" s="294"/>
      <c r="BB91" s="294"/>
      <c r="BC91" s="294"/>
      <c r="BD91" s="294"/>
      <c r="BE91" s="294"/>
      <c r="BF91" s="294"/>
      <c r="BG91" s="294"/>
      <c r="BH91" s="294"/>
      <c r="BI91" s="294"/>
      <c r="BJ91" s="294"/>
      <c r="BK91" s="294"/>
      <c r="BL91" s="294"/>
      <c r="BM91" s="294"/>
      <c r="BN91" s="294"/>
      <c r="BO91" s="294"/>
      <c r="BP91" s="294"/>
      <c r="BQ91" s="294"/>
      <c r="BR91" s="294"/>
      <c r="BS91" s="294"/>
      <c r="BT91" s="294"/>
      <c r="BU91" s="294"/>
      <c r="BV91" s="294"/>
      <c r="BW91" s="294"/>
      <c r="BX91" s="294"/>
      <c r="BY91" s="294"/>
      <c r="BZ91" s="294"/>
      <c r="CA91" s="294"/>
      <c r="CB91" s="294"/>
      <c r="CC91" s="294"/>
      <c r="CD91" s="294"/>
      <c r="CE91" s="294"/>
      <c r="CF91" s="294">
        <f t="shared" ref="CF91" si="749">+CF63/CB63-1</f>
        <v>1.7256507750804229E-2</v>
      </c>
      <c r="CG91" s="294">
        <f t="shared" ref="CG91" si="750">+CG63/CC63-1</f>
        <v>2.9132168046611451E-2</v>
      </c>
      <c r="CH91" s="294">
        <f t="shared" ref="CH91" si="751">+CH63/CD63-1</f>
        <v>3.1468531468531458E-2</v>
      </c>
      <c r="CI91" s="294">
        <f t="shared" ref="CI91" si="752">+CI63/CE63-1</f>
        <v>5.2664188351920771E-2</v>
      </c>
      <c r="CJ91" s="294">
        <f t="shared" ref="CJ91" si="753">+CJ63/CF63-1</f>
        <v>7.4755606670500185E-3</v>
      </c>
      <c r="CK91" s="294">
        <f t="shared" ref="CK91" si="754">+CK63/CG63-1</f>
        <v>1.7580452920143097E-2</v>
      </c>
      <c r="CL91" s="294">
        <f t="shared" ref="CL91" si="755">+CL63/CH63-1</f>
        <v>-1.1299435028248039E-3</v>
      </c>
      <c r="CM91" s="294">
        <f t="shared" ref="CM91:CT91" si="756">+CM63/CI63-1</f>
        <v>-2.3543260741612726E-2</v>
      </c>
      <c r="CN91" s="294">
        <f t="shared" si="756"/>
        <v>1.1415525114155223E-2</v>
      </c>
      <c r="CO91" s="294">
        <f t="shared" si="756"/>
        <v>1.5812591508052698E-2</v>
      </c>
      <c r="CP91" s="294">
        <f t="shared" si="756"/>
        <v>8.7669683257918241E-3</v>
      </c>
      <c r="CQ91" s="294">
        <f t="shared" si="756"/>
        <v>9.2525617842073471E-2</v>
      </c>
      <c r="CR91" s="294">
        <f t="shared" si="756"/>
        <v>-6.9977426636568807E-2</v>
      </c>
      <c r="CS91" s="294">
        <f t="shared" si="756"/>
        <v>1.2972038051311641E-2</v>
      </c>
      <c r="CT91" s="294">
        <f t="shared" si="756"/>
        <v>1.4297729184188368E-2</v>
      </c>
      <c r="CU91" s="294">
        <f t="shared" ref="CU91:DD91" si="757">+CU63/CQ63-1</f>
        <v>4.4137931034482492E-3</v>
      </c>
      <c r="CV91" s="294">
        <f t="shared" si="757"/>
        <v>0.16929611650485432</v>
      </c>
      <c r="CW91" s="294">
        <f t="shared" si="757"/>
        <v>5.2931132612407561E-2</v>
      </c>
      <c r="CX91" s="294">
        <f t="shared" si="757"/>
        <v>3.0403537866224406E-2</v>
      </c>
      <c r="CY91" s="294">
        <f t="shared" si="757"/>
        <v>-1.5105740181268867E-2</v>
      </c>
      <c r="CZ91" s="294">
        <f t="shared" si="757"/>
        <v>-1.2714063310845902E-2</v>
      </c>
      <c r="DA91" s="294">
        <f t="shared" si="757"/>
        <v>2.5675675675675746E-2</v>
      </c>
      <c r="DB91" s="294">
        <f t="shared" si="757"/>
        <v>1.046137339055786E-2</v>
      </c>
      <c r="DC91" s="294">
        <f t="shared" si="757"/>
        <v>7.4177356385945359E-2</v>
      </c>
      <c r="DD91" s="294">
        <f t="shared" si="757"/>
        <v>5.4139290407358764E-2</v>
      </c>
      <c r="DE91" s="294" t="s">
        <v>1309</v>
      </c>
      <c r="DF91" s="294" t="s">
        <v>1309</v>
      </c>
      <c r="DG91" s="294" t="s">
        <v>1309</v>
      </c>
      <c r="DH91" s="294" t="s">
        <v>1309</v>
      </c>
      <c r="DI91" s="294" t="s">
        <v>1309</v>
      </c>
      <c r="DJ91" s="294" t="s">
        <v>1309</v>
      </c>
      <c r="DK91" s="294" t="s">
        <v>1309</v>
      </c>
      <c r="DL91" s="294" t="s">
        <v>1309</v>
      </c>
      <c r="DM91" s="294" t="s">
        <v>1309</v>
      </c>
      <c r="DN91" s="294" t="s">
        <v>1309</v>
      </c>
      <c r="DO91" s="296"/>
      <c r="DP91" s="245"/>
      <c r="DQ91" s="245"/>
      <c r="DR91" s="245"/>
      <c r="DS91" s="245"/>
      <c r="DT91" s="245"/>
      <c r="DU91" s="245"/>
      <c r="DV91" s="245"/>
      <c r="DW91" s="245"/>
      <c r="DX91" s="245"/>
      <c r="DY91" s="245"/>
      <c r="DZ91" s="245"/>
      <c r="EA91" s="245"/>
      <c r="EB91" s="245"/>
      <c r="EC91" s="245"/>
      <c r="ED91" s="245"/>
      <c r="EE91" s="245"/>
      <c r="EF91" s="245"/>
      <c r="EG91" s="245"/>
      <c r="EH91" s="245"/>
      <c r="EI91" s="246"/>
      <c r="EJ91" s="246"/>
      <c r="EK91" s="246"/>
      <c r="EL91" s="246"/>
      <c r="EM91" s="246"/>
      <c r="EN91" s="246"/>
      <c r="EO91" s="246"/>
      <c r="EP91" s="246"/>
      <c r="EQ91" s="246"/>
      <c r="ER91" s="246"/>
      <c r="ES91" s="246"/>
      <c r="ET91" s="246"/>
      <c r="EU91" s="246"/>
      <c r="EV91" s="246"/>
      <c r="EW91" s="246"/>
      <c r="EX91" s="246"/>
      <c r="EY91" s="246"/>
      <c r="EZ91" s="246"/>
      <c r="FA91" s="246"/>
      <c r="FB91" s="246"/>
      <c r="FC91" s="246"/>
      <c r="FD91" s="246"/>
      <c r="FE91" s="246"/>
      <c r="FF91" s="246"/>
      <c r="FG91" s="246"/>
      <c r="FH91" s="246"/>
      <c r="FI91" s="246"/>
      <c r="FJ91" s="246"/>
      <c r="FQ91" s="290"/>
      <c r="FR91" s="290"/>
      <c r="FS91" s="291"/>
      <c r="FT91"/>
      <c r="FU91" s="291"/>
      <c r="FV91" s="290"/>
      <c r="FW91" s="290"/>
    </row>
    <row r="92" spans="1:179" s="279" customFormat="1" ht="12.75" customHeight="1" x14ac:dyDescent="0.2">
      <c r="A92" s="1"/>
      <c r="B92" t="s">
        <v>1784</v>
      </c>
      <c r="C92" s="293"/>
      <c r="D92" s="293"/>
      <c r="E92" s="293"/>
      <c r="F92" s="293"/>
      <c r="G92" s="293"/>
      <c r="H92" s="293"/>
      <c r="I92" s="293"/>
      <c r="J92" s="293"/>
      <c r="K92" s="293"/>
      <c r="L92" s="293"/>
      <c r="M92" s="293"/>
      <c r="N92" s="293"/>
      <c r="O92" s="293"/>
      <c r="P92" s="293"/>
      <c r="Q92" s="293"/>
      <c r="R92" s="293"/>
      <c r="S92" s="293"/>
      <c r="T92" s="293"/>
      <c r="U92" s="293"/>
      <c r="V92" s="293"/>
      <c r="W92" s="293"/>
      <c r="X92" s="293"/>
      <c r="Y92" s="293"/>
      <c r="Z92" s="293"/>
      <c r="AA92" s="293"/>
      <c r="AB92" s="293"/>
      <c r="AC92" s="293"/>
      <c r="AD92" s="293"/>
      <c r="AE92" s="243"/>
      <c r="AF92" s="243"/>
      <c r="AG92" s="243"/>
      <c r="AH92" s="288"/>
      <c r="AI92" s="288"/>
      <c r="AJ92" s="288"/>
      <c r="AK92" s="288"/>
      <c r="AL92" s="288"/>
      <c r="AM92" s="288"/>
      <c r="AN92" s="288"/>
      <c r="AO92" s="288"/>
      <c r="AP92" s="288"/>
      <c r="AQ92" s="288"/>
      <c r="AR92" s="288"/>
      <c r="AS92" s="288"/>
      <c r="AT92" s="288"/>
      <c r="AU92" s="288"/>
      <c r="AV92" s="288"/>
      <c r="AW92" s="294"/>
      <c r="AX92" s="297">
        <f t="shared" ref="AX92:BZ92" si="758">AX50/AT50-1</f>
        <v>-0.16820276497695852</v>
      </c>
      <c r="AY92" s="297">
        <f t="shared" si="758"/>
        <v>-0.19999999999999996</v>
      </c>
      <c r="AZ92" s="297">
        <f t="shared" si="758"/>
        <v>-0.20892018779342725</v>
      </c>
      <c r="BA92" s="297">
        <f t="shared" si="758"/>
        <v>-0.11845730027548207</v>
      </c>
      <c r="BB92" s="297">
        <f t="shared" si="758"/>
        <v>-3.4626038781163437E-2</v>
      </c>
      <c r="BC92" s="297">
        <f t="shared" si="758"/>
        <v>5.9880239520957446E-3</v>
      </c>
      <c r="BD92" s="297">
        <f t="shared" si="758"/>
        <v>-2.8189910979228516E-2</v>
      </c>
      <c r="BE92" s="297">
        <f t="shared" si="758"/>
        <v>-6.8749999999999978E-2</v>
      </c>
      <c r="BF92" s="297">
        <f t="shared" si="758"/>
        <v>-9.7560975609756073E-2</v>
      </c>
      <c r="BG92" s="297">
        <f t="shared" si="758"/>
        <v>-5.5059523809523836E-2</v>
      </c>
      <c r="BH92" s="297">
        <f t="shared" si="758"/>
        <v>-0.10381679389312981</v>
      </c>
      <c r="BI92" s="297">
        <f t="shared" si="758"/>
        <v>-0.1174496644295302</v>
      </c>
      <c r="BJ92" s="297">
        <f t="shared" si="758"/>
        <v>-0.14149443561208264</v>
      </c>
      <c r="BK92" s="297">
        <f t="shared" si="758"/>
        <v>-0.24094488188976382</v>
      </c>
      <c r="BL92" s="297">
        <f t="shared" si="758"/>
        <v>-0.141396933560477</v>
      </c>
      <c r="BM92" s="297">
        <f t="shared" si="758"/>
        <v>-6.2737642585551368E-2</v>
      </c>
      <c r="BN92" s="297">
        <f t="shared" si="758"/>
        <v>-6.2962962962962998E-2</v>
      </c>
      <c r="BO92" s="297">
        <f t="shared" si="758"/>
        <v>6.4315352697095429E-2</v>
      </c>
      <c r="BP92" s="297">
        <f t="shared" si="758"/>
        <v>4.9603174603174649E-2</v>
      </c>
      <c r="BQ92" s="297">
        <f t="shared" si="758"/>
        <v>1.6227180527383478E-2</v>
      </c>
      <c r="BR92" s="297">
        <f t="shared" si="758"/>
        <v>5.5335968379446543E-2</v>
      </c>
      <c r="BS92" s="297">
        <f t="shared" si="758"/>
        <v>5.4580896686159841E-2</v>
      </c>
      <c r="BT92" s="297">
        <f t="shared" si="758"/>
        <v>7.1833648393194727E-2</v>
      </c>
      <c r="BU92" s="297">
        <f t="shared" si="758"/>
        <v>8.1836327345309323E-2</v>
      </c>
      <c r="BV92" s="297">
        <f t="shared" si="758"/>
        <v>4.4943820224719211E-2</v>
      </c>
      <c r="BW92" s="297">
        <f t="shared" si="758"/>
        <v>-2.2181146025877951E-2</v>
      </c>
      <c r="BX92" s="297">
        <f t="shared" si="758"/>
        <v>-4.0564373897707284E-2</v>
      </c>
      <c r="BY92" s="297">
        <f t="shared" si="758"/>
        <v>-3.3210332103321027E-2</v>
      </c>
      <c r="BZ92" s="297">
        <f t="shared" si="758"/>
        <v>-0.21326164874551967</v>
      </c>
      <c r="CA92" s="297"/>
      <c r="CB92" s="297"/>
      <c r="CC92" s="297"/>
      <c r="CD92" s="297"/>
      <c r="CE92" s="297"/>
      <c r="CF92" s="297"/>
      <c r="CG92" s="297"/>
      <c r="CH92" s="297"/>
      <c r="CI92" s="297"/>
      <c r="CJ92" s="297"/>
      <c r="CK92" s="297"/>
      <c r="CL92" s="297"/>
      <c r="CM92" s="297">
        <f t="shared" ref="CM92:CT92" si="759">+CM50/CI50-1</f>
        <v>0.14375000000000004</v>
      </c>
      <c r="CN92" s="297">
        <f t="shared" si="759"/>
        <v>0.12443778110944526</v>
      </c>
      <c r="CO92" s="297">
        <f t="shared" si="759"/>
        <v>0.13476263399693722</v>
      </c>
      <c r="CP92" s="297">
        <f t="shared" si="759"/>
        <v>0.12827988338192431</v>
      </c>
      <c r="CQ92" s="297">
        <f t="shared" si="759"/>
        <v>-6.8306010928961269E-3</v>
      </c>
      <c r="CR92" s="297">
        <f t="shared" si="759"/>
        <v>-0.21333333333333337</v>
      </c>
      <c r="CS92" s="297">
        <f t="shared" si="759"/>
        <v>0.12820512820512819</v>
      </c>
      <c r="CT92" s="297">
        <f t="shared" si="759"/>
        <v>0.1537467700258397</v>
      </c>
      <c r="CU92" s="297">
        <f t="shared" ref="CU92:DG92" si="760">+CU50/CQ50-1</f>
        <v>0.30536451169188439</v>
      </c>
      <c r="CV92" s="297">
        <f t="shared" si="760"/>
        <v>0.77288135593220342</v>
      </c>
      <c r="CW92" s="297">
        <f t="shared" si="760"/>
        <v>0.14473684210526305</v>
      </c>
      <c r="CX92" s="297">
        <f t="shared" si="760"/>
        <v>0.14109742441209416</v>
      </c>
      <c r="CY92" s="297">
        <f t="shared" si="760"/>
        <v>0.15068493150684925</v>
      </c>
      <c r="CZ92" s="297">
        <f t="shared" si="760"/>
        <v>2.8680688336519822E-3</v>
      </c>
      <c r="DA92" s="297">
        <f t="shared" si="760"/>
        <v>0.1076280041797284</v>
      </c>
      <c r="DB92" s="297">
        <f t="shared" si="760"/>
        <v>-2.4533856722276703E-2</v>
      </c>
      <c r="DC92" s="297">
        <f t="shared" si="760"/>
        <v>0</v>
      </c>
      <c r="DD92" s="297">
        <f t="shared" si="760"/>
        <v>0.54432793136320301</v>
      </c>
      <c r="DE92" s="297">
        <f t="shared" si="760"/>
        <v>9.5283018867924563E-2</v>
      </c>
      <c r="DF92" s="297">
        <f t="shared" si="760"/>
        <v>0.24647887323943651</v>
      </c>
      <c r="DG92" s="297">
        <f t="shared" si="760"/>
        <v>0.23076923076923084</v>
      </c>
      <c r="DH92" s="297">
        <f t="shared" ref="DH92" si="761">+DH50/DD50-1</f>
        <v>-0.18333333333333335</v>
      </c>
      <c r="DI92" s="297">
        <f t="shared" ref="DI92" si="762">+DI50/DE50-1</f>
        <v>0.10163652024117131</v>
      </c>
      <c r="DJ92" s="297">
        <f t="shared" ref="DJ92" si="763">+DJ50/DF50-1</f>
        <v>6.6182405165456037E-2</v>
      </c>
      <c r="DK92" s="297">
        <f t="shared" ref="DK92" si="764">+DK50/DG50-1</f>
        <v>3.0000000000000027E-2</v>
      </c>
      <c r="DL92" s="297">
        <f t="shared" ref="DL92" si="765">+DL50/DH50-1</f>
        <v>3.0000000000000027E-2</v>
      </c>
      <c r="DM92" s="297">
        <f t="shared" ref="DM92" si="766">+DM50/DI50-1</f>
        <v>3.0000000000000027E-2</v>
      </c>
      <c r="DN92" s="297">
        <f t="shared" ref="DN92" si="767">+DN50/DJ50-1</f>
        <v>3.0000000000000027E-2</v>
      </c>
      <c r="DO92" s="296"/>
      <c r="DP92" s="245"/>
      <c r="DQ92" s="245"/>
      <c r="DR92" s="245"/>
      <c r="DS92" s="245"/>
      <c r="DT92" s="245"/>
      <c r="DU92" s="245"/>
      <c r="DV92" s="245"/>
      <c r="DW92" s="245"/>
      <c r="DX92" s="245"/>
      <c r="DY92" s="245"/>
      <c r="DZ92" s="245"/>
      <c r="EA92" s="245"/>
      <c r="EB92" s="245"/>
      <c r="EC92" s="245"/>
      <c r="ED92" s="245"/>
      <c r="EE92" s="245"/>
      <c r="EF92" s="245"/>
      <c r="EG92" s="245"/>
      <c r="EH92" s="245"/>
      <c r="EI92" s="246"/>
      <c r="EJ92" s="246"/>
      <c r="EK92" s="246"/>
      <c r="EL92" s="246"/>
      <c r="EM92" s="246"/>
      <c r="EN92" s="246"/>
      <c r="EO92" s="246"/>
      <c r="EP92" s="246"/>
      <c r="EQ92" s="246"/>
      <c r="ER92" s="246"/>
      <c r="ES92" s="246"/>
      <c r="ET92" s="246"/>
      <c r="EU92" s="246"/>
      <c r="FQ92" s="290"/>
      <c r="FR92" s="290"/>
      <c r="FS92" s="290"/>
      <c r="FT92"/>
      <c r="FU92" s="290"/>
      <c r="FV92" s="290"/>
      <c r="FW92" s="290"/>
    </row>
    <row r="93" spans="1:179" s="279" customFormat="1" ht="12.75" customHeight="1" x14ac:dyDescent="0.2">
      <c r="A93" s="1"/>
      <c r="B93" t="s">
        <v>1280</v>
      </c>
      <c r="C93" s="293"/>
      <c r="D93" s="293"/>
      <c r="E93" s="293"/>
      <c r="F93" s="293"/>
      <c r="G93" s="293"/>
      <c r="H93" s="293"/>
      <c r="I93" s="293"/>
      <c r="J93" s="293"/>
      <c r="K93" s="293"/>
      <c r="L93" s="293"/>
      <c r="M93" s="293"/>
      <c r="N93" s="293"/>
      <c r="O93" s="293"/>
      <c r="P93" s="293"/>
      <c r="Q93" s="293"/>
      <c r="R93" s="293"/>
      <c r="S93" s="293"/>
      <c r="T93" s="293"/>
      <c r="U93" s="293"/>
      <c r="V93" s="293"/>
      <c r="W93" s="293"/>
      <c r="X93" s="293"/>
      <c r="Y93" s="293"/>
      <c r="Z93" s="293"/>
      <c r="AA93" s="293"/>
      <c r="AB93" s="293"/>
      <c r="AC93" s="293"/>
      <c r="AD93" s="293"/>
      <c r="AE93" s="297">
        <f t="shared" ref="AE93:AN95" si="768">AE54/AA54-1</f>
        <v>0.13531799729364002</v>
      </c>
      <c r="AF93" s="297">
        <f t="shared" si="768"/>
        <v>0.12165775401069512</v>
      </c>
      <c r="AG93" s="297">
        <f t="shared" si="768"/>
        <v>0.10027855153203347</v>
      </c>
      <c r="AH93" s="297">
        <f t="shared" si="768"/>
        <v>0.18703241895261846</v>
      </c>
      <c r="AI93" s="297">
        <f t="shared" si="768"/>
        <v>0.18355184743742559</v>
      </c>
      <c r="AJ93" s="297">
        <f t="shared" si="768"/>
        <v>0.16805721096543502</v>
      </c>
      <c r="AK93" s="297">
        <f t="shared" si="768"/>
        <v>0.1354430379746836</v>
      </c>
      <c r="AL93" s="297">
        <f t="shared" si="768"/>
        <v>2.6260504201680579E-2</v>
      </c>
      <c r="AM93" s="297">
        <f t="shared" si="768"/>
        <v>4.6324269889224556E-2</v>
      </c>
      <c r="AN93" s="297">
        <f t="shared" si="768"/>
        <v>5.6122448979591733E-2</v>
      </c>
      <c r="AO93" s="297">
        <f t="shared" ref="AO93:AW95" si="769">AO54/AK54-1</f>
        <v>8.2497212931995634E-2</v>
      </c>
      <c r="AP93" s="297">
        <f t="shared" si="769"/>
        <v>8.4953940634595604E-2</v>
      </c>
      <c r="AQ93" s="297">
        <f t="shared" si="769"/>
        <v>0.11357074109720888</v>
      </c>
      <c r="AR93" s="297">
        <f t="shared" si="769"/>
        <v>9.661835748792269E-2</v>
      </c>
      <c r="AS93" s="297">
        <f t="shared" si="769"/>
        <v>0.11843460350154489</v>
      </c>
      <c r="AT93" s="297">
        <f t="shared" si="769"/>
        <v>0.14056603773584908</v>
      </c>
      <c r="AU93" s="297">
        <f t="shared" si="769"/>
        <v>8.2973206568712099E-2</v>
      </c>
      <c r="AV93" s="297">
        <f t="shared" si="769"/>
        <v>0.13568281938325999</v>
      </c>
      <c r="AW93" s="297">
        <f t="shared" si="769"/>
        <v>0.10036832412523022</v>
      </c>
      <c r="AX93" s="297">
        <f t="shared" ref="AX93:BG93" si="770">AX54/AT54-1</f>
        <v>3.556658395368073E-2</v>
      </c>
      <c r="AY93" s="297">
        <f t="shared" si="770"/>
        <v>3.1125299281723917E-2</v>
      </c>
      <c r="AZ93" s="297">
        <f t="shared" si="770"/>
        <v>2.6377036462373882E-2</v>
      </c>
      <c r="BA93" s="297">
        <f t="shared" si="770"/>
        <v>7.4476987447698706E-2</v>
      </c>
      <c r="BB93" s="297">
        <f t="shared" si="770"/>
        <v>0.17651757188498407</v>
      </c>
      <c r="BC93" s="297">
        <f t="shared" si="770"/>
        <v>0.12538699690402466</v>
      </c>
      <c r="BD93" s="297">
        <f t="shared" si="770"/>
        <v>3.9304610733182255E-2</v>
      </c>
      <c r="BE93" s="297">
        <f t="shared" si="770"/>
        <v>1.947040498442365E-2</v>
      </c>
      <c r="BF93" s="297">
        <f t="shared" si="770"/>
        <v>-1.7651052274270218E-2</v>
      </c>
      <c r="BG93" s="297">
        <f t="shared" si="770"/>
        <v>3.3700137551581744E-2</v>
      </c>
      <c r="BH93" s="297">
        <f t="shared" ref="BH93:BQ93" si="771">BH54/BD54-1</f>
        <v>6.8363636363636404E-2</v>
      </c>
      <c r="BI93" s="297">
        <f t="shared" si="771"/>
        <v>5.7295645530939687E-2</v>
      </c>
      <c r="BJ93" s="297">
        <f t="shared" si="771"/>
        <v>4.146510020732519E-3</v>
      </c>
      <c r="BK93" s="297">
        <f t="shared" si="771"/>
        <v>-6.6533599467730742E-3</v>
      </c>
      <c r="BL93" s="297">
        <f t="shared" si="771"/>
        <v>0.10823689584751528</v>
      </c>
      <c r="BM93" s="297">
        <f t="shared" si="771"/>
        <v>0.65462427745664731</v>
      </c>
      <c r="BN93" s="297">
        <f t="shared" si="771"/>
        <v>0.64349621472814866</v>
      </c>
      <c r="BO93" s="297">
        <f t="shared" si="771"/>
        <v>0.59745478901540516</v>
      </c>
      <c r="BP93" s="297">
        <f t="shared" si="771"/>
        <v>0.46498771498771507</v>
      </c>
      <c r="BQ93" s="297">
        <f t="shared" si="771"/>
        <v>-3.0567685589519833E-3</v>
      </c>
      <c r="BR93" s="297">
        <f t="shared" ref="BR93:BZ93" si="772">BR54/BN54-1</f>
        <v>2.8475711892797406E-2</v>
      </c>
      <c r="BS93" s="297">
        <f t="shared" si="772"/>
        <v>1.5094339622641506E-2</v>
      </c>
      <c r="BT93" s="297">
        <f t="shared" si="772"/>
        <v>3.5220125786163514E-2</v>
      </c>
      <c r="BU93" s="297">
        <f t="shared" si="772"/>
        <v>2.6719229084537943E-2</v>
      </c>
      <c r="BV93" s="297">
        <f t="shared" si="772"/>
        <v>-6.1074918566774716E-3</v>
      </c>
      <c r="BW93" s="297">
        <f t="shared" si="772"/>
        <v>-3.8413878562577497E-2</v>
      </c>
      <c r="BX93" s="297">
        <f t="shared" si="772"/>
        <v>-5.62980963953017E-2</v>
      </c>
      <c r="BY93" s="297">
        <f t="shared" si="772"/>
        <v>-6.9539249146757687E-2</v>
      </c>
      <c r="BZ93" s="297">
        <f t="shared" si="772"/>
        <v>-7.3740270380990847E-3</v>
      </c>
      <c r="CA93" s="297"/>
      <c r="CB93" s="297"/>
      <c r="CC93" s="297"/>
      <c r="CD93" s="297"/>
      <c r="CE93" s="297"/>
      <c r="CF93" s="297"/>
      <c r="CG93" s="297"/>
      <c r="CH93" s="297"/>
      <c r="CI93" s="297"/>
      <c r="CJ93" s="297"/>
      <c r="CK93" s="297"/>
      <c r="CL93" s="297"/>
      <c r="CM93" s="297">
        <f t="shared" ref="CM93:CT93" si="773">+CM54/CI54-1</f>
        <v>-2.0444444444444487E-2</v>
      </c>
      <c r="CN93" s="297">
        <f t="shared" si="773"/>
        <v>-1.6799292661361598E-2</v>
      </c>
      <c r="CO93" s="297">
        <f t="shared" si="773"/>
        <v>1.279014684983415E-2</v>
      </c>
      <c r="CP93" s="297">
        <f t="shared" si="773"/>
        <v>4.8629531388151293E-3</v>
      </c>
      <c r="CQ93" s="297">
        <f t="shared" si="773"/>
        <v>-7.5317604355716883E-2</v>
      </c>
      <c r="CR93" s="297">
        <f t="shared" si="773"/>
        <v>-0.34757194244604317</v>
      </c>
      <c r="CS93" s="297">
        <f t="shared" si="773"/>
        <v>-2.572497661365758E-2</v>
      </c>
      <c r="CT93" s="297">
        <f t="shared" si="773"/>
        <v>-3.6075670919489711E-2</v>
      </c>
      <c r="CU93" s="297">
        <f t="shared" ref="CU93:DG93" si="774">+CU54/CQ54-1</f>
        <v>3.6800785083415111E-2</v>
      </c>
      <c r="CV93" s="297">
        <f t="shared" si="774"/>
        <v>0.53480358373535486</v>
      </c>
      <c r="CW93" s="297">
        <f t="shared" si="774"/>
        <v>4.8007681228996457E-3</v>
      </c>
      <c r="CX93" s="297">
        <f t="shared" si="774"/>
        <v>-1.6430853491556374E-2</v>
      </c>
      <c r="CY93" s="297">
        <f t="shared" si="774"/>
        <v>3.5494557501183133E-2</v>
      </c>
      <c r="CZ93" s="297">
        <f t="shared" si="774"/>
        <v>-3.143242029636284E-2</v>
      </c>
      <c r="DA93" s="297">
        <f t="shared" si="774"/>
        <v>9.5556617295744495E-4</v>
      </c>
      <c r="DB93" s="297">
        <f t="shared" si="774"/>
        <v>-3.2482598607889157E-3</v>
      </c>
      <c r="DC93" s="297">
        <f t="shared" si="774"/>
        <v>2.6051188299817118E-2</v>
      </c>
      <c r="DD93" s="297">
        <f t="shared" si="774"/>
        <v>5.0069541029207132E-2</v>
      </c>
      <c r="DE93" s="297">
        <f t="shared" si="774"/>
        <v>3.2935560859188584E-2</v>
      </c>
      <c r="DF93" s="297">
        <f t="shared" si="774"/>
        <v>5.5865921787709549E-2</v>
      </c>
      <c r="DG93" s="297">
        <f t="shared" si="774"/>
        <v>4.231625835189301E-2</v>
      </c>
      <c r="DH93" s="297">
        <f t="shared" ref="DH93" si="775">+DH54/DD54-1</f>
        <v>2.0750551876379753E-2</v>
      </c>
      <c r="DI93" s="297">
        <f t="shared" ref="DI93" si="776">+DI54/DE54-1</f>
        <v>1.2476894639556368E-2</v>
      </c>
      <c r="DJ93" s="297">
        <f t="shared" ref="DJ93" si="777">+DJ54/DF54-1</f>
        <v>2.0723104056437291E-2</v>
      </c>
      <c r="DK93" s="297">
        <f t="shared" ref="DK93" si="778">+DK54/DG54-1</f>
        <v>5.0000000000000044E-2</v>
      </c>
      <c r="DL93" s="297">
        <f t="shared" ref="DL93" si="779">+DL54/DH54-1</f>
        <v>5.0000000000000044E-2</v>
      </c>
      <c r="DM93" s="297">
        <f t="shared" ref="DM93" si="780">+DM54/DI54-1</f>
        <v>5.0000000000000044E-2</v>
      </c>
      <c r="DN93" s="297">
        <f t="shared" ref="DN93" si="781">+DN54/DJ54-1</f>
        <v>5.0000000000000044E-2</v>
      </c>
      <c r="DO93" s="296"/>
      <c r="DP93" s="245"/>
      <c r="DQ93" s="245"/>
      <c r="DR93" s="245"/>
      <c r="DS93" s="245"/>
      <c r="DT93" s="245"/>
      <c r="DU93" s="245"/>
      <c r="DV93" s="245"/>
      <c r="DW93" s="245"/>
      <c r="DX93" s="245"/>
      <c r="DY93" s="245"/>
      <c r="DZ93" s="245"/>
      <c r="EA93" s="246">
        <f t="shared" ref="EA93:EJ93" si="782">EA54/DZ54-1</f>
        <v>3.7121644774414708E-2</v>
      </c>
      <c r="EB93" s="246">
        <f t="shared" si="782"/>
        <v>0.13105726872246692</v>
      </c>
      <c r="EC93" s="246">
        <f t="shared" si="782"/>
        <v>0.23515092502434265</v>
      </c>
      <c r="ED93" s="246">
        <f t="shared" si="782"/>
        <v>0.18525817895151753</v>
      </c>
      <c r="EE93" s="246">
        <f t="shared" si="782"/>
        <v>0.13734619221815758</v>
      </c>
      <c r="EF93" s="246">
        <f t="shared" si="782"/>
        <v>0.12485380116959055</v>
      </c>
      <c r="EG93" s="246">
        <f t="shared" si="782"/>
        <v>6.7065245645957949E-2</v>
      </c>
      <c r="EH93" s="246">
        <f t="shared" si="782"/>
        <v>0.1174177831912302</v>
      </c>
      <c r="EI93" s="246">
        <f t="shared" si="782"/>
        <v>8.7638979725310762E-2</v>
      </c>
      <c r="EJ93" s="246">
        <f t="shared" si="782"/>
        <v>7.6768891561435071E-2</v>
      </c>
      <c r="EK93" s="246"/>
      <c r="EL93" s="246"/>
      <c r="EM93" s="246"/>
      <c r="EN93" s="246"/>
      <c r="EO93" s="246"/>
      <c r="EP93" s="246"/>
      <c r="EQ93" s="246"/>
      <c r="ER93" s="246"/>
      <c r="ES93" s="246"/>
      <c r="ET93" s="246"/>
      <c r="EU93" s="246"/>
      <c r="FQ93" s="290"/>
      <c r="FR93" s="290"/>
      <c r="FS93" s="290"/>
      <c r="FT93"/>
      <c r="FU93" s="291"/>
      <c r="FV93" s="290"/>
      <c r="FW93" s="290"/>
    </row>
    <row r="94" spans="1:179" s="279" customFormat="1" ht="12.75" customHeight="1" x14ac:dyDescent="0.2">
      <c r="A94" s="1"/>
      <c r="B94" t="s">
        <v>122</v>
      </c>
      <c r="C94" s="293"/>
      <c r="D94" s="293"/>
      <c r="E94" s="293"/>
      <c r="F94" s="293"/>
      <c r="G94" s="297">
        <f t="shared" ref="G94:P95" si="783">G55/C55-1</f>
        <v>4.0000000000000036E-2</v>
      </c>
      <c r="H94" s="297">
        <f t="shared" si="783"/>
        <v>3.0000000000000027E-2</v>
      </c>
      <c r="I94" s="297">
        <f t="shared" si="783"/>
        <v>4.0000000000000036E-2</v>
      </c>
      <c r="J94" s="297">
        <f t="shared" si="783"/>
        <v>0.12698412698412698</v>
      </c>
      <c r="K94" s="297">
        <f t="shared" si="783"/>
        <v>0.20906801007556686</v>
      </c>
      <c r="L94" s="297">
        <f t="shared" si="783"/>
        <v>0.20253164556962022</v>
      </c>
      <c r="M94" s="297">
        <f t="shared" si="783"/>
        <v>0.2005141388174807</v>
      </c>
      <c r="N94" s="297">
        <f t="shared" si="783"/>
        <v>0.1619718309859155</v>
      </c>
      <c r="O94" s="297">
        <f t="shared" si="783"/>
        <v>4.1666666666666519E-3</v>
      </c>
      <c r="P94" s="297">
        <f t="shared" si="783"/>
        <v>7.1578947368420964E-2</v>
      </c>
      <c r="Q94" s="297">
        <f t="shared" ref="Q94:Z95" si="784">Q55/M55-1</f>
        <v>3.2119914346895095E-2</v>
      </c>
      <c r="R94" s="297">
        <f t="shared" si="784"/>
        <v>1.6161616161616266E-2</v>
      </c>
      <c r="S94" s="297">
        <f t="shared" si="784"/>
        <v>7.6763485477178373E-2</v>
      </c>
      <c r="T94" s="297">
        <f t="shared" si="784"/>
        <v>4.1257367387033339E-2</v>
      </c>
      <c r="U94" s="297">
        <f t="shared" si="784"/>
        <v>0.10373443983402497</v>
      </c>
      <c r="V94" s="297">
        <f t="shared" si="784"/>
        <v>0.22862823061630211</v>
      </c>
      <c r="W94" s="297">
        <f t="shared" si="784"/>
        <v>8.6705202312138629E-2</v>
      </c>
      <c r="X94" s="297">
        <f t="shared" si="784"/>
        <v>0.14339622641509431</v>
      </c>
      <c r="Y94" s="297">
        <f t="shared" si="784"/>
        <v>0.12030075187969924</v>
      </c>
      <c r="Z94" s="297">
        <f t="shared" si="784"/>
        <v>3.2362459546926292E-3</v>
      </c>
      <c r="AA94" s="297">
        <f t="shared" ref="AA94:AD95" si="785">AA55/W55-1</f>
        <v>0.11524822695035453</v>
      </c>
      <c r="AB94" s="297">
        <f t="shared" si="785"/>
        <v>0.11056105610561051</v>
      </c>
      <c r="AC94" s="297">
        <f t="shared" si="785"/>
        <v>7.3825503355704702E-2</v>
      </c>
      <c r="AD94" s="297">
        <f t="shared" si="785"/>
        <v>0.12419354838709684</v>
      </c>
      <c r="AE94" s="297">
        <f t="shared" si="768"/>
        <v>8.2670906200317917E-2</v>
      </c>
      <c r="AF94" s="297">
        <f t="shared" si="768"/>
        <v>6.3893016344725106E-2</v>
      </c>
      <c r="AG94" s="297">
        <f t="shared" si="768"/>
        <v>7.3437500000000044E-2</v>
      </c>
      <c r="AH94" s="297">
        <f t="shared" si="768"/>
        <v>8.0344332855093237E-2</v>
      </c>
      <c r="AI94" s="297">
        <f t="shared" si="768"/>
        <v>0.15565345080763593</v>
      </c>
      <c r="AJ94" s="297">
        <f t="shared" si="768"/>
        <v>0.11452513966480438</v>
      </c>
      <c r="AK94" s="297">
        <f t="shared" si="768"/>
        <v>8.4425036390101793E-2</v>
      </c>
      <c r="AL94" s="297">
        <f t="shared" si="768"/>
        <v>2.1248339973439556E-2</v>
      </c>
      <c r="AM94" s="297">
        <f t="shared" si="768"/>
        <v>-1.6518424396442133E-2</v>
      </c>
      <c r="AN94" s="297">
        <f t="shared" si="768"/>
        <v>2.2556390977443552E-2</v>
      </c>
      <c r="AO94" s="297">
        <f t="shared" si="769"/>
        <v>6.8456375838926276E-2</v>
      </c>
      <c r="AP94" s="297">
        <f t="shared" si="769"/>
        <v>7.5422626788036462E-2</v>
      </c>
      <c r="AQ94" s="297">
        <f t="shared" si="769"/>
        <v>0.12403100775193798</v>
      </c>
      <c r="AR94" s="297">
        <f t="shared" si="769"/>
        <v>0.10416666666666674</v>
      </c>
      <c r="AS94" s="297">
        <f t="shared" si="769"/>
        <v>0.10175879396984921</v>
      </c>
      <c r="AT94" s="297">
        <f t="shared" si="769"/>
        <v>0.14147521160822252</v>
      </c>
      <c r="AU94" s="297">
        <f t="shared" si="769"/>
        <v>8.6206896551724199E-2</v>
      </c>
      <c r="AV94" s="297">
        <f t="shared" si="769"/>
        <v>0.13207547169811318</v>
      </c>
      <c r="AW94" s="297">
        <f t="shared" si="769"/>
        <v>9.1220068415051259E-2</v>
      </c>
      <c r="AX94" s="297">
        <f t="shared" ref="AX94:BJ95" si="786">AX55/AT55-1</f>
        <v>-2.754237288135597E-2</v>
      </c>
      <c r="AY94" s="297">
        <f t="shared" si="786"/>
        <v>8.4656084656085095E-3</v>
      </c>
      <c r="AZ94" s="297">
        <f t="shared" si="786"/>
        <v>2.0588235294117574E-2</v>
      </c>
      <c r="BA94" s="297">
        <f t="shared" si="786"/>
        <v>6.478578892372E-2</v>
      </c>
      <c r="BB94" s="297">
        <f t="shared" si="786"/>
        <v>0.20806100217864931</v>
      </c>
      <c r="BC94" s="297">
        <f t="shared" si="786"/>
        <v>0.20356768100734524</v>
      </c>
      <c r="BD94" s="297">
        <f t="shared" si="786"/>
        <v>8.7415946205571471E-2</v>
      </c>
      <c r="BE94" s="297">
        <f t="shared" si="786"/>
        <v>5.201177625122666E-2</v>
      </c>
      <c r="BF94" s="297">
        <f t="shared" si="786"/>
        <v>3.8773669972948621E-2</v>
      </c>
      <c r="BG94" s="297">
        <f t="shared" si="786"/>
        <v>4.0104620749781938E-2</v>
      </c>
      <c r="BH94" s="297">
        <f t="shared" si="786"/>
        <v>0.11042402826855113</v>
      </c>
      <c r="BI94" s="297">
        <f t="shared" si="786"/>
        <v>0.10727611940298498</v>
      </c>
      <c r="BJ94" s="297">
        <f t="shared" si="786"/>
        <v>7.03125E-2</v>
      </c>
      <c r="BK94" s="297"/>
      <c r="BL94" s="297"/>
      <c r="BM94" s="297"/>
      <c r="BN94" s="297"/>
      <c r="BO94" s="297"/>
      <c r="BP94" s="297"/>
      <c r="BQ94" s="297"/>
      <c r="BR94" s="297"/>
      <c r="BS94" s="297"/>
      <c r="BT94" s="297"/>
      <c r="BU94" s="297"/>
      <c r="BV94" s="297"/>
      <c r="BW94" s="297"/>
      <c r="BX94" s="297"/>
      <c r="BY94" s="297"/>
      <c r="BZ94" s="297"/>
      <c r="CA94" s="297"/>
      <c r="CB94" s="297"/>
      <c r="CC94" s="297"/>
      <c r="CD94" s="297"/>
      <c r="CE94" s="297"/>
      <c r="CF94" s="297"/>
      <c r="CG94" s="297"/>
      <c r="CH94" s="297"/>
      <c r="CI94" s="297"/>
      <c r="CJ94" s="297"/>
      <c r="CK94" s="297"/>
      <c r="CL94" s="297"/>
      <c r="CM94" s="297">
        <f t="shared" ref="CM94:CT94" si="787">CM57/CI57-1</f>
        <v>6.9444444444444198E-3</v>
      </c>
      <c r="CN94" s="297">
        <f t="shared" si="787"/>
        <v>-8.2466567607726637E-2</v>
      </c>
      <c r="CO94" s="297">
        <f t="shared" si="787"/>
        <v>-6.6358024691357986E-2</v>
      </c>
      <c r="CP94" s="297">
        <f t="shared" si="787"/>
        <v>-9.6017069701280211E-2</v>
      </c>
      <c r="CQ94" s="297">
        <f t="shared" si="787"/>
        <v>-0.27356321839080455</v>
      </c>
      <c r="CR94" s="297">
        <f t="shared" si="787"/>
        <v>-0.37246963562753033</v>
      </c>
      <c r="CS94" s="297">
        <f t="shared" si="787"/>
        <v>-0.17355371900826444</v>
      </c>
      <c r="CT94" s="297">
        <f t="shared" si="787"/>
        <v>-0.12195121951219512</v>
      </c>
      <c r="CU94" s="297">
        <f t="shared" ref="CU94:DD95" si="788">CU57/CQ57-1</f>
        <v>0.17932489451476785</v>
      </c>
      <c r="CV94" s="297">
        <f t="shared" si="788"/>
        <v>0.50709677419354837</v>
      </c>
      <c r="CW94" s="297">
        <f t="shared" si="788"/>
        <v>0.14399999999999991</v>
      </c>
      <c r="CX94" s="297">
        <f t="shared" si="788"/>
        <v>6.8100358422939156E-2</v>
      </c>
      <c r="CY94" s="297">
        <f t="shared" si="788"/>
        <v>2.5044722719141266E-2</v>
      </c>
      <c r="CZ94" s="297">
        <f t="shared" si="788"/>
        <v>-1.0273972602739767E-2</v>
      </c>
      <c r="DA94" s="297">
        <f t="shared" si="788"/>
        <v>1.2237762237762295E-2</v>
      </c>
      <c r="DB94" s="297">
        <f t="shared" si="788"/>
        <v>-6.9630872483221529E-2</v>
      </c>
      <c r="DC94" s="297">
        <f t="shared" si="788"/>
        <v>-2.4432809773123898E-2</v>
      </c>
      <c r="DD94" s="297">
        <f t="shared" si="788"/>
        <v>5.709342560553643E-2</v>
      </c>
      <c r="DE94" s="297">
        <f t="shared" ref="DE94:DN95" si="789">DE57/DA57-1</f>
        <v>5.1813471502590858E-3</v>
      </c>
      <c r="DF94" s="297">
        <f t="shared" si="789"/>
        <v>5.2299368800721391E-2</v>
      </c>
      <c r="DG94" s="297">
        <f t="shared" si="789"/>
        <v>-2.7728085867620766E-2</v>
      </c>
      <c r="DH94" s="297">
        <f t="shared" si="789"/>
        <v>-6.6284779050736486E-2</v>
      </c>
      <c r="DI94" s="297">
        <f t="shared" si="789"/>
        <v>-4.7250859106529264E-2</v>
      </c>
      <c r="DJ94" s="297">
        <f t="shared" si="789"/>
        <v>-1.3710368466152478E-2</v>
      </c>
      <c r="DK94" s="297">
        <f t="shared" si="789"/>
        <v>1.0000000000000009E-2</v>
      </c>
      <c r="DL94" s="297">
        <f t="shared" si="789"/>
        <v>1.0000000000000009E-2</v>
      </c>
      <c r="DM94" s="297">
        <f t="shared" si="789"/>
        <v>1.0000000000000009E-2</v>
      </c>
      <c r="DN94" s="297">
        <f t="shared" si="789"/>
        <v>1.0000000000000009E-2</v>
      </c>
      <c r="DO94" s="296"/>
      <c r="DP94" s="245"/>
      <c r="DQ94" s="245"/>
      <c r="DR94" s="245"/>
      <c r="DS94" s="245"/>
      <c r="DT94" s="245"/>
      <c r="DU94" s="245"/>
      <c r="DV94" s="245"/>
      <c r="DW94" s="245"/>
      <c r="DX94" s="246">
        <f t="shared" ref="DX94:DZ95" si="790">DX55/DW55-1</f>
        <v>0</v>
      </c>
      <c r="DY94" s="246">
        <f t="shared" si="790"/>
        <v>5.3770491803278642E-2</v>
      </c>
      <c r="DZ94" s="246">
        <f t="shared" si="790"/>
        <v>0.20472930927193533</v>
      </c>
      <c r="EA94" s="246">
        <f t="shared" ref="EA94:EJ94" si="791">EA55/DZ55-1</f>
        <v>2.0661157024793431E-2</v>
      </c>
      <c r="EB94" s="246">
        <f t="shared" si="791"/>
        <v>0.11285425101214575</v>
      </c>
      <c r="EC94" s="246">
        <f t="shared" si="791"/>
        <v>8.5038653933606101E-2</v>
      </c>
      <c r="ED94" s="246">
        <f t="shared" si="791"/>
        <v>0.10603520536462696</v>
      </c>
      <c r="EE94" s="246">
        <f t="shared" si="791"/>
        <v>7.5028419856006057E-2</v>
      </c>
      <c r="EF94" s="246">
        <f t="shared" si="791"/>
        <v>9.2351075079309064E-2</v>
      </c>
      <c r="EG94" s="246">
        <f t="shared" si="791"/>
        <v>3.6786060019361022E-2</v>
      </c>
      <c r="EH94" s="246">
        <f t="shared" si="791"/>
        <v>0.11795829442888262</v>
      </c>
      <c r="EI94" s="246">
        <f t="shared" si="791"/>
        <v>6.9042316258351999E-2</v>
      </c>
      <c r="EJ94" s="246">
        <f t="shared" si="791"/>
        <v>7.3437500000000044E-2</v>
      </c>
      <c r="EK94" s="246">
        <f t="shared" ref="EK94:EQ95" si="792">EK55/EJ55-1</f>
        <v>9.243085880640467E-2</v>
      </c>
      <c r="EL94" s="246">
        <f t="shared" si="792"/>
        <v>8.1501221407950242E-2</v>
      </c>
      <c r="EM94" s="246">
        <f t="shared" si="792"/>
        <v>-1</v>
      </c>
      <c r="EN94" s="246" t="e">
        <f t="shared" si="792"/>
        <v>#DIV/0!</v>
      </c>
      <c r="EO94" s="246" t="e">
        <f t="shared" si="792"/>
        <v>#DIV/0!</v>
      </c>
      <c r="EP94" s="246" t="e">
        <f t="shared" si="792"/>
        <v>#DIV/0!</v>
      </c>
      <c r="EQ94" s="246" t="e">
        <f t="shared" si="792"/>
        <v>#DIV/0!</v>
      </c>
      <c r="ER94" s="246"/>
      <c r="ES94" s="246"/>
      <c r="ET94" s="246"/>
      <c r="EU94" s="246"/>
      <c r="FQ94" s="290"/>
      <c r="FR94" s="290"/>
      <c r="FS94" s="290"/>
      <c r="FT94"/>
      <c r="FU94" s="290"/>
      <c r="FV94" s="290"/>
      <c r="FW94" s="290"/>
    </row>
    <row r="95" spans="1:179" s="279" customFormat="1" ht="12.75" customHeight="1" x14ac:dyDescent="0.2">
      <c r="A95" s="1"/>
      <c r="B95" t="s">
        <v>121</v>
      </c>
      <c r="C95" s="293"/>
      <c r="D95" s="293"/>
      <c r="E95" s="293"/>
      <c r="F95" s="293"/>
      <c r="G95" s="297">
        <f t="shared" si="783"/>
        <v>0.15999999999999992</v>
      </c>
      <c r="H95" s="297">
        <f t="shared" si="783"/>
        <v>0.16999999999999993</v>
      </c>
      <c r="I95" s="297">
        <f t="shared" si="783"/>
        <v>0.16999999999999993</v>
      </c>
      <c r="J95" s="297">
        <f t="shared" si="783"/>
        <v>0.2234848484848484</v>
      </c>
      <c r="K95" s="297">
        <f t="shared" si="783"/>
        <v>0.50352112676056349</v>
      </c>
      <c r="L95" s="297">
        <f t="shared" si="783"/>
        <v>0.48620689655172411</v>
      </c>
      <c r="M95" s="297">
        <f t="shared" si="783"/>
        <v>0.46101694915254243</v>
      </c>
      <c r="N95" s="297">
        <f t="shared" si="783"/>
        <v>0.39318885448916419</v>
      </c>
      <c r="O95" s="297">
        <f t="shared" si="783"/>
        <v>4.9180327868852514E-2</v>
      </c>
      <c r="P95" s="297">
        <f t="shared" si="783"/>
        <v>7.4245939675174011E-2</v>
      </c>
      <c r="Q95" s="297">
        <f t="shared" si="784"/>
        <v>3.7122969837587005E-2</v>
      </c>
      <c r="R95" s="297">
        <f t="shared" si="784"/>
        <v>7.1111111111111125E-2</v>
      </c>
      <c r="S95" s="297">
        <f t="shared" si="784"/>
        <v>6.0267857142857206E-2</v>
      </c>
      <c r="T95" s="297">
        <f t="shared" si="784"/>
        <v>7.7753779697624203E-2</v>
      </c>
      <c r="U95" s="297">
        <f t="shared" si="784"/>
        <v>0.12527964205816544</v>
      </c>
      <c r="V95" s="297">
        <f t="shared" si="784"/>
        <v>8.5062240663900335E-2</v>
      </c>
      <c r="W95" s="297">
        <f t="shared" si="784"/>
        <v>9.6842105263157841E-2</v>
      </c>
      <c r="X95" s="297">
        <f t="shared" si="784"/>
        <v>0.1523046092184368</v>
      </c>
      <c r="Y95" s="297">
        <f t="shared" si="784"/>
        <v>0.13518886679920472</v>
      </c>
      <c r="Z95" s="297">
        <f t="shared" si="784"/>
        <v>0.19502868068833656</v>
      </c>
      <c r="AA95" s="297">
        <f t="shared" si="785"/>
        <v>0.19577735124760087</v>
      </c>
      <c r="AB95" s="297">
        <f t="shared" si="785"/>
        <v>0.1286956521739131</v>
      </c>
      <c r="AC95" s="297">
        <f t="shared" si="785"/>
        <v>8.9316987740805542E-2</v>
      </c>
      <c r="AD95" s="297">
        <f t="shared" si="785"/>
        <v>0.10880000000000001</v>
      </c>
      <c r="AE95" s="297">
        <f t="shared" si="768"/>
        <v>6.7415730337078594E-2</v>
      </c>
      <c r="AF95" s="297">
        <f t="shared" si="768"/>
        <v>9.3990755007704152E-2</v>
      </c>
      <c r="AG95" s="297">
        <f t="shared" si="768"/>
        <v>8.0385852090032239E-2</v>
      </c>
      <c r="AH95" s="297">
        <f t="shared" si="768"/>
        <v>0.15728715728715725</v>
      </c>
      <c r="AI95" s="297">
        <f t="shared" si="768"/>
        <v>0.15338345864661651</v>
      </c>
      <c r="AJ95" s="297">
        <f t="shared" si="768"/>
        <v>0.10563380281690149</v>
      </c>
      <c r="AK95" s="297">
        <f t="shared" si="768"/>
        <v>7.5892857142857206E-2</v>
      </c>
      <c r="AL95" s="297">
        <f t="shared" si="768"/>
        <v>2.6184538653366562E-2</v>
      </c>
      <c r="AM95" s="297">
        <f t="shared" si="768"/>
        <v>3.5202086049543668E-2</v>
      </c>
      <c r="AN95" s="297">
        <f t="shared" si="768"/>
        <v>9.1719745222929916E-2</v>
      </c>
      <c r="AO95" s="297">
        <f t="shared" si="769"/>
        <v>0.14246196403872746</v>
      </c>
      <c r="AP95" s="297">
        <f t="shared" si="769"/>
        <v>9.3560145808019524E-2</v>
      </c>
      <c r="AQ95" s="297">
        <f t="shared" si="769"/>
        <v>0.12216624685138533</v>
      </c>
      <c r="AR95" s="297">
        <f t="shared" si="769"/>
        <v>0.11668611435239207</v>
      </c>
      <c r="AS95" s="297">
        <f t="shared" si="769"/>
        <v>0.116222760290557</v>
      </c>
      <c r="AT95" s="297">
        <f t="shared" si="769"/>
        <v>0.18222222222222229</v>
      </c>
      <c r="AU95" s="297">
        <f t="shared" si="769"/>
        <v>0.12570145903479246</v>
      </c>
      <c r="AV95" s="297">
        <f t="shared" si="769"/>
        <v>0.17450365726227801</v>
      </c>
      <c r="AW95" s="297">
        <f t="shared" si="769"/>
        <v>0.13015184381778733</v>
      </c>
      <c r="AX95" s="297">
        <f t="shared" si="786"/>
        <v>4.9812030075187863E-2</v>
      </c>
      <c r="AY95" s="297">
        <f t="shared" si="786"/>
        <v>1.1964107676968982E-2</v>
      </c>
      <c r="AZ95" s="297">
        <f t="shared" si="786"/>
        <v>-8.0071174377224219E-3</v>
      </c>
      <c r="BA95" s="297">
        <f t="shared" si="786"/>
        <v>6.1420345489443307E-2</v>
      </c>
      <c r="BB95" s="297">
        <f t="shared" si="786"/>
        <v>0.12444046553267674</v>
      </c>
      <c r="BC95" s="297">
        <f t="shared" si="786"/>
        <v>0.15073891625615765</v>
      </c>
      <c r="BD95" s="297">
        <f t="shared" si="786"/>
        <v>7.2645739910313978E-2</v>
      </c>
      <c r="BE95" s="297">
        <f t="shared" si="786"/>
        <v>2.8028933092224317E-2</v>
      </c>
      <c r="BF95" s="297">
        <f t="shared" si="786"/>
        <v>7.9617834394896114E-4</v>
      </c>
      <c r="BG95" s="297">
        <f t="shared" si="786"/>
        <v>4.5376712328767166E-2</v>
      </c>
      <c r="BH95" s="297">
        <f t="shared" si="786"/>
        <v>8.2775919732441361E-2</v>
      </c>
      <c r="BI95" s="297">
        <f t="shared" si="786"/>
        <v>8.267370272647323E-2</v>
      </c>
      <c r="BJ95" s="297">
        <f t="shared" si="786"/>
        <v>6.0461416070007878E-2</v>
      </c>
      <c r="BK95" s="297"/>
      <c r="BL95" s="297"/>
      <c r="BM95" s="297"/>
      <c r="BN95" s="297"/>
      <c r="BO95" s="297"/>
      <c r="BP95" s="297"/>
      <c r="BQ95" s="297"/>
      <c r="BR95" s="297"/>
      <c r="BS95" s="297"/>
      <c r="BT95" s="297"/>
      <c r="BU95" s="297"/>
      <c r="BV95" s="297"/>
      <c r="BW95" s="297"/>
      <c r="BX95" s="297"/>
      <c r="BY95" s="297"/>
      <c r="BZ95" s="297"/>
      <c r="CA95" s="297"/>
      <c r="CB95" s="297"/>
      <c r="CC95" s="297"/>
      <c r="CD95" s="297"/>
      <c r="CE95" s="297"/>
      <c r="CF95" s="297"/>
      <c r="CG95" s="297"/>
      <c r="CH95" s="297"/>
      <c r="CI95" s="297"/>
      <c r="CJ95" s="297"/>
      <c r="CK95" s="297"/>
      <c r="CL95" s="297"/>
      <c r="CM95" s="297">
        <f t="shared" ref="CM95:CT95" si="793">CM58/CI58-1</f>
        <v>-3.3717834960070969E-2</v>
      </c>
      <c r="CN95" s="297">
        <f t="shared" si="793"/>
        <v>-4.2771599657827175E-2</v>
      </c>
      <c r="CO95" s="297">
        <f t="shared" si="793"/>
        <v>1.9444444444444375E-2</v>
      </c>
      <c r="CP95" s="297">
        <f t="shared" si="793"/>
        <v>-8.4674005080440651E-3</v>
      </c>
      <c r="CQ95" s="297">
        <f t="shared" si="793"/>
        <v>5.8769513314967936E-2</v>
      </c>
      <c r="CR95" s="297">
        <f t="shared" si="793"/>
        <v>-0.30741733690795348</v>
      </c>
      <c r="CS95" s="297">
        <f t="shared" si="793"/>
        <v>4.632152588555849E-2</v>
      </c>
      <c r="CT95" s="297">
        <f t="shared" si="793"/>
        <v>0.12040990606319379</v>
      </c>
      <c r="CU95" s="297">
        <f t="shared" si="788"/>
        <v>8.759757155247172E-2</v>
      </c>
      <c r="CV95" s="297">
        <f t="shared" si="788"/>
        <v>0.74709677419354836</v>
      </c>
      <c r="CW95" s="297">
        <f t="shared" si="788"/>
        <v>9.461805555555558E-2</v>
      </c>
      <c r="CX95" s="297">
        <f t="shared" si="788"/>
        <v>6.8597560975609539E-3</v>
      </c>
      <c r="CY95" s="297">
        <f t="shared" si="788"/>
        <v>2.7113237639553533E-2</v>
      </c>
      <c r="CZ95" s="297">
        <f t="shared" si="788"/>
        <v>-4.4313146233382561E-2</v>
      </c>
      <c r="DA95" s="297">
        <f t="shared" si="788"/>
        <v>2.3790642347343294E-3</v>
      </c>
      <c r="DB95" s="297">
        <f t="shared" si="788"/>
        <v>-3.4822104466313397E-2</v>
      </c>
      <c r="DC95" s="297">
        <f t="shared" si="788"/>
        <v>2.1739130434782705E-2</v>
      </c>
      <c r="DD95" s="297">
        <f t="shared" si="788"/>
        <v>6.0278207109737192E-2</v>
      </c>
      <c r="DE95" s="297">
        <f t="shared" si="789"/>
        <v>3.9556962025316444E-2</v>
      </c>
      <c r="DF95" s="297">
        <f t="shared" si="789"/>
        <v>6.9803921568627469E-2</v>
      </c>
      <c r="DG95" s="297">
        <f t="shared" si="789"/>
        <v>1.0638297872340496E-2</v>
      </c>
      <c r="DH95" s="297">
        <f t="shared" si="789"/>
        <v>-1.895043731778423E-2</v>
      </c>
      <c r="DI95" s="297">
        <f t="shared" si="789"/>
        <v>8.3713850837139336E-3</v>
      </c>
      <c r="DJ95" s="297">
        <f t="shared" si="789"/>
        <v>-5.1319648093841597E-3</v>
      </c>
      <c r="DK95" s="297">
        <f t="shared" si="789"/>
        <v>1.0000000000000009E-2</v>
      </c>
      <c r="DL95" s="297">
        <f t="shared" si="789"/>
        <v>1.0000000000000009E-2</v>
      </c>
      <c r="DM95" s="297">
        <f t="shared" si="789"/>
        <v>1.0000000000000009E-2</v>
      </c>
      <c r="DN95" s="297">
        <f t="shared" si="789"/>
        <v>1.0000000000000009E-2</v>
      </c>
      <c r="DO95" s="296"/>
      <c r="DP95" s="245"/>
      <c r="DQ95" s="245"/>
      <c r="DR95" s="245"/>
      <c r="DS95" s="245"/>
      <c r="DT95" s="245"/>
      <c r="DU95" s="245"/>
      <c r="DV95" s="245"/>
      <c r="DW95" s="245"/>
      <c r="DX95" s="246">
        <f t="shared" si="790"/>
        <v>0.15999999999999992</v>
      </c>
      <c r="DY95" s="246">
        <f t="shared" si="790"/>
        <v>0.18156959256220939</v>
      </c>
      <c r="DZ95" s="246">
        <f t="shared" si="790"/>
        <v>0.45889261744966436</v>
      </c>
      <c r="EA95" s="246">
        <f t="shared" ref="EA95:EJ95" si="794">EA56/DZ56-1</f>
        <v>5.8079355951696332E-2</v>
      </c>
      <c r="EB95" s="246">
        <f t="shared" si="794"/>
        <v>8.6956521739130377E-2</v>
      </c>
      <c r="EC95" s="246">
        <f t="shared" si="794"/>
        <v>0.14599999999999991</v>
      </c>
      <c r="ED95" s="246">
        <f t="shared" si="794"/>
        <v>0.12870855148342053</v>
      </c>
      <c r="EE95" s="246">
        <f t="shared" si="794"/>
        <v>0.10127560881329734</v>
      </c>
      <c r="EF95" s="246">
        <f t="shared" si="794"/>
        <v>8.7399087399087305E-2</v>
      </c>
      <c r="EG95" s="246">
        <f t="shared" si="794"/>
        <v>9.0058102001291163E-2</v>
      </c>
      <c r="EH95" s="246">
        <f t="shared" si="794"/>
        <v>0.13532721350310917</v>
      </c>
      <c r="EI95" s="246">
        <f t="shared" si="794"/>
        <v>0.11789254042775177</v>
      </c>
      <c r="EJ95" s="246">
        <f t="shared" si="794"/>
        <v>4.8063462435837589E-2</v>
      </c>
      <c r="EK95" s="246">
        <f t="shared" si="792"/>
        <v>5.9216384683882461E-2</v>
      </c>
      <c r="EL95" s="246">
        <f t="shared" si="792"/>
        <v>6.767549390500216E-2</v>
      </c>
      <c r="EM95" s="246">
        <f t="shared" si="792"/>
        <v>-1</v>
      </c>
      <c r="EN95" s="246" t="e">
        <f t="shared" si="792"/>
        <v>#DIV/0!</v>
      </c>
      <c r="EO95" s="246" t="e">
        <f t="shared" si="792"/>
        <v>#DIV/0!</v>
      </c>
      <c r="EP95" s="246" t="e">
        <f t="shared" si="792"/>
        <v>#DIV/0!</v>
      </c>
      <c r="EQ95" s="246" t="e">
        <f t="shared" si="792"/>
        <v>#DIV/0!</v>
      </c>
      <c r="ER95" s="246"/>
      <c r="ES95" s="246"/>
      <c r="ET95" s="246"/>
      <c r="EU95" s="246"/>
      <c r="FQ95" s="290"/>
      <c r="FR95" s="290"/>
      <c r="FS95" s="291"/>
      <c r="FT95"/>
      <c r="FU95" s="291"/>
      <c r="FV95" s="290"/>
      <c r="FW95" s="290"/>
    </row>
    <row r="96" spans="1:179" s="279" customFormat="1" ht="12.75" customHeight="1" x14ac:dyDescent="0.2">
      <c r="A96" s="1"/>
      <c r="B96" t="s">
        <v>123</v>
      </c>
      <c r="C96" s="293"/>
      <c r="D96" s="293"/>
      <c r="E96" s="293"/>
      <c r="F96" s="293"/>
      <c r="G96" s="297">
        <f t="shared" ref="G96:AL96" si="795">G61/C61-1</f>
        <v>3.0000000000000027E-2</v>
      </c>
      <c r="H96" s="297">
        <f t="shared" si="795"/>
        <v>0</v>
      </c>
      <c r="I96" s="297">
        <f t="shared" si="795"/>
        <v>-1.8333333333333313E-2</v>
      </c>
      <c r="J96" s="297">
        <f t="shared" si="795"/>
        <v>6.7961165048543659E-2</v>
      </c>
      <c r="K96" s="297">
        <f t="shared" si="795"/>
        <v>6.7632850241545972E-2</v>
      </c>
      <c r="L96" s="297">
        <f t="shared" si="795"/>
        <v>0.11428571428571432</v>
      </c>
      <c r="M96" s="297">
        <f t="shared" si="795"/>
        <v>0.14746543778801846</v>
      </c>
      <c r="N96" s="297">
        <f t="shared" si="795"/>
        <v>5.9090909090909083E-2</v>
      </c>
      <c r="O96" s="297">
        <f t="shared" si="795"/>
        <v>9.5022624434389247E-2</v>
      </c>
      <c r="P96" s="297">
        <f t="shared" si="795"/>
        <v>8.9743589743589647E-2</v>
      </c>
      <c r="Q96" s="297">
        <f t="shared" si="795"/>
        <v>0.10040160642570273</v>
      </c>
      <c r="R96" s="297">
        <f t="shared" si="795"/>
        <v>0.11587982832618016</v>
      </c>
      <c r="S96" s="297">
        <f t="shared" si="795"/>
        <v>9.0909090909090828E-2</v>
      </c>
      <c r="T96" s="297">
        <f t="shared" si="795"/>
        <v>3.9215686274509887E-2</v>
      </c>
      <c r="U96" s="297">
        <f t="shared" si="795"/>
        <v>2.9197080291970767E-2</v>
      </c>
      <c r="V96" s="297">
        <f t="shared" si="795"/>
        <v>-3.0769230769230771E-2</v>
      </c>
      <c r="W96" s="297">
        <f t="shared" si="795"/>
        <v>2.2727272727272707E-2</v>
      </c>
      <c r="X96" s="297">
        <f t="shared" si="795"/>
        <v>8.679245283018866E-2</v>
      </c>
      <c r="Y96" s="297">
        <f t="shared" si="795"/>
        <v>0.1063829787234043</v>
      </c>
      <c r="Z96" s="297">
        <f t="shared" si="795"/>
        <v>0.18253968253968256</v>
      </c>
      <c r="AA96" s="297">
        <f t="shared" si="795"/>
        <v>0.11111111111111116</v>
      </c>
      <c r="AB96" s="297">
        <f t="shared" si="795"/>
        <v>0.10069444444444442</v>
      </c>
      <c r="AC96" s="297">
        <f t="shared" si="795"/>
        <v>9.6153846153846256E-2</v>
      </c>
      <c r="AD96" s="297">
        <f t="shared" si="795"/>
        <v>0.13758389261744974</v>
      </c>
      <c r="AE96" s="297">
        <f t="shared" si="795"/>
        <v>0.17999999999999994</v>
      </c>
      <c r="AF96" s="297">
        <f t="shared" si="795"/>
        <v>0.18927444794952675</v>
      </c>
      <c r="AG96" s="297">
        <f t="shared" si="795"/>
        <v>0.14619883040935666</v>
      </c>
      <c r="AH96" s="297">
        <f t="shared" si="795"/>
        <v>0.20058997050147487</v>
      </c>
      <c r="AI96" s="297">
        <f t="shared" si="795"/>
        <v>0.14971751412429368</v>
      </c>
      <c r="AJ96" s="297">
        <f t="shared" si="795"/>
        <v>0.12997347480106103</v>
      </c>
      <c r="AK96" s="297">
        <f t="shared" si="795"/>
        <v>0.13010204081632648</v>
      </c>
      <c r="AL96" s="297">
        <f t="shared" si="795"/>
        <v>2.7027027027026973E-2</v>
      </c>
      <c r="AM96" s="297">
        <f t="shared" ref="AM96:BR96" si="796">AM61/AI61-1</f>
        <v>8.3538083538083452E-2</v>
      </c>
      <c r="AN96" s="297">
        <f t="shared" si="796"/>
        <v>0.11267605633802824</v>
      </c>
      <c r="AO96" s="297">
        <f t="shared" si="796"/>
        <v>0.1128668171557563</v>
      </c>
      <c r="AP96" s="297">
        <f t="shared" si="796"/>
        <v>0.12679425837320579</v>
      </c>
      <c r="AQ96" s="297">
        <f t="shared" si="796"/>
        <v>0.16326530612244894</v>
      </c>
      <c r="AR96" s="297">
        <f t="shared" si="796"/>
        <v>0.16666666666666674</v>
      </c>
      <c r="AS96" s="297">
        <f t="shared" si="796"/>
        <v>0.17038539553752541</v>
      </c>
      <c r="AT96" s="297">
        <f t="shared" si="796"/>
        <v>0.20169851380042458</v>
      </c>
      <c r="AU96" s="297">
        <f t="shared" si="796"/>
        <v>0.18323586744639386</v>
      </c>
      <c r="AV96" s="297">
        <f t="shared" si="796"/>
        <v>0.15551537070524413</v>
      </c>
      <c r="AW96" s="297">
        <f t="shared" si="796"/>
        <v>0.12998266897746968</v>
      </c>
      <c r="AX96" s="297">
        <f t="shared" si="796"/>
        <v>6.360424028268552E-2</v>
      </c>
      <c r="AY96" s="297">
        <f t="shared" si="796"/>
        <v>-1.3179571663920919E-2</v>
      </c>
      <c r="AZ96" s="297">
        <f t="shared" si="796"/>
        <v>-1.4084507042253502E-2</v>
      </c>
      <c r="BA96" s="297">
        <f t="shared" si="796"/>
        <v>1.0736196319018454E-2</v>
      </c>
      <c r="BB96" s="297">
        <f t="shared" si="796"/>
        <v>2.6578073089700949E-2</v>
      </c>
      <c r="BC96" s="297">
        <f t="shared" si="796"/>
        <v>0.10851419031719534</v>
      </c>
      <c r="BD96" s="297">
        <f t="shared" si="796"/>
        <v>5.0793650793650835E-2</v>
      </c>
      <c r="BE96" s="297">
        <f t="shared" si="796"/>
        <v>5.4628224582701002E-2</v>
      </c>
      <c r="BF96" s="297">
        <f t="shared" si="796"/>
        <v>6.6343042071197456E-2</v>
      </c>
      <c r="BG96" s="297">
        <f t="shared" si="796"/>
        <v>8.7349397590361422E-2</v>
      </c>
      <c r="BH96" s="297">
        <f t="shared" si="796"/>
        <v>0.10574018126888207</v>
      </c>
      <c r="BI96" s="297">
        <f t="shared" si="796"/>
        <v>8.2014388489208612E-2</v>
      </c>
      <c r="BJ96" s="297">
        <f t="shared" si="796"/>
        <v>7.7389984825493086E-2</v>
      </c>
      <c r="BK96" s="297">
        <f t="shared" si="796"/>
        <v>4.8476454293628901E-2</v>
      </c>
      <c r="BL96" s="297">
        <f t="shared" si="796"/>
        <v>-2.732240437158473E-3</v>
      </c>
      <c r="BM96" s="297">
        <f t="shared" si="796"/>
        <v>1.5957446808510634E-2</v>
      </c>
      <c r="BN96" s="297">
        <f t="shared" si="796"/>
        <v>4.9295774647887258E-2</v>
      </c>
      <c r="BO96" s="297">
        <f t="shared" si="796"/>
        <v>-2.2457067371202122E-2</v>
      </c>
      <c r="BP96" s="297">
        <f t="shared" si="796"/>
        <v>0</v>
      </c>
      <c r="BQ96" s="297">
        <f t="shared" si="796"/>
        <v>-2.0942408376963373E-2</v>
      </c>
      <c r="BR96" s="297">
        <f t="shared" si="796"/>
        <v>-3.4899328859060441E-2</v>
      </c>
      <c r="BS96" s="297">
        <f t="shared" ref="BS96:BZ96" si="797">BS61/BO61-1</f>
        <v>2.8378378378378422E-2</v>
      </c>
      <c r="BT96" s="297">
        <f t="shared" si="797"/>
        <v>-3.150684931506853E-2</v>
      </c>
      <c r="BU96" s="297">
        <f t="shared" si="797"/>
        <v>-5.8823529411764719E-2</v>
      </c>
      <c r="BV96" s="297">
        <f t="shared" si="797"/>
        <v>-0.10152990264255912</v>
      </c>
      <c r="BW96" s="297">
        <f t="shared" si="797"/>
        <v>-0.17082785808147172</v>
      </c>
      <c r="BX96" s="297">
        <f t="shared" si="797"/>
        <v>-8.6280056577086262E-2</v>
      </c>
      <c r="BY96" s="297">
        <f t="shared" si="797"/>
        <v>-2.9829545454545414E-2</v>
      </c>
      <c r="BZ96" s="297">
        <f t="shared" si="797"/>
        <v>3.0959752321981782E-3</v>
      </c>
      <c r="CA96" s="297"/>
      <c r="CB96" s="297"/>
      <c r="CC96" s="297"/>
      <c r="CD96" s="297"/>
      <c r="CE96" s="297"/>
      <c r="CF96" s="297"/>
      <c r="CG96" s="297"/>
      <c r="CH96" s="297"/>
      <c r="CI96" s="297"/>
      <c r="CJ96" s="297"/>
      <c r="CK96" s="297"/>
      <c r="CL96" s="297"/>
      <c r="CM96" s="297"/>
      <c r="CN96" s="297"/>
      <c r="CO96" s="297"/>
      <c r="CP96" s="297"/>
      <c r="CQ96" s="297"/>
      <c r="CR96" s="297"/>
      <c r="CS96" s="297"/>
      <c r="CT96" s="297"/>
      <c r="CU96" s="297"/>
      <c r="CV96" s="297"/>
      <c r="CW96" s="297"/>
      <c r="CX96" s="297"/>
      <c r="CY96" s="297"/>
      <c r="CZ96" s="297"/>
      <c r="DA96" s="297"/>
      <c r="DB96" s="297"/>
      <c r="DC96" s="297"/>
      <c r="DD96" s="297"/>
      <c r="DE96" s="297"/>
      <c r="DF96" s="297"/>
      <c r="DG96" s="297"/>
      <c r="DH96" s="297"/>
      <c r="DI96" s="297"/>
      <c r="DJ96" s="297"/>
      <c r="DK96" s="297"/>
      <c r="DL96" s="297"/>
      <c r="DM96" s="297"/>
      <c r="DN96" s="297"/>
      <c r="DO96" s="296"/>
      <c r="DP96" s="245"/>
      <c r="DQ96" s="245"/>
      <c r="DR96" s="245"/>
      <c r="DS96" s="245"/>
      <c r="DT96" s="245"/>
      <c r="DU96" s="245"/>
      <c r="DV96" s="245"/>
      <c r="DW96" s="245"/>
      <c r="DX96" s="246">
        <f t="shared" ref="DX96:EQ96" si="798">DX61/DW61-1</f>
        <v>0.16999999999999993</v>
      </c>
      <c r="DY96" s="246">
        <f t="shared" si="798"/>
        <v>9.4562647754137252E-3</v>
      </c>
      <c r="DZ96" s="246">
        <f t="shared" si="798"/>
        <v>0.11592505854800939</v>
      </c>
      <c r="EA96" s="246">
        <f t="shared" si="798"/>
        <v>8.1846799580272744E-2</v>
      </c>
      <c r="EB96" s="246">
        <f t="shared" si="798"/>
        <v>3.1037827352085268E-2</v>
      </c>
      <c r="EC96" s="246">
        <f t="shared" si="798"/>
        <v>9.8777046095954946E-2</v>
      </c>
      <c r="ED96" s="246">
        <f t="shared" si="798"/>
        <v>0.11130136986301364</v>
      </c>
      <c r="EE96" s="246">
        <f t="shared" si="798"/>
        <v>0.17873651771956856</v>
      </c>
      <c r="EF96" s="246">
        <f t="shared" si="798"/>
        <v>0.10718954248366019</v>
      </c>
      <c r="EG96" s="246">
        <f t="shared" si="798"/>
        <v>0.10920897284533648</v>
      </c>
      <c r="EH96" s="246">
        <f t="shared" si="798"/>
        <v>0.17562533262373603</v>
      </c>
      <c r="EI96" s="246">
        <f t="shared" si="798"/>
        <v>0.13173381620642832</v>
      </c>
      <c r="EJ96" s="246">
        <f t="shared" si="798"/>
        <v>2.3999999999999577E-3</v>
      </c>
      <c r="EK96" s="246">
        <f t="shared" si="798"/>
        <v>6.9433359936153183E-2</v>
      </c>
      <c r="EL96" s="246">
        <f t="shared" si="798"/>
        <v>8.8059701492537279E-2</v>
      </c>
      <c r="EM96" s="246">
        <f t="shared" si="798"/>
        <v>2.7434842249657088E-2</v>
      </c>
      <c r="EN96" s="246">
        <f t="shared" si="798"/>
        <v>-1.9692923898531389E-2</v>
      </c>
      <c r="EO96" s="246">
        <f t="shared" si="798"/>
        <v>-5.0000000000000044E-3</v>
      </c>
      <c r="EP96" s="246">
        <f t="shared" si="798"/>
        <v>-5.0000000000000044E-3</v>
      </c>
      <c r="EQ96" s="246">
        <f t="shared" si="798"/>
        <v>-5.0000000000000044E-3</v>
      </c>
      <c r="ER96" s="246"/>
      <c r="ES96" s="246"/>
      <c r="ET96" s="246"/>
      <c r="EU96" s="246"/>
      <c r="EW96" s="245">
        <f t="shared" ref="EW96:FE96" si="799">+EW61/EV61-1</f>
        <v>3.4343003412969253E-2</v>
      </c>
      <c r="EX96" s="245">
        <f t="shared" si="799"/>
        <v>-5.0000000000000044E-3</v>
      </c>
      <c r="EY96" s="245">
        <f t="shared" si="799"/>
        <v>-5.0000000000000044E-3</v>
      </c>
      <c r="EZ96" s="245">
        <f t="shared" si="799"/>
        <v>-5.0000000000000044E-3</v>
      </c>
      <c r="FA96" s="245">
        <f t="shared" si="799"/>
        <v>-4.9999999999998934E-3</v>
      </c>
      <c r="FB96" s="245">
        <f t="shared" si="799"/>
        <v>-5.0000000000000044E-3</v>
      </c>
      <c r="FC96" s="245">
        <f t="shared" si="799"/>
        <v>-5.0000000000000044E-3</v>
      </c>
      <c r="FD96" s="245">
        <f t="shared" si="799"/>
        <v>-5.0000000000001155E-3</v>
      </c>
      <c r="FE96" s="245">
        <f t="shared" si="799"/>
        <v>-5.0000000000000044E-3</v>
      </c>
      <c r="FF96" s="245"/>
      <c r="FG96" s="245"/>
      <c r="FH96" s="245"/>
      <c r="FI96" s="245"/>
      <c r="FJ96" s="245"/>
      <c r="FQ96" s="290"/>
      <c r="FR96" s="290"/>
      <c r="FS96" s="291"/>
      <c r="FT96"/>
      <c r="FU96" s="291"/>
      <c r="FV96" s="290"/>
      <c r="FW96" s="290"/>
    </row>
    <row r="97" spans="2:166" ht="12.75" customHeight="1" x14ac:dyDescent="0.2">
      <c r="AE97" s="243"/>
      <c r="AF97" s="243"/>
      <c r="AG97" s="243"/>
      <c r="AH97" s="243"/>
      <c r="AI97" s="243"/>
      <c r="AJ97" s="243"/>
      <c r="AK97" s="243"/>
      <c r="AL97" s="243"/>
      <c r="AM97" s="243"/>
      <c r="AN97" s="243"/>
      <c r="AO97" s="243"/>
      <c r="AP97" s="243"/>
      <c r="AQ97" s="243"/>
      <c r="AR97" s="243"/>
      <c r="AS97" s="243"/>
      <c r="AT97" s="243"/>
      <c r="AU97" s="243"/>
      <c r="AV97" s="243"/>
      <c r="AW97" s="243"/>
      <c r="AX97" s="243"/>
      <c r="DP97" s="276"/>
      <c r="DQ97" s="276"/>
      <c r="DR97" s="276"/>
      <c r="DS97" s="276"/>
      <c r="DT97" s="276"/>
      <c r="DU97" s="276"/>
      <c r="DV97" s="276"/>
      <c r="DW97" s="276"/>
      <c r="DX97" s="276"/>
      <c r="DY97" s="276"/>
      <c r="DZ97" s="276"/>
      <c r="EA97" s="298"/>
      <c r="EB97" s="298"/>
      <c r="EC97" s="298"/>
      <c r="ED97" s="235"/>
      <c r="EE97" s="235"/>
      <c r="EF97" s="235"/>
      <c r="EG97" s="283"/>
      <c r="EH97" s="283"/>
      <c r="EI97" s="283"/>
      <c r="EJ97" s="283"/>
      <c r="EK97" s="283"/>
      <c r="EL97" s="276"/>
      <c r="EM97" s="276"/>
      <c r="EN97" s="276"/>
      <c r="EO97" s="276"/>
      <c r="EP97" s="276"/>
      <c r="EQ97" s="276"/>
      <c r="ER97" s="276"/>
      <c r="ES97" s="276"/>
      <c r="ET97" s="276"/>
      <c r="EU97" s="276"/>
    </row>
    <row r="98" spans="2:166" ht="12.75" customHeight="1" x14ac:dyDescent="0.2">
      <c r="B98" t="s">
        <v>350</v>
      </c>
      <c r="C98" s="240">
        <f t="shared" ref="C98:AH98" si="800">C66/C64</f>
        <v>0.68993875765529311</v>
      </c>
      <c r="D98" s="240">
        <f t="shared" si="800"/>
        <v>0.693050193050193</v>
      </c>
      <c r="E98" s="240">
        <f t="shared" si="800"/>
        <v>0.68671679197994984</v>
      </c>
      <c r="F98" s="240">
        <f t="shared" si="800"/>
        <v>0.66589698046181167</v>
      </c>
      <c r="G98" s="240">
        <f t="shared" si="800"/>
        <v>0.69272004150095101</v>
      </c>
      <c r="H98" s="240">
        <f t="shared" si="800"/>
        <v>0.68822410513574273</v>
      </c>
      <c r="I98" s="240">
        <f t="shared" si="800"/>
        <v>0.69287211740041932</v>
      </c>
      <c r="J98" s="240">
        <f t="shared" si="800"/>
        <v>0.67048845610177477</v>
      </c>
      <c r="K98" s="240">
        <f t="shared" si="800"/>
        <v>0.69297981319674595</v>
      </c>
      <c r="L98" s="240">
        <f t="shared" si="800"/>
        <v>0.69565217391304346</v>
      </c>
      <c r="M98" s="240">
        <f t="shared" si="800"/>
        <v>0.69921469847384798</v>
      </c>
      <c r="N98" s="240">
        <f t="shared" si="800"/>
        <v>0.68285589646648248</v>
      </c>
      <c r="O98" s="240">
        <f t="shared" si="800"/>
        <v>0.69381062986746822</v>
      </c>
      <c r="P98" s="241">
        <f t="shared" si="800"/>
        <v>0.6995205114544486</v>
      </c>
      <c r="Q98" s="240">
        <f t="shared" si="800"/>
        <v>0.69752915047196007</v>
      </c>
      <c r="R98" s="240">
        <f t="shared" si="800"/>
        <v>0.69259988745075973</v>
      </c>
      <c r="S98" s="240">
        <f t="shared" si="800"/>
        <v>0.70748299319727892</v>
      </c>
      <c r="T98" s="241">
        <f t="shared" si="800"/>
        <v>0.71685447134979619</v>
      </c>
      <c r="U98" s="240">
        <f t="shared" si="800"/>
        <v>0.71048798252002909</v>
      </c>
      <c r="V98" s="240">
        <f t="shared" si="800"/>
        <v>0.70379626323931932</v>
      </c>
      <c r="W98" s="241">
        <f t="shared" si="800"/>
        <v>0.71897518014411532</v>
      </c>
      <c r="X98" s="240">
        <f t="shared" si="800"/>
        <v>0.715419376171057</v>
      </c>
      <c r="Y98" s="240">
        <f t="shared" si="800"/>
        <v>0.7124132613723978</v>
      </c>
      <c r="Z98" s="240">
        <f t="shared" si="800"/>
        <v>0.70254174199723496</v>
      </c>
      <c r="AA98" s="241">
        <f t="shared" si="800"/>
        <v>0.72286703319079615</v>
      </c>
      <c r="AB98" s="240">
        <f t="shared" si="800"/>
        <v>0.71293070073557874</v>
      </c>
      <c r="AC98" s="240">
        <f t="shared" si="800"/>
        <v>0.71494164912951985</v>
      </c>
      <c r="AD98" s="240">
        <f t="shared" si="800"/>
        <v>0.6919834928439722</v>
      </c>
      <c r="AE98" s="288">
        <f t="shared" si="800"/>
        <v>0.71904205607476634</v>
      </c>
      <c r="AF98" s="289">
        <f t="shared" si="800"/>
        <v>0.73410696266397579</v>
      </c>
      <c r="AG98" s="289">
        <f t="shared" si="800"/>
        <v>0.72414091577945128</v>
      </c>
      <c r="AH98" s="288">
        <f t="shared" si="800"/>
        <v>0.70937892095357591</v>
      </c>
      <c r="AI98" s="289">
        <f t="shared" ref="AI98:BN98" si="801">AI66/AI64</f>
        <v>0.72755610972568574</v>
      </c>
      <c r="AJ98" s="289">
        <f t="shared" si="801"/>
        <v>0.7240244475787494</v>
      </c>
      <c r="AK98" s="289">
        <f t="shared" si="801"/>
        <v>0.72753858651502845</v>
      </c>
      <c r="AL98" s="288">
        <f t="shared" si="801"/>
        <v>0.71149881046788266</v>
      </c>
      <c r="AM98" s="288">
        <f t="shared" si="801"/>
        <v>0.72198275862068961</v>
      </c>
      <c r="AN98" s="288">
        <f t="shared" si="801"/>
        <v>0.71653071914989153</v>
      </c>
      <c r="AO98" s="289">
        <f t="shared" si="801"/>
        <v>0.72529540152028293</v>
      </c>
      <c r="AP98" s="288">
        <f t="shared" si="801"/>
        <v>0.70713346002046484</v>
      </c>
      <c r="AQ98" s="288">
        <f t="shared" si="801"/>
        <v>0.7093524226154968</v>
      </c>
      <c r="AR98" s="288">
        <f t="shared" si="801"/>
        <v>0.71219125610883638</v>
      </c>
      <c r="AS98" s="288">
        <f t="shared" si="801"/>
        <v>0.71519957353235153</v>
      </c>
      <c r="AT98" s="288">
        <f t="shared" si="801"/>
        <v>0.70332769317540889</v>
      </c>
      <c r="AU98" s="288">
        <f t="shared" si="801"/>
        <v>0.71507965913301219</v>
      </c>
      <c r="AV98" s="288">
        <f t="shared" si="801"/>
        <v>0.71118541033434646</v>
      </c>
      <c r="AW98" s="288">
        <f t="shared" si="801"/>
        <v>0.70014446328748192</v>
      </c>
      <c r="AX98" s="288">
        <f t="shared" si="801"/>
        <v>0.71202740086945071</v>
      </c>
      <c r="AY98" s="288">
        <f t="shared" si="801"/>
        <v>0.71709037668042064</v>
      </c>
      <c r="AZ98" s="288">
        <f t="shared" si="801"/>
        <v>0.70798608832600562</v>
      </c>
      <c r="BA98" s="288">
        <f t="shared" si="801"/>
        <v>0.70598766660035805</v>
      </c>
      <c r="BB98" s="288">
        <f t="shared" si="801"/>
        <v>0.68588000725031717</v>
      </c>
      <c r="BC98" s="288">
        <f t="shared" si="801"/>
        <v>0.71031923741283343</v>
      </c>
      <c r="BD98" s="288">
        <f t="shared" si="801"/>
        <v>0.69913574631230102</v>
      </c>
      <c r="BE98" s="288">
        <f t="shared" si="801"/>
        <v>0.69336537177946866</v>
      </c>
      <c r="BF98" s="288">
        <f t="shared" si="801"/>
        <v>0.67783175658399386</v>
      </c>
      <c r="BG98" s="288">
        <f t="shared" si="801"/>
        <v>0.71837793233525871</v>
      </c>
      <c r="BH98" s="288">
        <f t="shared" si="801"/>
        <v>0.68837741760559135</v>
      </c>
      <c r="BI98" s="288">
        <f t="shared" si="801"/>
        <v>0.68309903155263985</v>
      </c>
      <c r="BJ98" s="288">
        <f t="shared" si="801"/>
        <v>0.71638063864831836</v>
      </c>
      <c r="BK98" s="288">
        <f t="shared" si="801"/>
        <v>0.69545820682818016</v>
      </c>
      <c r="BL98" s="288">
        <f t="shared" si="801"/>
        <v>0.69066522314447254</v>
      </c>
      <c r="BM98" s="288">
        <f t="shared" si="801"/>
        <v>0.67442266302134835</v>
      </c>
      <c r="BN98" s="288">
        <f t="shared" si="801"/>
        <v>0.66258220448541394</v>
      </c>
      <c r="BO98" s="288">
        <f t="shared" ref="BO98:BT98" si="802">BO66/BO64</f>
        <v>0.68349669478003194</v>
      </c>
      <c r="BP98" s="288">
        <f t="shared" si="802"/>
        <v>0.69391624379635308</v>
      </c>
      <c r="BQ98" s="288">
        <f t="shared" si="802"/>
        <v>0.69703497930721692</v>
      </c>
      <c r="BR98" s="288">
        <f t="shared" si="802"/>
        <v>0.6772532654056691</v>
      </c>
      <c r="BS98" s="288">
        <f t="shared" si="802"/>
        <v>0.70058729897359895</v>
      </c>
      <c r="BT98" s="288">
        <f t="shared" si="802"/>
        <v>0.69022826365734802</v>
      </c>
      <c r="BU98" s="288">
        <v>0.69</v>
      </c>
      <c r="BV98" s="288">
        <v>0.69</v>
      </c>
      <c r="BW98" s="288">
        <v>0.69</v>
      </c>
      <c r="BX98" s="288">
        <v>0.69</v>
      </c>
      <c r="BY98" s="288">
        <v>0.69</v>
      </c>
      <c r="BZ98" s="288">
        <v>0.69</v>
      </c>
      <c r="CA98" s="288"/>
      <c r="CB98" s="288"/>
      <c r="CC98" s="288"/>
      <c r="CD98" s="288"/>
      <c r="CE98" s="288"/>
      <c r="CF98" s="288"/>
      <c r="CG98" s="288"/>
      <c r="CH98" s="288"/>
      <c r="CI98" s="288"/>
      <c r="CJ98" s="288"/>
      <c r="CK98" s="288"/>
      <c r="CL98" s="288"/>
      <c r="CM98" s="288"/>
      <c r="CN98" s="288"/>
      <c r="CO98" s="288"/>
      <c r="CP98" s="288"/>
      <c r="CQ98" s="288">
        <f t="shared" ref="CQ98:DF98" si="803">+CQ66/CQ64</f>
        <v>0.658675688738521</v>
      </c>
      <c r="CR98" s="288">
        <f t="shared" si="803"/>
        <v>0.64123677609335805</v>
      </c>
      <c r="CS98" s="288">
        <f t="shared" si="803"/>
        <v>0.6692913385826772</v>
      </c>
      <c r="CT98" s="288">
        <f t="shared" si="803"/>
        <v>0.65234027407011919</v>
      </c>
      <c r="CU98" s="288">
        <f t="shared" si="803"/>
        <v>0.68357152457327186</v>
      </c>
      <c r="CV98" s="288">
        <f t="shared" si="803"/>
        <v>0.72932042148372511</v>
      </c>
      <c r="CW98" s="288">
        <f t="shared" si="803"/>
        <v>0.68930790657810159</v>
      </c>
      <c r="CX98" s="288">
        <f t="shared" si="803"/>
        <v>0.6802395690971943</v>
      </c>
      <c r="CY98" s="288">
        <f t="shared" si="803"/>
        <v>0.67701071246386668</v>
      </c>
      <c r="CZ98" s="288">
        <f t="shared" si="803"/>
        <v>0.72647022255377347</v>
      </c>
      <c r="DA98" s="288">
        <f t="shared" si="803"/>
        <v>0.6739883910301917</v>
      </c>
      <c r="DB98" s="288">
        <f t="shared" si="803"/>
        <v>0.72896687465974286</v>
      </c>
      <c r="DC98" s="288">
        <f t="shared" si="803"/>
        <v>0.67995596822054183</v>
      </c>
      <c r="DD98" s="288">
        <f t="shared" si="803"/>
        <v>0.6795192007492975</v>
      </c>
      <c r="DE98" s="288">
        <f t="shared" si="803"/>
        <v>0.75621179831854057</v>
      </c>
      <c r="DF98" s="288">
        <f t="shared" si="803"/>
        <v>0.7415404748551131</v>
      </c>
      <c r="DG98" s="288">
        <f t="shared" ref="DG98:DN98" si="804">+DG66/DG64</f>
        <v>0.74726405387709283</v>
      </c>
      <c r="DH98" s="288">
        <f t="shared" si="804"/>
        <v>0.6940720616398699</v>
      </c>
      <c r="DI98" s="288">
        <f t="shared" si="804"/>
        <v>0.75025143965893215</v>
      </c>
      <c r="DJ98" s="288">
        <f t="shared" si="804"/>
        <v>0.74357266551218859</v>
      </c>
      <c r="DK98" s="288">
        <f t="shared" si="804"/>
        <v>0.75</v>
      </c>
      <c r="DL98" s="288">
        <f t="shared" si="804"/>
        <v>0.74999999999999989</v>
      </c>
      <c r="DM98" s="288">
        <f t="shared" si="804"/>
        <v>0.75</v>
      </c>
      <c r="DN98" s="288">
        <f t="shared" si="804"/>
        <v>0.75</v>
      </c>
      <c r="DP98" s="240">
        <f t="shared" ref="DP98:FC98" si="805">+DP66/DP64</f>
        <v>0.64333299169826796</v>
      </c>
      <c r="DQ98" s="240">
        <f t="shared" si="805"/>
        <v>0.64948361823361822</v>
      </c>
      <c r="DR98" s="240">
        <f t="shared" si="805"/>
        <v>0.66224793122840842</v>
      </c>
      <c r="DS98" s="240">
        <f t="shared" si="805"/>
        <v>0.65985603141132843</v>
      </c>
      <c r="DT98" s="240">
        <f t="shared" si="805"/>
        <v>0.66112604328759372</v>
      </c>
      <c r="DU98" s="240">
        <f t="shared" si="805"/>
        <v>0.66321342316003562</v>
      </c>
      <c r="DV98" s="240">
        <f t="shared" si="805"/>
        <v>0.6690903301135761</v>
      </c>
      <c r="DW98" s="240">
        <f t="shared" si="805"/>
        <v>0.67539315448658654</v>
      </c>
      <c r="DX98" s="240">
        <f t="shared" si="805"/>
        <v>0.68394537982235182</v>
      </c>
      <c r="DY98" s="240">
        <f t="shared" si="805"/>
        <v>0.68567443040114973</v>
      </c>
      <c r="DZ98" s="240">
        <f t="shared" si="805"/>
        <v>0.69269411379272683</v>
      </c>
      <c r="EA98" s="240">
        <f t="shared" si="805"/>
        <v>0.69590583067366762</v>
      </c>
      <c r="EB98" s="240">
        <f t="shared" si="805"/>
        <v>0.71106532541510115</v>
      </c>
      <c r="EC98" s="240">
        <f t="shared" si="805"/>
        <v>0.71697474256269655</v>
      </c>
      <c r="ED98" s="240">
        <f t="shared" si="805"/>
        <v>0.71259565588900375</v>
      </c>
      <c r="EE98" s="240">
        <f t="shared" si="805"/>
        <v>0.72105492861150944</v>
      </c>
      <c r="EF98" s="240">
        <f t="shared" si="805"/>
        <v>0.71808961978261743</v>
      </c>
      <c r="EG98" s="240">
        <f t="shared" si="805"/>
        <v>0.71763183557122501</v>
      </c>
      <c r="EH98" s="240">
        <f t="shared" si="805"/>
        <v>0.70945249202062366</v>
      </c>
      <c r="EI98" s="240">
        <f t="shared" si="805"/>
        <v>0.70961770749996078</v>
      </c>
      <c r="EJ98" s="240">
        <f t="shared" si="805"/>
        <v>0.70379824547231695</v>
      </c>
      <c r="EK98" s="240">
        <f t="shared" si="805"/>
        <v>0.69421527947278494</v>
      </c>
      <c r="EL98" s="240">
        <f t="shared" si="805"/>
        <v>0.73856681531600799</v>
      </c>
      <c r="EM98" s="240">
        <f t="shared" si="805"/>
        <v>0.68031056725759076</v>
      </c>
      <c r="EN98" s="240">
        <f t="shared" si="805"/>
        <v>0.68670069553511326</v>
      </c>
      <c r="EO98" s="240">
        <f t="shared" si="805"/>
        <v>0.69</v>
      </c>
      <c r="EP98" s="240">
        <f t="shared" si="805"/>
        <v>0.69</v>
      </c>
      <c r="EQ98" s="240">
        <f t="shared" si="805"/>
        <v>0.69</v>
      </c>
      <c r="ER98" s="240">
        <f t="shared" si="805"/>
        <v>0.69</v>
      </c>
      <c r="ES98" s="240">
        <f t="shared" si="805"/>
        <v>0.66792512962577066</v>
      </c>
      <c r="ET98" s="240">
        <f t="shared" si="805"/>
        <v>0.66418465213205458</v>
      </c>
      <c r="EU98" s="240">
        <f t="shared" si="805"/>
        <v>0.65578911679945751</v>
      </c>
      <c r="EV98" s="240">
        <f t="shared" si="805"/>
        <v>0.69624942939946288</v>
      </c>
      <c r="EW98" s="240">
        <f t="shared" si="805"/>
        <v>0.70141444643662254</v>
      </c>
      <c r="EX98" s="240">
        <f t="shared" si="805"/>
        <v>0.69</v>
      </c>
      <c r="EY98" s="240">
        <f t="shared" si="805"/>
        <v>0.69</v>
      </c>
      <c r="EZ98" s="240">
        <f t="shared" si="805"/>
        <v>0.69</v>
      </c>
      <c r="FA98" s="240">
        <f t="shared" si="805"/>
        <v>0.69</v>
      </c>
      <c r="FB98" s="240">
        <f t="shared" si="805"/>
        <v>0.69</v>
      </c>
      <c r="FC98" s="240">
        <f t="shared" si="805"/>
        <v>0.69</v>
      </c>
    </row>
    <row r="99" spans="2:166" ht="12.75" customHeight="1" x14ac:dyDescent="0.2">
      <c r="B99" t="s">
        <v>338</v>
      </c>
      <c r="C99" s="240">
        <f t="shared" ref="C99:AD99" si="806">+C67/C64</f>
        <v>0.37410323709536308</v>
      </c>
      <c r="D99" s="240">
        <f t="shared" si="806"/>
        <v>0.37592137592137592</v>
      </c>
      <c r="E99" s="240">
        <f t="shared" si="806"/>
        <v>0.38471177944862156</v>
      </c>
      <c r="F99" s="240">
        <f t="shared" si="806"/>
        <v>0.40603907637655418</v>
      </c>
      <c r="G99" s="240">
        <f t="shared" si="806"/>
        <v>0.3631333218052914</v>
      </c>
      <c r="H99" s="240">
        <f t="shared" si="806"/>
        <v>0.36555421061732662</v>
      </c>
      <c r="I99" s="240">
        <f t="shared" si="806"/>
        <v>0.37578616352201261</v>
      </c>
      <c r="J99" s="240">
        <f t="shared" si="806"/>
        <v>0.39924611276896499</v>
      </c>
      <c r="K99" s="240">
        <f t="shared" si="806"/>
        <v>0.36200662850256099</v>
      </c>
      <c r="L99" s="240">
        <f t="shared" si="806"/>
        <v>0.37189962065946891</v>
      </c>
      <c r="M99" s="240">
        <f t="shared" si="806"/>
        <v>0.37990813453845013</v>
      </c>
      <c r="N99" s="240">
        <f t="shared" si="806"/>
        <v>0.41602442925694344</v>
      </c>
      <c r="O99" s="240">
        <f t="shared" si="806"/>
        <v>0.35646946304139909</v>
      </c>
      <c r="P99" s="240">
        <f t="shared" si="806"/>
        <v>0.36561001598295151</v>
      </c>
      <c r="Q99" s="240">
        <f t="shared" si="806"/>
        <v>0.37132148806218768</v>
      </c>
      <c r="R99" s="240">
        <f t="shared" si="806"/>
        <v>0.40039392234102422</v>
      </c>
      <c r="S99" s="240">
        <f t="shared" si="806"/>
        <v>0.34924913361571042</v>
      </c>
      <c r="T99" s="240">
        <f t="shared" si="806"/>
        <v>0.35662910573004075</v>
      </c>
      <c r="U99" s="240">
        <f t="shared" si="806"/>
        <v>0.35129885894634622</v>
      </c>
      <c r="V99" s="240">
        <f t="shared" si="806"/>
        <v>0.3903367844817327</v>
      </c>
      <c r="W99" s="240">
        <f t="shared" si="806"/>
        <v>0.32517442525448931</v>
      </c>
      <c r="X99" s="240">
        <f t="shared" si="806"/>
        <v>0.3325250743965612</v>
      </c>
      <c r="Y99" s="240">
        <f t="shared" si="806"/>
        <v>0.33109373278995485</v>
      </c>
      <c r="Z99" s="240">
        <f t="shared" si="806"/>
        <v>0.35626927576305434</v>
      </c>
      <c r="AA99" s="240">
        <f t="shared" si="806"/>
        <v>0.33119527591121972</v>
      </c>
      <c r="AB99" s="240">
        <f t="shared" si="806"/>
        <v>0.32868757259001163</v>
      </c>
      <c r="AC99" s="240">
        <f t="shared" si="806"/>
        <v>0.32791276066577385</v>
      </c>
      <c r="AD99" s="240">
        <f t="shared" si="806"/>
        <v>0.3559575028536307</v>
      </c>
      <c r="AE99" s="288">
        <f t="shared" ref="AE99:BV99" si="807">AE67/AE64</f>
        <v>0.30373831775700932</v>
      </c>
      <c r="AF99" s="288">
        <f t="shared" si="807"/>
        <v>0.31205852674066598</v>
      </c>
      <c r="AG99" s="288">
        <f t="shared" si="807"/>
        <v>0.3335930061455899</v>
      </c>
      <c r="AH99" s="288">
        <f t="shared" si="807"/>
        <v>0.36504077791718947</v>
      </c>
      <c r="AI99" s="288">
        <f t="shared" si="807"/>
        <v>0.32161783042394015</v>
      </c>
      <c r="AJ99" s="288">
        <f t="shared" si="807"/>
        <v>0.32863187588152326</v>
      </c>
      <c r="AK99" s="288">
        <f t="shared" si="807"/>
        <v>0.33801787164906583</v>
      </c>
      <c r="AL99" s="288">
        <f t="shared" si="807"/>
        <v>0.36835844567803333</v>
      </c>
      <c r="AM99" s="288">
        <f t="shared" si="807"/>
        <v>0.31519396551724138</v>
      </c>
      <c r="AN99" s="288">
        <f t="shared" si="807"/>
        <v>0.32560053880116741</v>
      </c>
      <c r="AO99" s="288">
        <f t="shared" si="807"/>
        <v>0.32294724166478511</v>
      </c>
      <c r="AP99" s="288">
        <f t="shared" si="807"/>
        <v>0.34322467475515278</v>
      </c>
      <c r="AQ99" s="288">
        <f t="shared" si="807"/>
        <v>0.31828726718366807</v>
      </c>
      <c r="AR99" s="288">
        <f t="shared" si="807"/>
        <v>0.33212257297582881</v>
      </c>
      <c r="AS99" s="288">
        <f t="shared" si="807"/>
        <v>0.32644765775971213</v>
      </c>
      <c r="AT99" s="288">
        <f t="shared" si="807"/>
        <v>0.3585260387290844</v>
      </c>
      <c r="AU99" s="288">
        <f t="shared" si="807"/>
        <v>0.31635173521057181</v>
      </c>
      <c r="AV99" s="288">
        <f t="shared" si="807"/>
        <v>0.33477203647416415</v>
      </c>
      <c r="AW99" s="288">
        <f t="shared" si="807"/>
        <v>0.32629859933421268</v>
      </c>
      <c r="AX99" s="288">
        <f t="shared" si="807"/>
        <v>0.37313924384139113</v>
      </c>
      <c r="AY99" s="288">
        <f t="shared" si="807"/>
        <v>0.30666844136829496</v>
      </c>
      <c r="AZ99" s="288">
        <f t="shared" si="807"/>
        <v>0.3147844346741912</v>
      </c>
      <c r="BA99" s="288">
        <f t="shared" si="807"/>
        <v>0.31609309727471652</v>
      </c>
      <c r="BB99" s="288">
        <f t="shared" si="807"/>
        <v>0.34010029605461906</v>
      </c>
      <c r="BC99" s="288">
        <f t="shared" si="807"/>
        <v>0.30573859637899048</v>
      </c>
      <c r="BD99" s="288">
        <f t="shared" si="807"/>
        <v>0.30905192020274219</v>
      </c>
      <c r="BE99" s="288">
        <f t="shared" si="807"/>
        <v>0.31431050594046189</v>
      </c>
      <c r="BF99" s="288">
        <f t="shared" si="807"/>
        <v>0.33111736128867297</v>
      </c>
      <c r="BG99" s="288">
        <f t="shared" si="807"/>
        <v>0.29800778026641517</v>
      </c>
      <c r="BH99" s="288">
        <f t="shared" si="807"/>
        <v>0.31421341206242093</v>
      </c>
      <c r="BI99" s="288">
        <f t="shared" si="807"/>
        <v>0.32739768822243048</v>
      </c>
      <c r="BJ99" s="288">
        <f t="shared" si="807"/>
        <v>0.28999521810743317</v>
      </c>
      <c r="BK99" s="288">
        <f t="shared" si="807"/>
        <v>0.31073796393828612</v>
      </c>
      <c r="BL99" s="288">
        <f t="shared" si="807"/>
        <v>0.29862865391555393</v>
      </c>
      <c r="BM99" s="288">
        <f t="shared" si="807"/>
        <v>0.30411261706706999</v>
      </c>
      <c r="BN99" s="288">
        <f t="shared" si="807"/>
        <v>0.31819459277162609</v>
      </c>
      <c r="BO99" s="288">
        <f t="shared" si="807"/>
        <v>0.29764075678139956</v>
      </c>
      <c r="BP99" s="288">
        <f t="shared" si="807"/>
        <v>0.27887135448614286</v>
      </c>
      <c r="BQ99" s="288">
        <f t="shared" si="807"/>
        <v>0.30126424400476215</v>
      </c>
      <c r="BR99" s="288">
        <f t="shared" si="807"/>
        <v>0.32068722562462737</v>
      </c>
      <c r="BS99" s="288">
        <f t="shared" si="807"/>
        <v>0.28448323179098745</v>
      </c>
      <c r="BT99" s="288">
        <f t="shared" si="807"/>
        <v>0.28114901256732494</v>
      </c>
      <c r="BU99" s="288">
        <f t="shared" si="807"/>
        <v>0.29609573834407321</v>
      </c>
      <c r="BV99" s="288">
        <f t="shared" si="807"/>
        <v>0.31894379314122934</v>
      </c>
      <c r="BW99" s="288"/>
      <c r="BX99" s="288"/>
      <c r="BY99" s="288"/>
      <c r="BZ99" s="288"/>
      <c r="CA99" s="288"/>
      <c r="CB99" s="288"/>
      <c r="CC99" s="288"/>
      <c r="CD99" s="288"/>
      <c r="CE99" s="288"/>
      <c r="CF99" s="288"/>
      <c r="CG99" s="288"/>
      <c r="CH99" s="288"/>
      <c r="CI99" s="288"/>
      <c r="CJ99" s="288"/>
      <c r="CK99" s="288"/>
      <c r="CL99" s="288"/>
      <c r="CM99" s="288"/>
      <c r="CN99" s="288"/>
      <c r="CO99" s="288"/>
      <c r="CP99" s="288"/>
      <c r="CQ99" s="288">
        <f t="shared" ref="CQ99:DF99" si="808">+CQ67/CQ64</f>
        <v>0.25147414209763169</v>
      </c>
      <c r="CR99" s="288">
        <f t="shared" si="808"/>
        <v>0.27227614788962812</v>
      </c>
      <c r="CS99" s="288">
        <f t="shared" si="808"/>
        <v>0.25761312968409067</v>
      </c>
      <c r="CT99" s="288">
        <f t="shared" si="808"/>
        <v>0.28728421427300233</v>
      </c>
      <c r="CU99" s="288">
        <f t="shared" si="808"/>
        <v>0.2433582724788316</v>
      </c>
      <c r="CV99" s="288">
        <f t="shared" si="808"/>
        <v>0.2588200162109125</v>
      </c>
      <c r="CW99" s="288">
        <f t="shared" si="808"/>
        <v>0.25712449110777802</v>
      </c>
      <c r="CX99" s="288">
        <f t="shared" si="808"/>
        <v>0.28756330894766463</v>
      </c>
      <c r="CY99" s="288">
        <f t="shared" si="808"/>
        <v>0.25242305730317971</v>
      </c>
      <c r="CZ99" s="288">
        <f t="shared" si="808"/>
        <v>0.25778109329023169</v>
      </c>
      <c r="DA99" s="288">
        <f t="shared" si="808"/>
        <v>0.2542698459097173</v>
      </c>
      <c r="DB99" s="288">
        <f t="shared" si="808"/>
        <v>0.27053059173332217</v>
      </c>
      <c r="DC99" s="288">
        <f t="shared" si="808"/>
        <v>0.23480425002393032</v>
      </c>
      <c r="DD99" s="288">
        <f t="shared" si="808"/>
        <v>0.26010771152044959</v>
      </c>
      <c r="DE99" s="288">
        <f t="shared" si="808"/>
        <v>0.25264045338516661</v>
      </c>
      <c r="DF99" s="288">
        <f t="shared" si="808"/>
        <v>0.27117218171620866</v>
      </c>
      <c r="DG99" s="288">
        <f t="shared" ref="DG99:DN99" si="809">+DG67/DG64</f>
        <v>0.24567393134412122</v>
      </c>
      <c r="DH99" s="288">
        <f t="shared" si="809"/>
        <v>0.25301741415401058</v>
      </c>
      <c r="DI99" s="288">
        <f t="shared" si="809"/>
        <v>0.24365170489439536</v>
      </c>
      <c r="DJ99" s="288">
        <f t="shared" si="809"/>
        <v>0.28635495759513341</v>
      </c>
      <c r="DK99" s="288">
        <f t="shared" si="809"/>
        <v>0</v>
      </c>
      <c r="DL99" s="288">
        <f t="shared" si="809"/>
        <v>0</v>
      </c>
      <c r="DM99" s="288">
        <f t="shared" si="809"/>
        <v>0</v>
      </c>
      <c r="DN99" s="288">
        <f t="shared" si="809"/>
        <v>0</v>
      </c>
      <c r="DP99" s="240">
        <f t="shared" ref="DP99:EJ99" si="810">+DP67/DP64</f>
        <v>0.39940555498616376</v>
      </c>
      <c r="DQ99" s="240">
        <f t="shared" si="810"/>
        <v>0.39788105413105412</v>
      </c>
      <c r="DR99" s="240">
        <f t="shared" si="810"/>
        <v>0.40965694544870251</v>
      </c>
      <c r="DS99" s="240">
        <f t="shared" si="810"/>
        <v>0.41234639714971277</v>
      </c>
      <c r="DT99" s="240">
        <f t="shared" si="810"/>
        <v>0.40819069175272316</v>
      </c>
      <c r="DU99" s="240">
        <f t="shared" si="810"/>
        <v>0.403584593873141</v>
      </c>
      <c r="DV99" s="240">
        <f t="shared" si="810"/>
        <v>0.3960301454198068</v>
      </c>
      <c r="DW99" s="240">
        <f t="shared" si="810"/>
        <v>0.38825161887141535</v>
      </c>
      <c r="DX99" s="240">
        <f t="shared" si="810"/>
        <v>0.3851252817181493</v>
      </c>
      <c r="DY99" s="240">
        <f t="shared" si="810"/>
        <v>0.376505896774739</v>
      </c>
      <c r="DZ99" s="240">
        <f t="shared" si="810"/>
        <v>0.38233045757344108</v>
      </c>
      <c r="EA99" s="240">
        <f t="shared" si="810"/>
        <v>0.37321116030062801</v>
      </c>
      <c r="EB99" s="240">
        <f t="shared" si="810"/>
        <v>0.36334989698218395</v>
      </c>
      <c r="EC99" s="240">
        <f t="shared" si="810"/>
        <v>0.33095018137782123</v>
      </c>
      <c r="ED99" s="240">
        <f t="shared" si="810"/>
        <v>0.3335504916748101</v>
      </c>
      <c r="EE99" s="240">
        <f t="shared" si="810"/>
        <v>0.32961323440779766</v>
      </c>
      <c r="EF99" s="240">
        <f t="shared" si="810"/>
        <v>0.34096327124328257</v>
      </c>
      <c r="EG99" s="240">
        <f t="shared" si="810"/>
        <v>0.32692596204335761</v>
      </c>
      <c r="EH99" s="240">
        <f t="shared" si="810"/>
        <v>0.33474097716670759</v>
      </c>
      <c r="EI99" s="240">
        <f t="shared" si="810"/>
        <v>0.33711390339937564</v>
      </c>
      <c r="EJ99" s="240">
        <f t="shared" si="810"/>
        <v>0.31990241853401619</v>
      </c>
      <c r="EK99" s="240">
        <f>EJ99-0.1%</f>
        <v>0.31890241853401619</v>
      </c>
      <c r="EL99" s="240">
        <v>0.32</v>
      </c>
      <c r="EM99" s="240">
        <v>0.32500000000000001</v>
      </c>
      <c r="EN99" s="240">
        <v>0.32500000000000001</v>
      </c>
      <c r="EO99" s="240">
        <v>0.33</v>
      </c>
      <c r="EP99" s="240">
        <f t="shared" ref="EP99:FC99" si="811">+EP67/EP64</f>
        <v>0</v>
      </c>
      <c r="EQ99" s="240">
        <f t="shared" si="811"/>
        <v>0</v>
      </c>
      <c r="ER99" s="240">
        <f t="shared" si="811"/>
        <v>0</v>
      </c>
      <c r="ES99" s="240">
        <f t="shared" si="811"/>
        <v>0.249837584731739</v>
      </c>
      <c r="ET99" s="240">
        <f t="shared" si="811"/>
        <v>0.24248997647976406</v>
      </c>
      <c r="EU99" s="240">
        <f t="shared" si="811"/>
        <v>0.26740609788584019</v>
      </c>
      <c r="EV99" s="240">
        <f t="shared" si="811"/>
        <v>0.26171190776972153</v>
      </c>
      <c r="EW99" s="240">
        <f t="shared" si="811"/>
        <v>0.25905654640202153</v>
      </c>
      <c r="EX99" s="240">
        <f t="shared" si="811"/>
        <v>0.26</v>
      </c>
      <c r="EY99" s="240">
        <f t="shared" si="811"/>
        <v>0.26</v>
      </c>
      <c r="EZ99" s="240">
        <f t="shared" si="811"/>
        <v>0.26</v>
      </c>
      <c r="FA99" s="240">
        <f t="shared" si="811"/>
        <v>0.26</v>
      </c>
      <c r="FB99" s="240">
        <f t="shared" si="811"/>
        <v>0.26</v>
      </c>
      <c r="FC99" s="240">
        <f t="shared" si="811"/>
        <v>0.26</v>
      </c>
    </row>
    <row r="100" spans="2:166" ht="12.75" customHeight="1" x14ac:dyDescent="0.2">
      <c r="B100" t="s">
        <v>339</v>
      </c>
      <c r="C100" s="240">
        <f t="shared" ref="C100:AD100" si="812">+C68/C$64</f>
        <v>8.3639545056867895E-2</v>
      </c>
      <c r="D100" s="240">
        <f t="shared" si="812"/>
        <v>9.1260091260091256E-2</v>
      </c>
      <c r="E100" s="240">
        <f t="shared" si="812"/>
        <v>9.2373791621911922E-2</v>
      </c>
      <c r="F100" s="240">
        <f t="shared" si="812"/>
        <v>0.11119005328596802</v>
      </c>
      <c r="G100" s="240">
        <f t="shared" si="812"/>
        <v>8.542279093895902E-2</v>
      </c>
      <c r="H100" s="240">
        <f t="shared" si="812"/>
        <v>9.1993774857340477E-2</v>
      </c>
      <c r="I100" s="240">
        <f t="shared" si="812"/>
        <v>8.9273235499650591E-2</v>
      </c>
      <c r="J100" s="240">
        <f t="shared" si="812"/>
        <v>0.11496780273284121</v>
      </c>
      <c r="K100" s="240">
        <f t="shared" si="812"/>
        <v>8.0747213015968669E-2</v>
      </c>
      <c r="L100" s="240">
        <f t="shared" si="812"/>
        <v>8.374671724540414E-2</v>
      </c>
      <c r="M100" s="240">
        <f t="shared" si="812"/>
        <v>9.0828270854941467E-2</v>
      </c>
      <c r="N100" s="240">
        <f t="shared" si="812"/>
        <v>0.11807474189326742</v>
      </c>
      <c r="O100" s="240">
        <f t="shared" si="812"/>
        <v>8.7033747779751328E-2</v>
      </c>
      <c r="P100" s="240">
        <f t="shared" si="812"/>
        <v>8.8838572189664358E-2</v>
      </c>
      <c r="Q100" s="240">
        <f t="shared" si="812"/>
        <v>9.605774569683509E-2</v>
      </c>
      <c r="R100" s="240">
        <f t="shared" si="812"/>
        <v>0.13083849184018007</v>
      </c>
      <c r="S100" s="240">
        <f t="shared" si="812"/>
        <v>8.99756128866641E-2</v>
      </c>
      <c r="T100" s="240">
        <f t="shared" si="812"/>
        <v>9.9376648285782784E-2</v>
      </c>
      <c r="U100" s="240">
        <f t="shared" si="812"/>
        <v>0.10912842923039573</v>
      </c>
      <c r="V100" s="240">
        <f t="shared" si="812"/>
        <v>0.13138164941092467</v>
      </c>
      <c r="W100" s="240">
        <f t="shared" si="812"/>
        <v>9.5047466544664297E-2</v>
      </c>
      <c r="X100" s="240">
        <f t="shared" si="812"/>
        <v>0.10272236305521878</v>
      </c>
      <c r="Y100" s="240">
        <f t="shared" si="812"/>
        <v>0.10485736314572089</v>
      </c>
      <c r="Z100" s="240">
        <f t="shared" si="812"/>
        <v>0.13208550462618313</v>
      </c>
      <c r="AA100" s="240">
        <f t="shared" si="812"/>
        <v>9.5296273671350032E-2</v>
      </c>
      <c r="AB100" s="240">
        <f t="shared" si="812"/>
        <v>0.10472319008904375</v>
      </c>
      <c r="AC100" s="240">
        <f t="shared" si="812"/>
        <v>0.11258848287736752</v>
      </c>
      <c r="AD100" s="240">
        <f t="shared" si="812"/>
        <v>0.13074018790060585</v>
      </c>
      <c r="AE100" s="288">
        <f t="shared" ref="AE100:BV100" si="813">AE68/AE64</f>
        <v>9.1371829105473965E-2</v>
      </c>
      <c r="AF100" s="288">
        <f t="shared" si="813"/>
        <v>9.9394550958627648E-2</v>
      </c>
      <c r="AG100" s="288">
        <f t="shared" si="813"/>
        <v>0.10369600969445165</v>
      </c>
      <c r="AH100" s="288">
        <f t="shared" si="813"/>
        <v>0.1354297365119197</v>
      </c>
      <c r="AI100" s="288">
        <f t="shared" si="813"/>
        <v>0.10785536159600997</v>
      </c>
      <c r="AJ100" s="288">
        <f t="shared" si="813"/>
        <v>0.11651778718069268</v>
      </c>
      <c r="AK100" s="288">
        <f t="shared" si="813"/>
        <v>0.12502030869212022</v>
      </c>
      <c r="AL100" s="288">
        <f t="shared" si="813"/>
        <v>0.15971451229183187</v>
      </c>
      <c r="AM100" s="288">
        <f t="shared" si="813"/>
        <v>0.11791871921182266</v>
      </c>
      <c r="AN100" s="288">
        <f t="shared" si="813"/>
        <v>0.12444810297088978</v>
      </c>
      <c r="AO100" s="288">
        <f t="shared" si="813"/>
        <v>0.1293745766538722</v>
      </c>
      <c r="AP100" s="288">
        <f t="shared" si="813"/>
        <v>0.14953954100277736</v>
      </c>
      <c r="AQ100" s="288">
        <f t="shared" si="813"/>
        <v>0.10949824352091204</v>
      </c>
      <c r="AR100" s="288">
        <f t="shared" si="813"/>
        <v>0.12323339056927751</v>
      </c>
      <c r="AS100" s="288">
        <f t="shared" si="813"/>
        <v>0.12220963550343174</v>
      </c>
      <c r="AT100" s="288">
        <f t="shared" si="813"/>
        <v>0.14589208497837938</v>
      </c>
      <c r="AU100" s="288">
        <f t="shared" si="813"/>
        <v>0.10571816722242806</v>
      </c>
      <c r="AV100" s="288">
        <f t="shared" si="813"/>
        <v>0.11525835866261398</v>
      </c>
      <c r="AW100" s="288">
        <f t="shared" si="813"/>
        <v>0.1168896426103888</v>
      </c>
      <c r="AX100" s="288">
        <f t="shared" si="813"/>
        <v>0.13884863654327492</v>
      </c>
      <c r="AY100" s="288">
        <f t="shared" si="813"/>
        <v>0.10102489019033675</v>
      </c>
      <c r="AZ100" s="288">
        <f t="shared" si="813"/>
        <v>0.10748736793752871</v>
      </c>
      <c r="BA100" s="288">
        <f t="shared" si="813"/>
        <v>0.10722100656455143</v>
      </c>
      <c r="BB100" s="288">
        <f t="shared" si="813"/>
        <v>0.13370793305540452</v>
      </c>
      <c r="BC100" s="288">
        <f t="shared" si="813"/>
        <v>9.960974985605528E-2</v>
      </c>
      <c r="BD100" s="288">
        <f t="shared" si="813"/>
        <v>0.10708947949834297</v>
      </c>
      <c r="BE100" s="288">
        <f t="shared" si="813"/>
        <v>0.11059938592978241</v>
      </c>
      <c r="BF100" s="288">
        <f t="shared" si="813"/>
        <v>0.12669394016875479</v>
      </c>
      <c r="BG100" s="288">
        <f t="shared" si="813"/>
        <v>0.10244017446658021</v>
      </c>
      <c r="BH100" s="288">
        <f t="shared" si="813"/>
        <v>0.11339398686509611</v>
      </c>
      <c r="BI100" s="288">
        <f t="shared" si="813"/>
        <v>0.11077788191190253</v>
      </c>
      <c r="BJ100" s="288">
        <f t="shared" si="813"/>
        <v>0.11449976090537166</v>
      </c>
      <c r="BK100" s="288">
        <f t="shared" si="813"/>
        <v>0.10192700910837103</v>
      </c>
      <c r="BL100" s="288">
        <f t="shared" si="813"/>
        <v>0.10621917478647901</v>
      </c>
      <c r="BM100" s="288">
        <f t="shared" si="813"/>
        <v>0.111860857425397</v>
      </c>
      <c r="BN100" s="288">
        <f t="shared" si="813"/>
        <v>0.1310213029059637</v>
      </c>
      <c r="BO100" s="288">
        <f t="shared" si="813"/>
        <v>0.10166400729427855</v>
      </c>
      <c r="BP100" s="288">
        <f t="shared" si="813"/>
        <v>0.10851502816037473</v>
      </c>
      <c r="BQ100" s="288">
        <f t="shared" si="813"/>
        <v>0.11576619989795339</v>
      </c>
      <c r="BR100" s="288">
        <f t="shared" si="813"/>
        <v>0.13067042436724297</v>
      </c>
      <c r="BS100" s="288">
        <f t="shared" si="813"/>
        <v>0.10049947856633185</v>
      </c>
      <c r="BT100" s="288">
        <f t="shared" si="813"/>
        <v>0.10284688381636317</v>
      </c>
      <c r="BU100" s="288">
        <f t="shared" si="813"/>
        <v>0.10954675908377105</v>
      </c>
      <c r="BV100" s="288">
        <f t="shared" si="813"/>
        <v>0.14435192286622109</v>
      </c>
      <c r="BW100" s="288"/>
      <c r="BX100" s="288"/>
      <c r="BY100" s="288"/>
      <c r="BZ100" s="288"/>
      <c r="CA100" s="288"/>
      <c r="CB100" s="288"/>
      <c r="CC100" s="288"/>
      <c r="CD100" s="288"/>
      <c r="CE100" s="288"/>
      <c r="CF100" s="288"/>
      <c r="CG100" s="288"/>
      <c r="CH100" s="288"/>
      <c r="CI100" s="288"/>
      <c r="CJ100" s="288"/>
      <c r="CK100" s="288"/>
      <c r="CL100" s="288"/>
      <c r="CM100" s="288"/>
      <c r="CN100" s="288"/>
      <c r="CO100" s="288"/>
      <c r="CP100" s="288"/>
      <c r="CQ100" s="288">
        <f t="shared" ref="CQ100:DF100" si="814">+CQ68/CQ64</f>
        <v>0.12469792170130498</v>
      </c>
      <c r="CR100" s="288">
        <f t="shared" si="814"/>
        <v>0.1476169702257607</v>
      </c>
      <c r="CS100" s="288">
        <f t="shared" si="814"/>
        <v>0.13471207665306897</v>
      </c>
      <c r="CT100" s="288">
        <f t="shared" si="814"/>
        <v>0.1793913507741591</v>
      </c>
      <c r="CU100" s="288">
        <f t="shared" si="814"/>
        <v>0.14237713364096591</v>
      </c>
      <c r="CV100" s="288">
        <f t="shared" si="814"/>
        <v>0.14350923595409751</v>
      </c>
      <c r="CW100" s="288">
        <f t="shared" si="814"/>
        <v>0.14664666809513607</v>
      </c>
      <c r="CX100" s="288">
        <f t="shared" si="814"/>
        <v>0.18972586220757295</v>
      </c>
      <c r="CY100" s="288">
        <f t="shared" si="814"/>
        <v>0.1471688488352321</v>
      </c>
      <c r="CZ100" s="288">
        <f t="shared" si="814"/>
        <v>0.14729164076422563</v>
      </c>
      <c r="DA100" s="288">
        <f t="shared" si="814"/>
        <v>0.15020670647680295</v>
      </c>
      <c r="DB100" s="288">
        <f t="shared" si="814"/>
        <v>0.15415218392730015</v>
      </c>
      <c r="DC100" s="288">
        <f t="shared" si="814"/>
        <v>0.1653584761175457</v>
      </c>
      <c r="DD100" s="288">
        <f t="shared" si="814"/>
        <v>0.149430221667187</v>
      </c>
      <c r="DE100" s="288">
        <f t="shared" si="814"/>
        <v>0.15821643521229012</v>
      </c>
      <c r="DF100" s="288">
        <f t="shared" si="814"/>
        <v>0.20681435782389232</v>
      </c>
      <c r="DG100" s="288">
        <f t="shared" ref="DG100:DN100" si="815">+DG68/DG64</f>
        <v>0.1632214011785614</v>
      </c>
      <c r="DH100" s="288">
        <f t="shared" si="815"/>
        <v>0.15320892531064892</v>
      </c>
      <c r="DI100" s="288">
        <f t="shared" si="815"/>
        <v>0.21784020008366489</v>
      </c>
      <c r="DJ100" s="288">
        <f t="shared" si="815"/>
        <v>0.23387060965321255</v>
      </c>
      <c r="DK100" s="288">
        <f t="shared" si="815"/>
        <v>0</v>
      </c>
      <c r="DL100" s="288">
        <f t="shared" si="815"/>
        <v>0</v>
      </c>
      <c r="DM100" s="288">
        <f t="shared" si="815"/>
        <v>0</v>
      </c>
      <c r="DN100" s="288">
        <f t="shared" si="815"/>
        <v>0</v>
      </c>
      <c r="DP100" s="240">
        <f t="shared" ref="DP100:EJ100" si="816">+DP68/DP$64</f>
        <v>7.3690683611765909E-2</v>
      </c>
      <c r="DQ100" s="240">
        <f t="shared" si="816"/>
        <v>7.4252136752136752E-2</v>
      </c>
      <c r="DR100" s="240">
        <f t="shared" si="816"/>
        <v>7.8733831445328195E-2</v>
      </c>
      <c r="DS100" s="240">
        <f t="shared" si="816"/>
        <v>8.1945757289318688E-2</v>
      </c>
      <c r="DT100" s="240">
        <f t="shared" si="816"/>
        <v>8.360447022209648E-2</v>
      </c>
      <c r="DU100" s="240">
        <f t="shared" si="816"/>
        <v>8.1225371806279395E-2</v>
      </c>
      <c r="DV100" s="240">
        <f t="shared" si="816"/>
        <v>8.672115486678697E-2</v>
      </c>
      <c r="DW100" s="240">
        <f t="shared" si="816"/>
        <v>8.8112858464384824E-2</v>
      </c>
      <c r="DX100" s="240">
        <f t="shared" si="816"/>
        <v>9.4568915992752661E-2</v>
      </c>
      <c r="DY100" s="240">
        <f t="shared" si="816"/>
        <v>9.591241493004185E-2</v>
      </c>
      <c r="DZ100" s="240">
        <f t="shared" si="816"/>
        <v>9.4645262276582584E-2</v>
      </c>
      <c r="EA100" s="240">
        <f t="shared" si="816"/>
        <v>0.1004152510381276</v>
      </c>
      <c r="EB100" s="240">
        <f t="shared" si="816"/>
        <v>0.10880499333414131</v>
      </c>
      <c r="EC100" s="240">
        <f t="shared" si="816"/>
        <v>0.10720120069679426</v>
      </c>
      <c r="ED100" s="240">
        <f t="shared" si="816"/>
        <v>0.11056192081273869</v>
      </c>
      <c r="EE100" s="240">
        <f t="shared" si="816"/>
        <v>0.10813226094727435</v>
      </c>
      <c r="EF100" s="240">
        <f t="shared" si="816"/>
        <v>0.12752030385066063</v>
      </c>
      <c r="EG100" s="240">
        <f t="shared" si="816"/>
        <v>0.13052284149726201</v>
      </c>
      <c r="EH100" s="240">
        <f t="shared" si="816"/>
        <v>0.12570586791063099</v>
      </c>
      <c r="EI100" s="240">
        <f t="shared" si="816"/>
        <v>0.11886049539586177</v>
      </c>
      <c r="EJ100" s="240">
        <f t="shared" si="816"/>
        <v>0.11286492075544857</v>
      </c>
      <c r="EK100" s="240">
        <v>0.11</v>
      </c>
      <c r="EL100" s="240">
        <v>0.104</v>
      </c>
      <c r="EM100" s="240">
        <v>0.104</v>
      </c>
      <c r="EN100" s="240">
        <v>0.104</v>
      </c>
      <c r="EO100" s="240">
        <v>0.104</v>
      </c>
      <c r="EP100" s="240">
        <f t="shared" ref="EP100:FC100" si="817">+EP68/EP64</f>
        <v>3.9436373626081066E-2</v>
      </c>
      <c r="EQ100" s="240">
        <f t="shared" si="817"/>
        <v>4.2580405295819683E-2</v>
      </c>
      <c r="ER100" s="240">
        <f t="shared" si="817"/>
        <v>0</v>
      </c>
      <c r="ES100" s="240">
        <f t="shared" si="817"/>
        <v>0.13207732192544833</v>
      </c>
      <c r="ET100" s="240">
        <f t="shared" si="817"/>
        <v>0.13837941918422561</v>
      </c>
      <c r="EU100" s="240">
        <f t="shared" si="817"/>
        <v>0.14722834378708255</v>
      </c>
      <c r="EV100" s="240">
        <f t="shared" si="817"/>
        <v>0.1558827588403274</v>
      </c>
      <c r="EW100" s="240">
        <f t="shared" si="817"/>
        <v>0.1498747024839315</v>
      </c>
      <c r="EX100" s="240">
        <f t="shared" si="817"/>
        <v>3.0766468098172305E-2</v>
      </c>
      <c r="EY100" s="240">
        <f t="shared" si="817"/>
        <v>2.9779161128450981E-2</v>
      </c>
      <c r="EZ100" s="240">
        <f t="shared" si="817"/>
        <v>3.4788038963382527E-2</v>
      </c>
      <c r="FA100" s="240">
        <f t="shared" si="817"/>
        <v>3.7279490580333023E-2</v>
      </c>
      <c r="FB100" s="240">
        <f t="shared" si="817"/>
        <v>3.6840952780131005E-2</v>
      </c>
      <c r="FC100" s="240">
        <f t="shared" si="817"/>
        <v>3.5701894816003305E-2</v>
      </c>
    </row>
    <row r="101" spans="2:166" ht="12.75" customHeight="1" x14ac:dyDescent="0.2">
      <c r="B101" t="s">
        <v>351</v>
      </c>
      <c r="C101" s="240">
        <f t="shared" ref="C101:AD101" si="818">+C70/C64</f>
        <v>0.23219597550306212</v>
      </c>
      <c r="D101" s="240">
        <f t="shared" si="818"/>
        <v>0.22586872586872586</v>
      </c>
      <c r="E101" s="240">
        <f t="shared" si="818"/>
        <v>0.20963122090941641</v>
      </c>
      <c r="F101" s="240">
        <f t="shared" si="818"/>
        <v>0.14866785079928951</v>
      </c>
      <c r="G101" s="240">
        <f t="shared" si="818"/>
        <v>0.24416392875670068</v>
      </c>
      <c r="H101" s="240">
        <f t="shared" si="818"/>
        <v>0.23067611966107557</v>
      </c>
      <c r="I101" s="240">
        <f t="shared" si="818"/>
        <v>0.22781271837875611</v>
      </c>
      <c r="J101" s="240">
        <f t="shared" si="818"/>
        <v>0.15627454059996859</v>
      </c>
      <c r="K101" s="240">
        <f t="shared" si="818"/>
        <v>0.25022597167821631</v>
      </c>
      <c r="L101" s="240">
        <f t="shared" si="818"/>
        <v>0.24000583600817041</v>
      </c>
      <c r="M101" s="240">
        <f t="shared" si="818"/>
        <v>0.22847829308045636</v>
      </c>
      <c r="N101" s="240">
        <f t="shared" si="818"/>
        <v>0.14875672531627163</v>
      </c>
      <c r="O101" s="240">
        <f t="shared" si="818"/>
        <v>0.25030741904631781</v>
      </c>
      <c r="P101" s="240">
        <f t="shared" si="818"/>
        <v>0.24507192328183272</v>
      </c>
      <c r="Q101" s="240">
        <f t="shared" si="818"/>
        <v>0.23014991671293725</v>
      </c>
      <c r="R101" s="240">
        <f t="shared" si="818"/>
        <v>0.16136747326955542</v>
      </c>
      <c r="S101" s="240">
        <f t="shared" si="818"/>
        <v>0.26825824669490439</v>
      </c>
      <c r="T101" s="240">
        <f t="shared" si="818"/>
        <v>0.26084871733397269</v>
      </c>
      <c r="U101" s="240">
        <f t="shared" si="818"/>
        <v>0.2500606943432872</v>
      </c>
      <c r="V101" s="240">
        <f t="shared" si="818"/>
        <v>0.18207782934666192</v>
      </c>
      <c r="W101" s="240">
        <f t="shared" si="818"/>
        <v>0.29875328834496168</v>
      </c>
      <c r="X101" s="240">
        <f t="shared" si="818"/>
        <v>0.28017193871927698</v>
      </c>
      <c r="Y101" s="240">
        <f t="shared" si="818"/>
        <v>0.27646216543672208</v>
      </c>
      <c r="Z101" s="240">
        <f t="shared" si="818"/>
        <v>0.21418696160799744</v>
      </c>
      <c r="AA101" s="240">
        <f t="shared" si="818"/>
        <v>0.29637548360822641</v>
      </c>
      <c r="AB101" s="240">
        <f t="shared" si="818"/>
        <v>0.27951993805652342</v>
      </c>
      <c r="AC101" s="240">
        <f t="shared" si="818"/>
        <v>0.27444040558637844</v>
      </c>
      <c r="AD101" s="240">
        <f t="shared" si="818"/>
        <v>0.20528580208973571</v>
      </c>
      <c r="AE101" s="288">
        <f t="shared" ref="AE101:BV101" si="819">AE70/AE64</f>
        <v>0.32393190921228304</v>
      </c>
      <c r="AF101" s="288">
        <f t="shared" si="819"/>
        <v>0.32265388496468211</v>
      </c>
      <c r="AG101" s="288">
        <f t="shared" si="819"/>
        <v>0.28685189993940968</v>
      </c>
      <c r="AH101" s="288">
        <f t="shared" si="819"/>
        <v>0.20890840652446674</v>
      </c>
      <c r="AI101" s="288">
        <f t="shared" si="819"/>
        <v>0.29808291770573564</v>
      </c>
      <c r="AJ101" s="288">
        <f t="shared" si="819"/>
        <v>0.27887478451653347</v>
      </c>
      <c r="AK101" s="288">
        <f t="shared" si="819"/>
        <v>0.26450040617384241</v>
      </c>
      <c r="AL101" s="288">
        <f t="shared" si="819"/>
        <v>0.18342585249801743</v>
      </c>
      <c r="AM101" s="288">
        <f t="shared" si="819"/>
        <v>0.28887007389162561</v>
      </c>
      <c r="AN101" s="288">
        <f t="shared" si="819"/>
        <v>0.2664820773778343</v>
      </c>
      <c r="AO101" s="288">
        <f t="shared" si="819"/>
        <v>0.27297358320162562</v>
      </c>
      <c r="AP101" s="288">
        <f t="shared" si="819"/>
        <v>0.21436924426253473</v>
      </c>
      <c r="AQ101" s="288">
        <f t="shared" si="819"/>
        <v>0.28156691191091671</v>
      </c>
      <c r="AR101" s="288">
        <f t="shared" si="819"/>
        <v>0.25683529256373</v>
      </c>
      <c r="AS101" s="288">
        <f t="shared" si="819"/>
        <v>0.26654228026920768</v>
      </c>
      <c r="AT101" s="288">
        <f t="shared" si="819"/>
        <v>0.19890956946794511</v>
      </c>
      <c r="AU101" s="288">
        <f t="shared" si="819"/>
        <v>0.29300975670001234</v>
      </c>
      <c r="AV101" s="288">
        <f t="shared" si="819"/>
        <v>0.2611550151975684</v>
      </c>
      <c r="AW101" s="288">
        <f t="shared" si="819"/>
        <v>0.25695622134288049</v>
      </c>
      <c r="AX101" s="288">
        <f t="shared" si="819"/>
        <v>0.2000395204847846</v>
      </c>
      <c r="AY101" s="288">
        <f t="shared" si="819"/>
        <v>0.30939704512178889</v>
      </c>
      <c r="AZ101" s="288">
        <f t="shared" si="819"/>
        <v>0.2857142857142857</v>
      </c>
      <c r="BA101" s="288">
        <f t="shared" si="819"/>
        <v>0.28267356276109012</v>
      </c>
      <c r="BB101" s="288">
        <f t="shared" si="819"/>
        <v>0.21207177814029363</v>
      </c>
      <c r="BC101" s="288">
        <f t="shared" si="819"/>
        <v>0.30497089117778775</v>
      </c>
      <c r="BD101" s="288">
        <f t="shared" si="819"/>
        <v>0.28299434661121581</v>
      </c>
      <c r="BE101" s="288">
        <f t="shared" si="819"/>
        <v>0.26845547990922441</v>
      </c>
      <c r="BF101" s="288">
        <f t="shared" si="819"/>
        <v>0.22002045512656609</v>
      </c>
      <c r="BG101" s="288">
        <f t="shared" si="819"/>
        <v>0.31792997760226333</v>
      </c>
      <c r="BH101" s="288">
        <f t="shared" si="819"/>
        <v>0.26077001867807437</v>
      </c>
      <c r="BI101" s="288">
        <f t="shared" si="819"/>
        <v>0.24492346141830679</v>
      </c>
      <c r="BJ101" s="288">
        <f t="shared" si="819"/>
        <v>0.31188565963551351</v>
      </c>
      <c r="BK101" s="288">
        <f t="shared" si="819"/>
        <v>0.28279323378152305</v>
      </c>
      <c r="BL101" s="288">
        <f t="shared" si="819"/>
        <v>0.28581739444243953</v>
      </c>
      <c r="BM101" s="288">
        <f t="shared" si="819"/>
        <v>0.25844918852888138</v>
      </c>
      <c r="BN101" s="288">
        <f t="shared" si="819"/>
        <v>0.21336630880782417</v>
      </c>
      <c r="BO101" s="288">
        <f t="shared" si="819"/>
        <v>0.28419193070435378</v>
      </c>
      <c r="BP101" s="288">
        <f t="shared" si="819"/>
        <v>0.30652986114983549</v>
      </c>
      <c r="BQ101" s="288">
        <f t="shared" si="819"/>
        <v>0.28000453540450138</v>
      </c>
      <c r="BR101" s="288">
        <f t="shared" si="819"/>
        <v>0.22589561541379871</v>
      </c>
      <c r="BS101" s="288">
        <f t="shared" si="819"/>
        <v>0.31560458861627971</v>
      </c>
      <c r="BT101" s="288">
        <f t="shared" si="819"/>
        <v>0.30623236727365993</v>
      </c>
      <c r="BU101" s="288">
        <f t="shared" si="819"/>
        <v>0.30199815887799858</v>
      </c>
      <c r="BV101" s="288">
        <f t="shared" si="819"/>
        <v>0.21606223293524707</v>
      </c>
      <c r="BW101" s="288"/>
      <c r="BX101" s="288"/>
      <c r="BY101" s="288"/>
      <c r="BZ101" s="288"/>
      <c r="CA101" s="288"/>
      <c r="CB101" s="288"/>
      <c r="CC101" s="288"/>
      <c r="CD101" s="288"/>
      <c r="CE101" s="288"/>
      <c r="CF101" s="288"/>
      <c r="CG101" s="288"/>
      <c r="CH101" s="288"/>
      <c r="CI101" s="288"/>
      <c r="CJ101" s="288"/>
      <c r="CK101" s="288"/>
      <c r="CL101" s="288"/>
      <c r="CM101" s="288"/>
      <c r="CN101" s="288"/>
      <c r="CO101" s="288"/>
      <c r="CP101" s="288"/>
      <c r="CQ101" s="288">
        <f t="shared" ref="CQ101:DF101" si="820">+CQ70/CQ64</f>
        <v>0.28250362493958436</v>
      </c>
      <c r="CR101" s="288">
        <f t="shared" si="820"/>
        <v>0.22134365797796923</v>
      </c>
      <c r="CS101" s="288">
        <f t="shared" si="820"/>
        <v>0.27696613224551753</v>
      </c>
      <c r="CT101" s="288">
        <f t="shared" si="820"/>
        <v>0.18566470902295781</v>
      </c>
      <c r="CU101" s="288">
        <f t="shared" si="820"/>
        <v>0.2978361184534743</v>
      </c>
      <c r="CV101" s="288">
        <f t="shared" si="820"/>
        <v>0.32699116931871508</v>
      </c>
      <c r="CW101" s="288">
        <f t="shared" si="820"/>
        <v>0.28553674737518747</v>
      </c>
      <c r="CX101" s="288">
        <f t="shared" si="820"/>
        <v>0.20295039794195674</v>
      </c>
      <c r="CY101" s="288">
        <f t="shared" si="820"/>
        <v>0.27741880632545485</v>
      </c>
      <c r="CZ101" s="288">
        <f t="shared" si="820"/>
        <v>0.32139748849931615</v>
      </c>
      <c r="DA101" s="288">
        <f t="shared" si="820"/>
        <v>0.26951183864367145</v>
      </c>
      <c r="DB101" s="288">
        <f t="shared" si="820"/>
        <v>0.30428409899912057</v>
      </c>
      <c r="DC101" s="288">
        <f t="shared" si="820"/>
        <v>0.27979324207906575</v>
      </c>
      <c r="DD101" s="288">
        <f t="shared" si="820"/>
        <v>0.26998126756166096</v>
      </c>
      <c r="DE101" s="288">
        <f t="shared" si="820"/>
        <v>0.34535490972108379</v>
      </c>
      <c r="DF101" s="288">
        <f t="shared" si="820"/>
        <v>0.26355393531501214</v>
      </c>
      <c r="DG101" s="288">
        <f t="shared" ref="DG101:DN101" si="821">+DG70/DG64</f>
        <v>0.33836872135441026</v>
      </c>
      <c r="DH101" s="288">
        <f t="shared" si="821"/>
        <v>0.28784572217521043</v>
      </c>
      <c r="DI101" s="288">
        <f t="shared" si="821"/>
        <v>0.28875953468087184</v>
      </c>
      <c r="DJ101" s="288">
        <f t="shared" si="821"/>
        <v>0.22334709826384264</v>
      </c>
      <c r="DK101" s="288">
        <f t="shared" si="821"/>
        <v>0.75</v>
      </c>
      <c r="DL101" s="288">
        <f t="shared" si="821"/>
        <v>0.74999999999999989</v>
      </c>
      <c r="DM101" s="288">
        <f t="shared" si="821"/>
        <v>0.75</v>
      </c>
      <c r="DN101" s="288">
        <f t="shared" si="821"/>
        <v>0.75</v>
      </c>
      <c r="DP101" s="240">
        <f t="shared" ref="DP101:FC101" si="822">+DP70/DP64</f>
        <v>0.17023675310033823</v>
      </c>
      <c r="DQ101" s="240">
        <f t="shared" si="822"/>
        <v>0.17735042735042736</v>
      </c>
      <c r="DR101" s="240">
        <f t="shared" si="822"/>
        <v>0.17385715433437776</v>
      </c>
      <c r="DS101" s="240">
        <f t="shared" si="822"/>
        <v>0.16556387697229696</v>
      </c>
      <c r="DT101" s="240">
        <f t="shared" si="822"/>
        <v>0.16933088131277407</v>
      </c>
      <c r="DU101" s="240">
        <f t="shared" si="822"/>
        <v>0.17840345748061523</v>
      </c>
      <c r="DV101" s="240">
        <f t="shared" si="822"/>
        <v>0.18633902982698228</v>
      </c>
      <c r="DW101" s="240">
        <f t="shared" si="822"/>
        <v>0.19902867715078632</v>
      </c>
      <c r="DX101" s="240">
        <f t="shared" si="822"/>
        <v>0.20425118211144991</v>
      </c>
      <c r="DY101" s="240">
        <f t="shared" si="822"/>
        <v>0.21325611869636893</v>
      </c>
      <c r="DZ101" s="240">
        <f t="shared" si="822"/>
        <v>0.2157183939427032</v>
      </c>
      <c r="EA101" s="240">
        <f t="shared" si="822"/>
        <v>0.22227941933491197</v>
      </c>
      <c r="EB101" s="240">
        <f t="shared" si="822"/>
        <v>0.23891043509877591</v>
      </c>
      <c r="EC101" s="240">
        <f t="shared" si="822"/>
        <v>0.2788233604880811</v>
      </c>
      <c r="ED101" s="240">
        <f t="shared" si="822"/>
        <v>0.26848324340145496</v>
      </c>
      <c r="EE101" s="240">
        <f t="shared" si="822"/>
        <v>0.28330943325643743</v>
      </c>
      <c r="EF101" s="240">
        <f t="shared" si="822"/>
        <v>0.24960604468867428</v>
      </c>
      <c r="EG101" s="240">
        <f t="shared" si="822"/>
        <v>0.26018303203060533</v>
      </c>
      <c r="EH101" s="240">
        <f t="shared" si="822"/>
        <v>0.24900564694328506</v>
      </c>
      <c r="EI101" s="240">
        <f t="shared" si="822"/>
        <v>0.25364330870472335</v>
      </c>
      <c r="EJ101" s="240">
        <f t="shared" si="822"/>
        <v>0.27103090618285214</v>
      </c>
      <c r="EK101" s="240">
        <f t="shared" si="822"/>
        <v>0.26678057114962167</v>
      </c>
      <c r="EL101" s="240">
        <f t="shared" si="822"/>
        <v>0.30004613255420576</v>
      </c>
      <c r="EM101" s="240">
        <f t="shared" si="822"/>
        <v>0.2591258653519713</v>
      </c>
      <c r="EN101" s="240">
        <f t="shared" si="822"/>
        <v>0.27109041956472962</v>
      </c>
      <c r="EO101" s="240">
        <f t="shared" si="822"/>
        <v>0.32013152609541112</v>
      </c>
      <c r="EP101" s="240">
        <f t="shared" si="822"/>
        <v>0.65056362637391885</v>
      </c>
      <c r="EQ101" s="240">
        <f t="shared" si="822"/>
        <v>0.6474195947041802</v>
      </c>
      <c r="ER101" s="240">
        <f t="shared" si="822"/>
        <v>0.69</v>
      </c>
      <c r="ES101" s="240">
        <f t="shared" si="822"/>
        <v>0.28601022296858336</v>
      </c>
      <c r="ET101" s="240">
        <f t="shared" si="822"/>
        <v>0.28331525646806488</v>
      </c>
      <c r="EU101" s="240">
        <f t="shared" si="822"/>
        <v>0.24115467512653477</v>
      </c>
      <c r="EV101" s="240">
        <f t="shared" si="822"/>
        <v>0.27865476278941392</v>
      </c>
      <c r="EW101" s="240">
        <f t="shared" si="822"/>
        <v>0.29248319755066948</v>
      </c>
      <c r="EX101" s="240">
        <f t="shared" si="822"/>
        <v>0.39923353190182764</v>
      </c>
      <c r="EY101" s="240">
        <f t="shared" si="822"/>
        <v>0.40022083887154902</v>
      </c>
      <c r="EZ101" s="240">
        <f t="shared" si="822"/>
        <v>0.39521196103661743</v>
      </c>
      <c r="FA101" s="240">
        <f t="shared" si="822"/>
        <v>0.39272050941966691</v>
      </c>
      <c r="FB101" s="240">
        <f t="shared" si="822"/>
        <v>0.39315904721986894</v>
      </c>
      <c r="FC101" s="240">
        <f t="shared" si="822"/>
        <v>0.39429810518399666</v>
      </c>
    </row>
    <row r="102" spans="2:166" ht="12.75" customHeight="1" x14ac:dyDescent="0.2">
      <c r="B102" t="s">
        <v>352</v>
      </c>
      <c r="C102" s="240">
        <f t="shared" ref="C102:AD102" si="823">+(C73)/C$64</f>
        <v>0.22782152230971128</v>
      </c>
      <c r="D102" s="240">
        <f t="shared" si="823"/>
        <v>0.2270972270972271</v>
      </c>
      <c r="E102" s="240">
        <f t="shared" si="823"/>
        <v>0.21428571428571427</v>
      </c>
      <c r="F102" s="240">
        <f t="shared" si="823"/>
        <v>0.13907637655417407</v>
      </c>
      <c r="G102" s="240">
        <f t="shared" si="823"/>
        <v>0.24796818260418468</v>
      </c>
      <c r="H102" s="240">
        <f t="shared" si="823"/>
        <v>0.23707418295002594</v>
      </c>
      <c r="I102" s="240">
        <f t="shared" si="823"/>
        <v>0.23008385744234802</v>
      </c>
      <c r="J102" s="240">
        <f t="shared" si="823"/>
        <v>0.14512329197424217</v>
      </c>
      <c r="K102" s="240">
        <f t="shared" si="823"/>
        <v>0.24178969569147332</v>
      </c>
      <c r="L102" s="240">
        <f t="shared" si="823"/>
        <v>0.23548292967610154</v>
      </c>
      <c r="M102" s="240">
        <f t="shared" si="823"/>
        <v>0.2238850200029634</v>
      </c>
      <c r="N102" s="240">
        <f t="shared" si="823"/>
        <v>0.14119528864330377</v>
      </c>
      <c r="O102" s="240">
        <f t="shared" si="823"/>
        <v>0.2585052602814592</v>
      </c>
      <c r="P102" s="240">
        <f t="shared" si="823"/>
        <v>0.24853489611081514</v>
      </c>
      <c r="Q102" s="240">
        <f t="shared" si="823"/>
        <v>0.24236535258189895</v>
      </c>
      <c r="R102" s="240">
        <f t="shared" si="823"/>
        <v>0.16488463702870004</v>
      </c>
      <c r="S102" s="240">
        <f t="shared" si="823"/>
        <v>0.27467590809908871</v>
      </c>
      <c r="T102" s="240">
        <f t="shared" si="823"/>
        <v>0.2552145768400863</v>
      </c>
      <c r="U102" s="240">
        <f t="shared" si="823"/>
        <v>0.25588735129885892</v>
      </c>
      <c r="V102" s="240">
        <f t="shared" si="823"/>
        <v>0.18433892657384268</v>
      </c>
      <c r="W102" s="240">
        <f t="shared" si="823"/>
        <v>0.29978268328948876</v>
      </c>
      <c r="X102" s="240">
        <f t="shared" si="823"/>
        <v>0.30111319299019068</v>
      </c>
      <c r="Y102" s="240">
        <f t="shared" si="823"/>
        <v>0.2635752836215442</v>
      </c>
      <c r="Z102" s="240">
        <f t="shared" si="823"/>
        <v>0.19663937041369775</v>
      </c>
      <c r="AA102" s="240">
        <f t="shared" si="823"/>
        <v>0.30014253716147427</v>
      </c>
      <c r="AB102" s="240">
        <f t="shared" si="823"/>
        <v>0.28610143244289588</v>
      </c>
      <c r="AC102" s="240">
        <f t="shared" si="823"/>
        <v>0.28199732159938778</v>
      </c>
      <c r="AD102" s="240">
        <f t="shared" si="823"/>
        <v>0.22030028975327071</v>
      </c>
      <c r="AE102" s="288">
        <f t="shared" ref="AE102:BV102" si="824">AE73/AE64</f>
        <v>0.32785380507343126</v>
      </c>
      <c r="AF102" s="288">
        <f t="shared" si="824"/>
        <v>0.32315842583249244</v>
      </c>
      <c r="AG102" s="288">
        <f t="shared" si="824"/>
        <v>0.28494763264952827</v>
      </c>
      <c r="AH102" s="288">
        <f t="shared" si="824"/>
        <v>0.20585006273525722</v>
      </c>
      <c r="AI102" s="288">
        <f t="shared" si="824"/>
        <v>0.30603179551122195</v>
      </c>
      <c r="AJ102" s="288">
        <f t="shared" si="824"/>
        <v>0.2931358721203573</v>
      </c>
      <c r="AK102" s="288">
        <f t="shared" si="824"/>
        <v>0.27782290820471162</v>
      </c>
      <c r="AL102" s="288">
        <f t="shared" si="824"/>
        <v>0.19920697858842187</v>
      </c>
      <c r="AM102" s="288">
        <f t="shared" si="824"/>
        <v>0.35806650246305421</v>
      </c>
      <c r="AN102" s="288">
        <f t="shared" si="824"/>
        <v>0.28848312504677093</v>
      </c>
      <c r="AO102" s="288">
        <f t="shared" si="824"/>
        <v>0.28418755174230453</v>
      </c>
      <c r="AP102" s="288">
        <f t="shared" si="824"/>
        <v>0.22131267358573309</v>
      </c>
      <c r="AQ102" s="288">
        <f t="shared" si="824"/>
        <v>0.29886657387154503</v>
      </c>
      <c r="AR102" s="288">
        <f t="shared" si="824"/>
        <v>0.26693963809272225</v>
      </c>
      <c r="AS102" s="288">
        <f t="shared" si="824"/>
        <v>0.27014060105284199</v>
      </c>
      <c r="AT102" s="288">
        <f t="shared" si="824"/>
        <v>0.20110296421633139</v>
      </c>
      <c r="AU102" s="288">
        <f t="shared" si="824"/>
        <v>0.29313325923181427</v>
      </c>
      <c r="AV102" s="288">
        <f t="shared" si="824"/>
        <v>0.26838905775075989</v>
      </c>
      <c r="AW102" s="288">
        <f t="shared" si="824"/>
        <v>0.26945543621631807</v>
      </c>
      <c r="AX102" s="288">
        <f t="shared" si="824"/>
        <v>0.21597944934791199</v>
      </c>
      <c r="AY102" s="288">
        <f t="shared" si="824"/>
        <v>0.30899773725542395</v>
      </c>
      <c r="AZ102" s="288">
        <f t="shared" si="824"/>
        <v>0.27974276527331188</v>
      </c>
      <c r="BA102" s="288">
        <f t="shared" si="824"/>
        <v>0.28148000795703204</v>
      </c>
      <c r="BB102" s="288">
        <f t="shared" si="824"/>
        <v>0.22898918494350795</v>
      </c>
      <c r="BC102" s="288">
        <f t="shared" si="824"/>
        <v>0.30599449811272472</v>
      </c>
      <c r="BD102" s="288">
        <f t="shared" si="824"/>
        <v>0.2780557541100786</v>
      </c>
      <c r="BE102" s="288">
        <f t="shared" si="824"/>
        <v>0.2816045921772794</v>
      </c>
      <c r="BF102" s="288">
        <f t="shared" si="824"/>
        <v>0.22059575556123753</v>
      </c>
      <c r="BG102" s="288">
        <f t="shared" si="824"/>
        <v>0.31256630908876576</v>
      </c>
      <c r="BH102" s="288">
        <f t="shared" si="824"/>
        <v>0.24167018135807677</v>
      </c>
      <c r="BI102" s="288">
        <f t="shared" si="824"/>
        <v>0.25685723211496408</v>
      </c>
      <c r="BJ102" s="288">
        <f t="shared" si="824"/>
        <v>0.33064130492534932</v>
      </c>
      <c r="BK102" s="288">
        <f t="shared" si="824"/>
        <v>0.31259681516822602</v>
      </c>
      <c r="BL102" s="288">
        <f t="shared" si="824"/>
        <v>0.27805846264886325</v>
      </c>
      <c r="BM102" s="288">
        <f t="shared" si="824"/>
        <v>0.25670408934907801</v>
      </c>
      <c r="BN102" s="288">
        <f t="shared" si="824"/>
        <v>0.19043336518464393</v>
      </c>
      <c r="BO102" s="288">
        <f t="shared" si="824"/>
        <v>0.24891725552769547</v>
      </c>
      <c r="BP102" s="288">
        <f t="shared" si="824"/>
        <v>0.3026822059889589</v>
      </c>
      <c r="BQ102" s="288">
        <f t="shared" si="824"/>
        <v>0.27751006292873748</v>
      </c>
      <c r="BR102" s="288">
        <f t="shared" si="824"/>
        <v>0.21706140588585984</v>
      </c>
      <c r="BS102" s="288">
        <f t="shared" si="824"/>
        <v>0.31384818047093693</v>
      </c>
      <c r="BT102" s="288">
        <f t="shared" si="824"/>
        <v>0.3021287509617851</v>
      </c>
      <c r="BU102" s="288">
        <f t="shared" si="824"/>
        <v>0.2959332864027725</v>
      </c>
      <c r="BV102" s="288">
        <f t="shared" si="824"/>
        <v>0.20937876629779775</v>
      </c>
      <c r="BW102" s="288"/>
      <c r="BX102" s="288"/>
      <c r="BY102" s="288"/>
      <c r="BZ102" s="288"/>
      <c r="CA102" s="288"/>
      <c r="CB102" s="288"/>
      <c r="CC102" s="288"/>
      <c r="CD102" s="288"/>
      <c r="CE102" s="288"/>
      <c r="CF102" s="288"/>
      <c r="CG102" s="288"/>
      <c r="CH102" s="288"/>
      <c r="CI102" s="288"/>
      <c r="CJ102" s="288"/>
      <c r="CK102" s="288"/>
      <c r="CL102" s="288"/>
      <c r="CM102" s="288"/>
      <c r="CN102" s="288"/>
      <c r="CO102" s="288"/>
      <c r="CP102" s="288"/>
      <c r="CQ102" s="288"/>
      <c r="CR102" s="288"/>
      <c r="CS102" s="288"/>
      <c r="CT102" s="288"/>
      <c r="CU102" s="288"/>
      <c r="CV102" s="288"/>
      <c r="CW102" s="288"/>
      <c r="CX102" s="288"/>
      <c r="CY102" s="288"/>
      <c r="CZ102" s="288"/>
      <c r="DA102" s="288"/>
      <c r="DB102" s="288"/>
      <c r="DC102" s="288"/>
      <c r="DD102" s="288"/>
      <c r="DE102" s="288"/>
      <c r="DF102" s="288"/>
      <c r="DG102" s="288"/>
      <c r="DH102" s="288"/>
      <c r="DI102" s="288"/>
      <c r="DJ102" s="288"/>
      <c r="DK102" s="288"/>
      <c r="DL102" s="288"/>
      <c r="DM102" s="288"/>
      <c r="DN102" s="288"/>
      <c r="DP102" s="240">
        <f t="shared" ref="DP102:FC102" si="825">+(DP73)/DP$64</f>
        <v>0.15517064671517886</v>
      </c>
      <c r="DQ102" s="240">
        <f t="shared" si="825"/>
        <v>0.15375712250712251</v>
      </c>
      <c r="DR102" s="240">
        <f t="shared" si="825"/>
        <v>0.16373423314854985</v>
      </c>
      <c r="DS102" s="240">
        <f t="shared" si="825"/>
        <v>0.16047407838289829</v>
      </c>
      <c r="DT102" s="240">
        <f t="shared" si="825"/>
        <v>0.16494553685103974</v>
      </c>
      <c r="DU102" s="240">
        <f t="shared" si="825"/>
        <v>0.17039532223210882</v>
      </c>
      <c r="DV102" s="240">
        <f t="shared" si="825"/>
        <v>0.17604288292113363</v>
      </c>
      <c r="DW102" s="240">
        <f t="shared" si="825"/>
        <v>0.18654024051803886</v>
      </c>
      <c r="DX102" s="240">
        <f t="shared" si="825"/>
        <v>0.20221839232842811</v>
      </c>
      <c r="DY102" s="240">
        <f t="shared" si="825"/>
        <v>0.21329838948302829</v>
      </c>
      <c r="DZ102" s="240">
        <f t="shared" si="825"/>
        <v>0.20942084379891521</v>
      </c>
      <c r="EA102" s="240">
        <f t="shared" si="825"/>
        <v>0.22797625175881123</v>
      </c>
      <c r="EB102" s="240">
        <f t="shared" si="825"/>
        <v>0.2424857593019028</v>
      </c>
      <c r="EC102" s="240">
        <f t="shared" si="825"/>
        <v>0.27345923672311639</v>
      </c>
      <c r="ED102" s="240">
        <f t="shared" si="825"/>
        <v>0.27686272288235214</v>
      </c>
      <c r="EE102" s="240">
        <f t="shared" si="825"/>
        <v>0.28316395452750587</v>
      </c>
      <c r="EF102" s="240">
        <f t="shared" si="825"/>
        <v>0.26267727989009659</v>
      </c>
      <c r="EG102" s="240">
        <f t="shared" si="825"/>
        <v>0.28713149801215215</v>
      </c>
      <c r="EH102" s="240">
        <f t="shared" si="825"/>
        <v>0.25723872657336933</v>
      </c>
      <c r="EI102" s="240">
        <f t="shared" si="825"/>
        <v>0.26245940985458138</v>
      </c>
      <c r="EJ102" s="240">
        <f t="shared" si="825"/>
        <v>0.27107129586248124</v>
      </c>
      <c r="EK102" s="240">
        <f t="shared" si="825"/>
        <v>0.26915629322268325</v>
      </c>
      <c r="EL102" s="240">
        <f t="shared" si="825"/>
        <v>0.30213747501153315</v>
      </c>
      <c r="EM102" s="240">
        <f t="shared" si="825"/>
        <v>0.25310345845572496</v>
      </c>
      <c r="EN102" s="240">
        <f t="shared" si="825"/>
        <v>0.25853993717747364</v>
      </c>
      <c r="EO102" s="240">
        <f t="shared" si="825"/>
        <v>0.32013152609541112</v>
      </c>
      <c r="EP102" s="240">
        <f t="shared" si="825"/>
        <v>0.65056362637391885</v>
      </c>
      <c r="EQ102" s="240">
        <f t="shared" si="825"/>
        <v>0.6474195947041802</v>
      </c>
      <c r="ER102" s="240">
        <f t="shared" si="825"/>
        <v>0.69</v>
      </c>
      <c r="ES102" s="240">
        <f t="shared" si="825"/>
        <v>0.28195290570108233</v>
      </c>
      <c r="ET102" s="240">
        <f t="shared" si="825"/>
        <v>0.28125571249253567</v>
      </c>
      <c r="EU102" s="240">
        <f t="shared" si="825"/>
        <v>0.23875717433947644</v>
      </c>
      <c r="EV102" s="240">
        <f t="shared" si="825"/>
        <v>0.28938736080000849</v>
      </c>
      <c r="EW102" s="240">
        <f t="shared" si="825"/>
        <v>0.30362890964948153</v>
      </c>
      <c r="EX102" s="240">
        <f t="shared" si="825"/>
        <v>0.39923353190182764</v>
      </c>
      <c r="EY102" s="240">
        <f t="shared" si="825"/>
        <v>0.40022083887154902</v>
      </c>
      <c r="EZ102" s="240">
        <f t="shared" si="825"/>
        <v>0.39797577359611735</v>
      </c>
      <c r="FA102" s="240">
        <f t="shared" si="825"/>
        <v>0.39888084603063795</v>
      </c>
      <c r="FB102" s="240">
        <f t="shared" si="825"/>
        <v>0.40220333116922424</v>
      </c>
      <c r="FC102" s="240">
        <f t="shared" si="825"/>
        <v>0.40598601495376108</v>
      </c>
    </row>
    <row r="103" spans="2:166" ht="12.75" customHeight="1" x14ac:dyDescent="0.2">
      <c r="B103" t="s">
        <v>353</v>
      </c>
      <c r="C103" s="240">
        <f t="shared" ref="C103:AD103" si="826">+C74/C73</f>
        <v>0.30184331797235026</v>
      </c>
      <c r="D103" s="240">
        <f t="shared" si="826"/>
        <v>0.2975270479134467</v>
      </c>
      <c r="E103" s="240">
        <f t="shared" si="826"/>
        <v>0.2857142857142857</v>
      </c>
      <c r="F103" s="240">
        <f t="shared" si="826"/>
        <v>0.19540229885057472</v>
      </c>
      <c r="G103" s="240">
        <f t="shared" si="826"/>
        <v>0.29567642956764295</v>
      </c>
      <c r="H103" s="240">
        <f t="shared" si="826"/>
        <v>0.26695842450765866</v>
      </c>
      <c r="I103" s="240">
        <f t="shared" si="826"/>
        <v>0.27031131359149585</v>
      </c>
      <c r="J103" s="240">
        <f t="shared" si="826"/>
        <v>0.25</v>
      </c>
      <c r="K103" s="240">
        <f t="shared" si="826"/>
        <v>0.297196261682243</v>
      </c>
      <c r="L103" s="240">
        <f t="shared" si="826"/>
        <v>0.28438661710037177</v>
      </c>
      <c r="M103" s="240">
        <f t="shared" si="826"/>
        <v>0.27266710787557907</v>
      </c>
      <c r="N103" s="240">
        <f t="shared" si="826"/>
        <v>0.22348094747682801</v>
      </c>
      <c r="O103" s="240">
        <f t="shared" si="826"/>
        <v>0.30549682875264272</v>
      </c>
      <c r="P103" s="240">
        <f t="shared" si="826"/>
        <v>0.28670953912111469</v>
      </c>
      <c r="Q103" s="240">
        <f t="shared" si="826"/>
        <v>0.27605956471935855</v>
      </c>
      <c r="R103" s="240">
        <f t="shared" si="826"/>
        <v>0.19368600682593856</v>
      </c>
      <c r="S103" s="240">
        <f t="shared" si="826"/>
        <v>0.29906542056074764</v>
      </c>
      <c r="T103" s="240">
        <f t="shared" si="826"/>
        <v>0.30389854391733206</v>
      </c>
      <c r="U103" s="240">
        <f t="shared" si="826"/>
        <v>0.27466793168880455</v>
      </c>
      <c r="V103" s="240">
        <f t="shared" si="826"/>
        <v>0.21885087153001936</v>
      </c>
      <c r="W103" s="240">
        <f t="shared" si="826"/>
        <v>0.30026707363601679</v>
      </c>
      <c r="X103" s="240">
        <f t="shared" si="826"/>
        <v>0.28330893118594436</v>
      </c>
      <c r="Y103" s="240">
        <f t="shared" si="826"/>
        <v>0.27914751358127871</v>
      </c>
      <c r="Z103" s="240">
        <f t="shared" si="826"/>
        <v>0.25148729042725798</v>
      </c>
      <c r="AA103" s="240">
        <f t="shared" si="826"/>
        <v>0.29138398914518315</v>
      </c>
      <c r="AB103" s="240">
        <f t="shared" si="826"/>
        <v>0.2861975642760487</v>
      </c>
      <c r="AC103" s="240">
        <f t="shared" si="826"/>
        <v>0.2974898236092266</v>
      </c>
      <c r="AD103" s="240">
        <f t="shared" si="826"/>
        <v>0.21084097249900358</v>
      </c>
      <c r="AE103" s="288">
        <f t="shared" ref="AE103:BV103" si="827">AE74/AE73</f>
        <v>0.25731738355815731</v>
      </c>
      <c r="AF103" s="288">
        <f t="shared" si="827"/>
        <v>0.25422846734322146</v>
      </c>
      <c r="AG103" s="288">
        <f t="shared" si="827"/>
        <v>0.28341433778857839</v>
      </c>
      <c r="AH103" s="288">
        <f t="shared" si="827"/>
        <v>0.2358095238095238</v>
      </c>
      <c r="AI103" s="288">
        <f t="shared" si="827"/>
        <v>0.27705627705627706</v>
      </c>
      <c r="AJ103" s="288">
        <f t="shared" si="827"/>
        <v>0.19406575781876503</v>
      </c>
      <c r="AK103" s="288">
        <f t="shared" si="827"/>
        <v>0.25789473684210529</v>
      </c>
      <c r="AL103" s="288">
        <f t="shared" si="827"/>
        <v>0.16361464968152867</v>
      </c>
      <c r="AM103" s="288">
        <f t="shared" si="827"/>
        <v>0.28159931212381772</v>
      </c>
      <c r="AN103" s="288">
        <f t="shared" si="827"/>
        <v>0.20311284046692607</v>
      </c>
      <c r="AO103" s="288">
        <f t="shared" si="827"/>
        <v>0.23861228813559321</v>
      </c>
      <c r="AP103" s="288">
        <f t="shared" si="827"/>
        <v>0.21235138705416115</v>
      </c>
      <c r="AQ103" s="288">
        <f t="shared" si="827"/>
        <v>0.23929917941893991</v>
      </c>
      <c r="AR103" s="288">
        <f t="shared" si="827"/>
        <v>0.23503216229589313</v>
      </c>
      <c r="AS103" s="288">
        <f t="shared" si="827"/>
        <v>0.23300000000000001</v>
      </c>
      <c r="AT103" s="288">
        <f t="shared" si="827"/>
        <v>0.153</v>
      </c>
      <c r="AU103" s="288">
        <f t="shared" si="827"/>
        <v>0.24204760901622077</v>
      </c>
      <c r="AV103" s="288">
        <f t="shared" si="827"/>
        <v>0.23737259343148359</v>
      </c>
      <c r="AW103" s="288">
        <f t="shared" si="827"/>
        <v>0.22843822843822845</v>
      </c>
      <c r="AX103" s="288">
        <f t="shared" si="827"/>
        <v>0.19914608112229337</v>
      </c>
      <c r="AY103" s="288">
        <f t="shared" si="827"/>
        <v>0.24466939478785268</v>
      </c>
      <c r="AZ103" s="288">
        <f t="shared" si="827"/>
        <v>0.24747830166549378</v>
      </c>
      <c r="BA103" s="288">
        <f t="shared" si="827"/>
        <v>0.21201413427561838</v>
      </c>
      <c r="BB103" s="288">
        <f t="shared" si="827"/>
        <v>0.23905013192612137</v>
      </c>
      <c r="BC103" s="288">
        <f t="shared" si="827"/>
        <v>0.24398912816224128</v>
      </c>
      <c r="BD103" s="288">
        <f t="shared" si="827"/>
        <v>0.195840149567656</v>
      </c>
      <c r="BE103" s="288">
        <f t="shared" si="827"/>
        <v>0.19009243896657976</v>
      </c>
      <c r="BF103" s="288">
        <f t="shared" si="827"/>
        <v>0.17009562445667922</v>
      </c>
      <c r="BG103" s="288">
        <f t="shared" si="827"/>
        <v>0.19498397133697906</v>
      </c>
      <c r="BH103" s="288">
        <f t="shared" si="827"/>
        <v>0.16105709299426577</v>
      </c>
      <c r="BI103" s="288">
        <f t="shared" si="827"/>
        <v>0.22111408416443687</v>
      </c>
      <c r="BJ103" s="288">
        <f t="shared" si="827"/>
        <v>8.4846537040012854E-2</v>
      </c>
      <c r="BK103" s="288">
        <f t="shared" si="827"/>
        <v>0.22497522299306244</v>
      </c>
      <c r="BL103" s="288">
        <f t="shared" si="827"/>
        <v>0.21674237508111616</v>
      </c>
      <c r="BM103" s="288">
        <f t="shared" si="827"/>
        <v>0.21889870836165873</v>
      </c>
      <c r="BN103" s="288">
        <f t="shared" si="827"/>
        <v>0.15731995277449823</v>
      </c>
      <c r="BO103" s="288">
        <f t="shared" si="827"/>
        <v>0.1749084249084249</v>
      </c>
      <c r="BP103" s="288">
        <f t="shared" si="827"/>
        <v>0.19952100221075902</v>
      </c>
      <c r="BQ103" s="288">
        <f t="shared" si="827"/>
        <v>0.18631256384065373</v>
      </c>
      <c r="BR103" s="288">
        <f t="shared" si="827"/>
        <v>8.8999999999999996E-2</v>
      </c>
      <c r="BS103" s="288">
        <f t="shared" si="827"/>
        <v>0.12189576775096188</v>
      </c>
      <c r="BT103" s="288">
        <f t="shared" si="827"/>
        <v>0.22071307300509338</v>
      </c>
      <c r="BU103" s="288">
        <f t="shared" si="827"/>
        <v>0.37712717291857273</v>
      </c>
      <c r="BV103" s="288">
        <f t="shared" si="827"/>
        <v>4.7619047619047616E-2</v>
      </c>
      <c r="BW103" s="288"/>
      <c r="BX103" s="288"/>
      <c r="BY103" s="288"/>
      <c r="BZ103" s="288"/>
      <c r="CA103" s="288"/>
      <c r="CB103" s="288"/>
      <c r="CC103" s="288"/>
      <c r="CD103" s="288"/>
      <c r="CE103" s="288"/>
      <c r="CF103" s="288"/>
      <c r="CG103" s="288"/>
      <c r="CH103" s="288"/>
      <c r="CI103" s="288"/>
      <c r="CJ103" s="288"/>
      <c r="CK103" s="288"/>
      <c r="CL103" s="288"/>
      <c r="CM103" s="288"/>
      <c r="CN103" s="288"/>
      <c r="CO103" s="288"/>
      <c r="CP103" s="288"/>
      <c r="CQ103" s="288"/>
      <c r="CR103" s="288"/>
      <c r="CS103" s="288"/>
      <c r="CT103" s="288"/>
      <c r="CU103" s="288"/>
      <c r="CV103" s="288"/>
      <c r="CW103" s="288"/>
      <c r="CX103" s="288"/>
      <c r="CY103" s="288"/>
      <c r="CZ103" s="288"/>
      <c r="DA103" s="288"/>
      <c r="DB103" s="288"/>
      <c r="DC103" s="288"/>
      <c r="DD103" s="288"/>
      <c r="DE103" s="288"/>
      <c r="DF103" s="288"/>
      <c r="DG103" s="288"/>
      <c r="DH103" s="288"/>
      <c r="DI103" s="288"/>
      <c r="DJ103" s="288"/>
      <c r="DK103" s="288"/>
      <c r="DL103" s="288"/>
      <c r="DM103" s="288"/>
      <c r="DN103" s="288"/>
      <c r="DP103" s="240">
        <f t="shared" ref="DP103:EF103" si="828">+DP74/DP73</f>
        <v>0.28533685601056802</v>
      </c>
      <c r="DQ103" s="240">
        <f t="shared" si="828"/>
        <v>0.27793862188766649</v>
      </c>
      <c r="DR103" s="240">
        <f t="shared" si="828"/>
        <v>0.2831207065750736</v>
      </c>
      <c r="DS103" s="240">
        <f t="shared" si="828"/>
        <v>0.26370638876302671</v>
      </c>
      <c r="DT103" s="240">
        <f t="shared" si="828"/>
        <v>0.233704974271012</v>
      </c>
      <c r="DU103" s="240">
        <f t="shared" si="828"/>
        <v>0.2517717269675494</v>
      </c>
      <c r="DV103" s="240">
        <f t="shared" si="828"/>
        <v>0.27555019596020502</v>
      </c>
      <c r="DW103" s="240">
        <f t="shared" si="828"/>
        <v>0.28415571534837591</v>
      </c>
      <c r="DX103" s="240">
        <f t="shared" si="828"/>
        <v>0.27819055944055943</v>
      </c>
      <c r="DY103" s="240">
        <f t="shared" si="828"/>
        <v>0.23979389615537058</v>
      </c>
      <c r="DZ103" s="240">
        <f t="shared" si="828"/>
        <v>0.27568225273770208</v>
      </c>
      <c r="EA103" s="240">
        <f t="shared" si="828"/>
        <v>0.2742736715339455</v>
      </c>
      <c r="EB103" s="240">
        <f t="shared" si="828"/>
        <v>0.27864550793452453</v>
      </c>
      <c r="EC103" s="240">
        <f t="shared" si="828"/>
        <v>0.25</v>
      </c>
      <c r="ED103" s="240">
        <f t="shared" si="828"/>
        <v>0.26523095810527392</v>
      </c>
      <c r="EE103" s="240">
        <f t="shared" si="828"/>
        <v>0.31772477064220184</v>
      </c>
      <c r="EF103" s="240">
        <f t="shared" si="828"/>
        <v>0.24957698815566837</v>
      </c>
      <c r="EG103" s="240">
        <f t="shared" ref="EG103:EL103" si="829">EG74/EG73</f>
        <v>0.27287571027365948</v>
      </c>
      <c r="EH103" s="240">
        <f t="shared" si="829"/>
        <v>0.22044788750318148</v>
      </c>
      <c r="EI103" s="240">
        <f t="shared" si="829"/>
        <v>0.22891638276253662</v>
      </c>
      <c r="EJ103" s="240">
        <f t="shared" si="829"/>
        <v>0</v>
      </c>
      <c r="EK103" s="240">
        <f t="shared" si="829"/>
        <v>0.20518711081554925</v>
      </c>
      <c r="EL103" s="240">
        <f t="shared" si="829"/>
        <v>0.15864210097719869</v>
      </c>
      <c r="EM103" s="240">
        <f t="shared" ref="EM103:EO103" si="830">EL103+1%</f>
        <v>0.1686421009771987</v>
      </c>
      <c r="EN103" s="240">
        <f t="shared" si="830"/>
        <v>0.17864210097719871</v>
      </c>
      <c r="EO103" s="240">
        <f t="shared" si="830"/>
        <v>0.18864210097719872</v>
      </c>
      <c r="EP103" s="240">
        <f t="shared" ref="EP103:FC103" si="831">+EP74/EP73</f>
        <v>0</v>
      </c>
      <c r="EQ103" s="240">
        <f t="shared" si="831"/>
        <v>0</v>
      </c>
      <c r="ER103" s="240">
        <f t="shared" si="831"/>
        <v>0</v>
      </c>
      <c r="ES103" s="240">
        <f t="shared" si="831"/>
        <v>0.13420572124163116</v>
      </c>
      <c r="ET103" s="240">
        <f t="shared" si="831"/>
        <v>0.16083885783612809</v>
      </c>
      <c r="EU103" s="240">
        <f t="shared" si="831"/>
        <v>9.5040064915305811E-2</v>
      </c>
      <c r="EV103" s="240">
        <f t="shared" si="831"/>
        <v>9.7762289068231839E-2</v>
      </c>
      <c r="EW103" s="240">
        <f t="shared" si="831"/>
        <v>0.15664065197872781</v>
      </c>
      <c r="EX103" s="240">
        <f t="shared" si="831"/>
        <v>0.25</v>
      </c>
      <c r="EY103" s="240">
        <f t="shared" si="831"/>
        <v>0.25</v>
      </c>
      <c r="EZ103" s="240">
        <f t="shared" si="831"/>
        <v>0.25</v>
      </c>
      <c r="FA103" s="240">
        <f t="shared" si="831"/>
        <v>0.25</v>
      </c>
      <c r="FB103" s="240">
        <f t="shared" si="831"/>
        <v>0.25</v>
      </c>
      <c r="FC103" s="240">
        <f t="shared" si="831"/>
        <v>0.25</v>
      </c>
    </row>
    <row r="104" spans="2:166" ht="12.75" customHeight="1" x14ac:dyDescent="0.2">
      <c r="B104" s="299" t="s">
        <v>354</v>
      </c>
      <c r="C104" s="242">
        <f t="shared" ref="C104:AH104" si="832">C75/C64</f>
        <v>0.15905511811023623</v>
      </c>
      <c r="D104" s="242">
        <f t="shared" si="832"/>
        <v>0.15952965952965953</v>
      </c>
      <c r="E104" s="242">
        <f t="shared" si="832"/>
        <v>0.15306122448979592</v>
      </c>
      <c r="F104" s="242">
        <f t="shared" si="832"/>
        <v>0.11190053285968028</v>
      </c>
      <c r="G104" s="242">
        <f t="shared" si="832"/>
        <v>0.17464983572540205</v>
      </c>
      <c r="H104" s="242">
        <f t="shared" si="832"/>
        <v>0.17378523257824657</v>
      </c>
      <c r="I104" s="242">
        <f t="shared" si="832"/>
        <v>0.16788958770090845</v>
      </c>
      <c r="J104" s="242">
        <f t="shared" si="832"/>
        <v>0.10884246898068164</v>
      </c>
      <c r="K104" s="242">
        <f t="shared" si="832"/>
        <v>0.16993070201868032</v>
      </c>
      <c r="L104" s="242">
        <f t="shared" si="832"/>
        <v>0.16851473592063029</v>
      </c>
      <c r="M104" s="242">
        <f t="shared" si="832"/>
        <v>0.16283893910208919</v>
      </c>
      <c r="N104" s="242">
        <f t="shared" si="832"/>
        <v>0.10964083175803403</v>
      </c>
      <c r="O104" s="242">
        <f t="shared" si="832"/>
        <v>0.17953272304959694</v>
      </c>
      <c r="P104" s="242">
        <f t="shared" si="832"/>
        <v>0.1772775705913692</v>
      </c>
      <c r="Q104" s="242">
        <f t="shared" si="832"/>
        <v>0.17545807884508607</v>
      </c>
      <c r="R104" s="242">
        <f t="shared" si="832"/>
        <v>0.13294879009566685</v>
      </c>
      <c r="S104" s="242">
        <f t="shared" si="832"/>
        <v>0.19252984212552945</v>
      </c>
      <c r="T104" s="242">
        <f t="shared" si="832"/>
        <v>0.17765523855190601</v>
      </c>
      <c r="U104" s="242">
        <f t="shared" si="832"/>
        <v>0.18560330177227483</v>
      </c>
      <c r="V104" s="242">
        <f t="shared" si="832"/>
        <v>0.14399619183624895</v>
      </c>
      <c r="W104" s="242">
        <f t="shared" si="832"/>
        <v>0.20976781425140112</v>
      </c>
      <c r="X104" s="242">
        <f t="shared" si="832"/>
        <v>0.21580513611815277</v>
      </c>
      <c r="Y104" s="242">
        <f t="shared" si="832"/>
        <v>0.1899988985571098</v>
      </c>
      <c r="Z104" s="242">
        <f t="shared" si="832"/>
        <v>0.14718706795703498</v>
      </c>
      <c r="AA104" s="242">
        <f t="shared" si="832"/>
        <v>0.21268580737120749</v>
      </c>
      <c r="AB104" s="242">
        <f t="shared" si="832"/>
        <v>0.20421989934185056</v>
      </c>
      <c r="AC104" s="242">
        <f t="shared" si="832"/>
        <v>0.19810598813851157</v>
      </c>
      <c r="AD104" s="242">
        <f t="shared" si="832"/>
        <v>0.17385196241987882</v>
      </c>
      <c r="AE104" s="242">
        <f t="shared" si="832"/>
        <v>0.2434913217623498</v>
      </c>
      <c r="AF104" s="242">
        <f t="shared" si="832"/>
        <v>0.24100235452404978</v>
      </c>
      <c r="AG104" s="242">
        <f t="shared" si="832"/>
        <v>0.20418938803773912</v>
      </c>
      <c r="AH104" s="242">
        <f t="shared" si="832"/>
        <v>0.1573086574654956</v>
      </c>
      <c r="AI104" s="242">
        <f t="shared" ref="AI104:BN104" si="833">AI75/AI64</f>
        <v>0.22124376558603492</v>
      </c>
      <c r="AJ104" s="242">
        <f t="shared" si="833"/>
        <v>0.23624823695345556</v>
      </c>
      <c r="AK104" s="242">
        <f t="shared" si="833"/>
        <v>0.20617384240454914</v>
      </c>
      <c r="AL104" s="242">
        <f t="shared" si="833"/>
        <v>0.16661379857256145</v>
      </c>
      <c r="AM104" s="242">
        <f t="shared" si="833"/>
        <v>0.25723522167487683</v>
      </c>
      <c r="AN104" s="242">
        <f t="shared" si="833"/>
        <v>0.22988849809174586</v>
      </c>
      <c r="AO104" s="242">
        <f t="shared" si="833"/>
        <v>0.21637690976142093</v>
      </c>
      <c r="AP104" s="242">
        <f t="shared" si="833"/>
        <v>0.17431662037713785</v>
      </c>
      <c r="AQ104" s="242">
        <f t="shared" si="833"/>
        <v>0.22734804798833433</v>
      </c>
      <c r="AR104" s="242">
        <f t="shared" si="833"/>
        <v>0.20420023774930657</v>
      </c>
      <c r="AS104" s="242">
        <f t="shared" si="833"/>
        <v>0.2071978410075298</v>
      </c>
      <c r="AT104" s="242">
        <f t="shared" si="833"/>
        <v>0.18123851601178168</v>
      </c>
      <c r="AU104" s="242">
        <f t="shared" si="833"/>
        <v>0.22218105471162158</v>
      </c>
      <c r="AV104" s="242">
        <f t="shared" si="833"/>
        <v>0.2046808510638298</v>
      </c>
      <c r="AW104" s="242">
        <f t="shared" si="833"/>
        <v>0.2079015137240123</v>
      </c>
      <c r="AX104" s="242">
        <f t="shared" si="833"/>
        <v>0.17296798840732447</v>
      </c>
      <c r="AY104" s="242">
        <f t="shared" si="833"/>
        <v>0.23339544789032343</v>
      </c>
      <c r="AZ104" s="242">
        <f t="shared" si="833"/>
        <v>0.21051250082026379</v>
      </c>
      <c r="BA104" s="242">
        <f t="shared" si="833"/>
        <v>0.2218022677541277</v>
      </c>
      <c r="BB104" s="242">
        <f t="shared" si="833"/>
        <v>0.17424929007310735</v>
      </c>
      <c r="BC104" s="242">
        <f t="shared" si="833"/>
        <v>0.23133516729575843</v>
      </c>
      <c r="BD104" s="242">
        <f t="shared" si="833"/>
        <v>0.22360127363701346</v>
      </c>
      <c r="BE104" s="242">
        <f t="shared" si="833"/>
        <v>0.22807368842611134</v>
      </c>
      <c r="BF104" s="242">
        <f t="shared" si="833"/>
        <v>0.18307338276655588</v>
      </c>
      <c r="BG104" s="242">
        <f t="shared" si="833"/>
        <v>0.25162088883649653</v>
      </c>
      <c r="BH104" s="242">
        <f t="shared" si="833"/>
        <v>0.20274748448514793</v>
      </c>
      <c r="BI104" s="242">
        <f t="shared" si="833"/>
        <v>0.20006248047485162</v>
      </c>
      <c r="BJ104" s="242">
        <f t="shared" si="833"/>
        <v>0.3025875352000425</v>
      </c>
      <c r="BK104" s="242">
        <f t="shared" si="833"/>
        <v>0.24227027696883327</v>
      </c>
      <c r="BL104" s="242">
        <f t="shared" si="833"/>
        <v>0.21779141104294478</v>
      </c>
      <c r="BM104" s="242">
        <f t="shared" si="833"/>
        <v>0.200511895759409</v>
      </c>
      <c r="BN104" s="242">
        <f t="shared" si="833"/>
        <v>0.16047439716710696</v>
      </c>
      <c r="BO104" s="242">
        <f t="shared" ref="BO104:BV104" si="834">BO75/BO64</f>
        <v>0.20537953043081833</v>
      </c>
      <c r="BP104" s="242">
        <f t="shared" si="834"/>
        <v>0.24229074889867841</v>
      </c>
      <c r="BQ104" s="242">
        <f t="shared" si="834"/>
        <v>0.22580645161290322</v>
      </c>
      <c r="BR104" s="242">
        <f t="shared" si="834"/>
        <v>0.19774294076201832</v>
      </c>
      <c r="BS104" s="242">
        <f t="shared" si="834"/>
        <v>0.27559141555518962</v>
      </c>
      <c r="BT104" s="242">
        <f t="shared" si="834"/>
        <v>0.23544498589381893</v>
      </c>
      <c r="BU104" s="242">
        <f t="shared" si="834"/>
        <v>0.18432880272919261</v>
      </c>
      <c r="BV104" s="242">
        <f t="shared" si="834"/>
        <v>0.19940834885504546</v>
      </c>
      <c r="BW104" s="240"/>
      <c r="BX104" s="240"/>
      <c r="BY104" s="240"/>
      <c r="BZ104" s="240"/>
      <c r="CA104" s="240"/>
      <c r="CB104" s="240"/>
      <c r="CC104" s="240"/>
      <c r="CD104" s="240"/>
      <c r="CE104" s="240"/>
      <c r="CF104" s="240"/>
      <c r="CG104" s="240"/>
      <c r="CH104" s="240"/>
      <c r="CI104" s="240"/>
      <c r="CJ104" s="240"/>
      <c r="CK104" s="240"/>
      <c r="CL104" s="240"/>
      <c r="CM104" s="240"/>
      <c r="CN104" s="240"/>
      <c r="CO104" s="240"/>
      <c r="CP104" s="240"/>
      <c r="CQ104" s="240"/>
      <c r="CR104" s="240"/>
      <c r="CS104" s="240"/>
      <c r="CT104" s="240"/>
      <c r="CU104" s="240"/>
      <c r="CV104" s="240"/>
      <c r="CW104" s="240"/>
      <c r="CX104" s="240"/>
      <c r="CY104" s="240"/>
      <c r="CZ104" s="240"/>
      <c r="DA104" s="240"/>
      <c r="DB104" s="240"/>
      <c r="DC104" s="240"/>
      <c r="DD104" s="240"/>
      <c r="DE104" s="240"/>
      <c r="DF104" s="240"/>
      <c r="DG104" s="240"/>
      <c r="DH104" s="240"/>
      <c r="DI104" s="240"/>
      <c r="DJ104" s="240"/>
      <c r="DK104" s="240"/>
      <c r="DL104" s="240"/>
      <c r="DM104" s="240"/>
      <c r="DN104" s="240"/>
      <c r="DP104" s="242">
        <f t="shared" ref="DP104:FC104" si="835">DP75/DP64</f>
        <v>0.11089474223634314</v>
      </c>
      <c r="DQ104" s="242">
        <f t="shared" si="835"/>
        <v>0.11102207977207977</v>
      </c>
      <c r="DR104" s="242">
        <f t="shared" si="835"/>
        <v>0.11737768136900457</v>
      </c>
      <c r="DS104" s="242">
        <f t="shared" si="835"/>
        <v>0.11815603868246928</v>
      </c>
      <c r="DT104" s="242">
        <f t="shared" si="835"/>
        <v>0.12639694440514923</v>
      </c>
      <c r="DU104" s="242">
        <f t="shared" si="835"/>
        <v>0.1274945976865387</v>
      </c>
      <c r="DV104" s="242">
        <f t="shared" si="835"/>
        <v>0.12753423203481584</v>
      </c>
      <c r="DW104" s="242">
        <f t="shared" si="835"/>
        <v>0.13353376503237743</v>
      </c>
      <c r="DX104" s="242">
        <f t="shared" si="835"/>
        <v>0.14596314463741217</v>
      </c>
      <c r="DY104" s="242">
        <f t="shared" si="835"/>
        <v>0.16215073762522719</v>
      </c>
      <c r="DZ104" s="242">
        <f t="shared" si="835"/>
        <v>0.15168723381019986</v>
      </c>
      <c r="EA104" s="242">
        <f t="shared" si="835"/>
        <v>0.16544836816637495</v>
      </c>
      <c r="EB104" s="242">
        <f t="shared" si="835"/>
        <v>0.17491819173433523</v>
      </c>
      <c r="EC104" s="242">
        <f t="shared" si="835"/>
        <v>0.20509442754233731</v>
      </c>
      <c r="ED104" s="242">
        <f t="shared" si="835"/>
        <v>0.20343015762863093</v>
      </c>
      <c r="EE104" s="242">
        <f t="shared" si="835"/>
        <v>0.19319575202111519</v>
      </c>
      <c r="EF104" s="242">
        <f t="shared" si="835"/>
        <v>0.19711907551820276</v>
      </c>
      <c r="EG104" s="242">
        <f t="shared" si="835"/>
        <v>0.20878028655014627</v>
      </c>
      <c r="EH104" s="242">
        <f t="shared" si="835"/>
        <v>0.20053099271626154</v>
      </c>
      <c r="EI104" s="242">
        <f t="shared" si="835"/>
        <v>0.20237815112868057</v>
      </c>
      <c r="EJ104" s="242">
        <f t="shared" si="835"/>
        <v>0.27107129586248124</v>
      </c>
      <c r="EK104" s="242">
        <f t="shared" si="835"/>
        <v>0.21392889105849808</v>
      </c>
      <c r="EL104" s="242">
        <f t="shared" si="835"/>
        <v>0.25420575119175765</v>
      </c>
      <c r="EM104" s="242">
        <f t="shared" si="835"/>
        <v>0.19943318523329445</v>
      </c>
      <c r="EN104" s="242">
        <f t="shared" si="835"/>
        <v>0.21485240913170295</v>
      </c>
      <c r="EO104" s="242">
        <f t="shared" si="835"/>
        <v>0.25974124242373586</v>
      </c>
      <c r="EP104" s="242">
        <f t="shared" si="835"/>
        <v>0.65056362637391885</v>
      </c>
      <c r="EQ104" s="242">
        <f t="shared" si="835"/>
        <v>0.6474195947041802</v>
      </c>
      <c r="ER104" s="242">
        <f t="shared" si="835"/>
        <v>0.69</v>
      </c>
      <c r="ES104" s="242">
        <f t="shared" si="835"/>
        <v>0.24411321263529498</v>
      </c>
      <c r="ET104" s="242">
        <f t="shared" si="835"/>
        <v>0.23601886493534982</v>
      </c>
      <c r="EU104" s="242">
        <f t="shared" si="835"/>
        <v>0.21606567699125759</v>
      </c>
      <c r="EV104" s="242">
        <f t="shared" si="835"/>
        <v>0.26109618998078538</v>
      </c>
      <c r="EW104" s="242">
        <f t="shared" si="835"/>
        <v>0.2560682792823965</v>
      </c>
      <c r="EX104" s="242">
        <f t="shared" si="835"/>
        <v>0.29942514892637079</v>
      </c>
      <c r="EY104" s="242">
        <f t="shared" si="835"/>
        <v>0.30016562915366174</v>
      </c>
      <c r="EZ104" s="242">
        <f t="shared" si="835"/>
        <v>0.29848183019708802</v>
      </c>
      <c r="FA104" s="242">
        <f t="shared" si="835"/>
        <v>0.29916063452297847</v>
      </c>
      <c r="FB104" s="242">
        <f t="shared" si="835"/>
        <v>0.30165249837691815</v>
      </c>
      <c r="FC104" s="242">
        <f t="shared" si="835"/>
        <v>0.30448951121532081</v>
      </c>
    </row>
    <row r="106" spans="2:166" ht="12.75" customHeight="1" x14ac:dyDescent="0.2">
      <c r="B106" t="s">
        <v>355</v>
      </c>
      <c r="K106" s="247">
        <v>2697</v>
      </c>
      <c r="L106" s="247">
        <v>2957</v>
      </c>
      <c r="M106" s="247">
        <v>2936.4</v>
      </c>
      <c r="N106" s="247">
        <v>2639.4</v>
      </c>
      <c r="O106" s="247">
        <v>3163</v>
      </c>
      <c r="P106" s="247">
        <v>3383</v>
      </c>
      <c r="Q106" s="247">
        <v>3168</v>
      </c>
      <c r="R106" s="247">
        <v>2947</v>
      </c>
      <c r="S106" s="247">
        <v>3489</v>
      </c>
      <c r="T106" s="247">
        <v>3864.4</v>
      </c>
      <c r="U106" s="247">
        <v>3677.4</v>
      </c>
      <c r="V106" s="247">
        <v>3820</v>
      </c>
      <c r="W106" s="247">
        <v>4181</v>
      </c>
      <c r="X106" s="247">
        <v>4258</v>
      </c>
      <c r="Y106" s="247">
        <v>4277</v>
      </c>
      <c r="Z106" s="247">
        <v>4435</v>
      </c>
      <c r="AA106" s="243">
        <v>4666</v>
      </c>
      <c r="AB106" s="243">
        <v>4884</v>
      </c>
      <c r="AC106" s="243">
        <v>4835</v>
      </c>
      <c r="AD106" s="243">
        <v>5134</v>
      </c>
      <c r="AE106" s="243">
        <v>5376</v>
      </c>
      <c r="AF106" s="243">
        <f t="shared" ref="AF106:AL106" si="836">SUM(AF8:AF49)</f>
        <v>5296</v>
      </c>
      <c r="AG106" s="243">
        <f t="shared" si="836"/>
        <v>4940</v>
      </c>
      <c r="AH106" s="243">
        <f t="shared" si="836"/>
        <v>5242</v>
      </c>
      <c r="AI106" s="243">
        <f t="shared" si="836"/>
        <v>5178</v>
      </c>
      <c r="AJ106" s="243">
        <f t="shared" si="836"/>
        <v>4986</v>
      </c>
      <c r="AK106" s="243">
        <f t="shared" si="836"/>
        <v>4833</v>
      </c>
      <c r="AL106" s="243">
        <f t="shared" si="836"/>
        <v>4790</v>
      </c>
      <c r="AM106" s="243">
        <f>SUM(AM3:AM49)</f>
        <v>5626</v>
      </c>
      <c r="AN106" s="243">
        <f>SUM(AN3:AN49)</f>
        <v>5810</v>
      </c>
      <c r="AO106" s="243">
        <f>SUM(AO3:AO49)</f>
        <v>5881</v>
      </c>
      <c r="AP106" s="243">
        <f>SUM(AP3:AP49)</f>
        <v>5950</v>
      </c>
      <c r="AQ106" s="243">
        <f>SUM(AQ3:AQ49)-AQ8</f>
        <v>5093</v>
      </c>
      <c r="AR106" s="243">
        <f>SUM(AR3:AR49)-AR8</f>
        <v>5023</v>
      </c>
      <c r="AS106" s="243">
        <f>SUM(AS3:AS49)-AS8</f>
        <v>4974</v>
      </c>
      <c r="AT106" s="243">
        <f>SUM(AT3:AT49)-AT8</f>
        <v>5177</v>
      </c>
      <c r="AU106" s="243">
        <f>SUM(AU3:AU49)-AU11</f>
        <v>6363</v>
      </c>
      <c r="AV106" s="243">
        <f t="shared" ref="AV106:BV106" si="837">SUM(AV3:AV49)</f>
        <v>6340</v>
      </c>
      <c r="AW106" s="243">
        <f t="shared" si="837"/>
        <v>6113</v>
      </c>
      <c r="AX106" s="243">
        <f t="shared" si="837"/>
        <v>5685</v>
      </c>
      <c r="AY106" s="243">
        <f t="shared" si="837"/>
        <v>5780</v>
      </c>
      <c r="AZ106" s="243">
        <f t="shared" si="837"/>
        <v>5498</v>
      </c>
      <c r="BA106" s="243">
        <f t="shared" si="837"/>
        <v>5249</v>
      </c>
      <c r="BB106" s="243">
        <f t="shared" si="837"/>
        <v>5993</v>
      </c>
      <c r="BC106" s="243">
        <f t="shared" si="837"/>
        <v>5638</v>
      </c>
      <c r="BD106" s="243">
        <f t="shared" si="837"/>
        <v>5612</v>
      </c>
      <c r="BE106" s="243">
        <f t="shared" si="837"/>
        <v>5495</v>
      </c>
      <c r="BF106" s="243">
        <f t="shared" si="837"/>
        <v>5710</v>
      </c>
      <c r="BG106" s="243">
        <f t="shared" si="837"/>
        <v>6059</v>
      </c>
      <c r="BH106" s="243">
        <f t="shared" si="837"/>
        <v>6233</v>
      </c>
      <c r="BI106" s="243">
        <f t="shared" si="837"/>
        <v>5982</v>
      </c>
      <c r="BJ106" s="243">
        <f t="shared" si="837"/>
        <v>6094</v>
      </c>
      <c r="BK106" s="243">
        <f t="shared" si="837"/>
        <v>6133</v>
      </c>
      <c r="BL106" s="243">
        <f t="shared" si="837"/>
        <v>6442</v>
      </c>
      <c r="BM106" s="243">
        <f t="shared" si="837"/>
        <v>6541</v>
      </c>
      <c r="BN106" s="243">
        <f t="shared" si="837"/>
        <v>6758</v>
      </c>
      <c r="BO106" s="243">
        <f t="shared" si="837"/>
        <v>6811</v>
      </c>
      <c r="BP106" s="243">
        <f t="shared" si="837"/>
        <v>7081</v>
      </c>
      <c r="BQ106" s="243">
        <f t="shared" si="837"/>
        <v>7100</v>
      </c>
      <c r="BR106" s="243">
        <f t="shared" si="837"/>
        <v>7392</v>
      </c>
      <c r="BS106" s="243">
        <f t="shared" si="837"/>
        <v>7602</v>
      </c>
      <c r="BT106" s="243">
        <f t="shared" si="837"/>
        <v>8509</v>
      </c>
      <c r="BU106" s="243">
        <f t="shared" si="837"/>
        <v>8307</v>
      </c>
      <c r="BV106" s="243">
        <f t="shared" si="837"/>
        <v>7999</v>
      </c>
      <c r="BW106" s="243"/>
      <c r="BX106" s="243"/>
      <c r="BY106" s="243"/>
      <c r="BZ106" s="243"/>
      <c r="CA106" s="243"/>
      <c r="CB106" s="243"/>
      <c r="CC106" s="243"/>
      <c r="CD106" s="243"/>
      <c r="CE106" s="243"/>
      <c r="CF106" s="243"/>
      <c r="CG106" s="243"/>
      <c r="CH106" s="243"/>
      <c r="CI106" s="243"/>
      <c r="CJ106" s="243"/>
      <c r="CK106" s="243"/>
      <c r="CL106" s="243"/>
      <c r="CM106" s="243"/>
      <c r="CN106" s="243"/>
      <c r="CO106" s="243"/>
      <c r="CP106" s="243"/>
      <c r="CQ106" s="243"/>
      <c r="CR106" s="243"/>
      <c r="CS106" s="243"/>
      <c r="CT106" s="243"/>
      <c r="CU106" s="243"/>
      <c r="CV106" s="243"/>
      <c r="CW106" s="243"/>
      <c r="CX106" s="243"/>
      <c r="CY106" s="243"/>
      <c r="CZ106" s="243"/>
      <c r="DA106" s="243"/>
      <c r="DB106" s="243"/>
      <c r="DC106" s="243"/>
      <c r="DD106" s="243"/>
      <c r="DE106" s="243"/>
      <c r="DF106" s="243"/>
      <c r="DG106" s="243"/>
      <c r="DH106" s="243"/>
      <c r="DI106" s="243"/>
      <c r="DJ106" s="243"/>
      <c r="DK106" s="243"/>
      <c r="DL106" s="243"/>
      <c r="DM106" s="243"/>
      <c r="DN106" s="243"/>
      <c r="DS106" s="243">
        <v>4340</v>
      </c>
      <c r="DT106" s="243">
        <v>4490</v>
      </c>
      <c r="DU106" s="243">
        <v>5158</v>
      </c>
      <c r="DV106" s="243">
        <v>6274</v>
      </c>
      <c r="DW106" s="243">
        <v>7188</v>
      </c>
      <c r="DX106" s="243">
        <v>7696</v>
      </c>
      <c r="DY106" s="243">
        <v>8562</v>
      </c>
      <c r="DZ106" s="243">
        <v>10694</v>
      </c>
      <c r="EA106" s="243">
        <v>11954</v>
      </c>
      <c r="EB106" s="243">
        <v>14851</v>
      </c>
      <c r="EC106" s="243">
        <v>17151</v>
      </c>
      <c r="ED106" s="243">
        <v>19517</v>
      </c>
      <c r="EE106" s="243">
        <v>22128</v>
      </c>
      <c r="EF106" s="243">
        <v>22322</v>
      </c>
      <c r="EG106" s="243">
        <f t="shared" ref="EG106:EQ106" si="838">SUM(EG3:EG49)</f>
        <v>23267</v>
      </c>
      <c r="EH106" s="243">
        <f t="shared" si="838"/>
        <v>24866</v>
      </c>
      <c r="EI106" s="243">
        <f t="shared" si="838"/>
        <v>24567</v>
      </c>
      <c r="EJ106" s="243">
        <f t="shared" si="838"/>
        <v>22520</v>
      </c>
      <c r="EK106" s="243">
        <f t="shared" si="838"/>
        <v>22264</v>
      </c>
      <c r="EL106" s="243">
        <f t="shared" si="838"/>
        <v>24368</v>
      </c>
      <c r="EM106" s="243">
        <f t="shared" si="838"/>
        <v>25874</v>
      </c>
      <c r="EN106" s="243">
        <f t="shared" si="838"/>
        <v>28125</v>
      </c>
      <c r="EO106" s="243">
        <f t="shared" si="838"/>
        <v>31377.599999999999</v>
      </c>
      <c r="EP106" s="243">
        <f t="shared" si="838"/>
        <v>31502.829999999998</v>
      </c>
      <c r="EQ106" s="243">
        <f t="shared" si="838"/>
        <v>25169.797699999999</v>
      </c>
      <c r="ER106" s="243"/>
      <c r="ES106" s="243"/>
      <c r="ET106" s="243"/>
      <c r="EU106" s="243"/>
    </row>
    <row r="107" spans="2:166" ht="12.75" customHeight="1" x14ac:dyDescent="0.2">
      <c r="B107" t="s">
        <v>356</v>
      </c>
      <c r="W107" s="243">
        <v>1664</v>
      </c>
      <c r="X107" s="243">
        <v>1577</v>
      </c>
      <c r="Y107" s="243">
        <v>1455</v>
      </c>
      <c r="Z107" s="243">
        <v>1091</v>
      </c>
      <c r="AA107" s="243">
        <v>1859</v>
      </c>
      <c r="AB107" s="243">
        <v>1091</v>
      </c>
      <c r="AC107" s="243">
        <v>1751</v>
      </c>
      <c r="AD107" s="243">
        <v>1195</v>
      </c>
      <c r="AE107" s="243">
        <v>2085</v>
      </c>
      <c r="AF107" s="243">
        <v>2108</v>
      </c>
      <c r="AG107" s="243">
        <v>1922</v>
      </c>
      <c r="AH107" s="243">
        <v>1493</v>
      </c>
      <c r="AI107" s="243">
        <v>2076</v>
      </c>
      <c r="AJ107" s="243">
        <v>1585</v>
      </c>
      <c r="AK107" s="243">
        <v>1795</v>
      </c>
      <c r="AL107" s="243">
        <v>1093</v>
      </c>
      <c r="AM107" s="243">
        <v>1927</v>
      </c>
      <c r="AN107" s="243">
        <v>1743</v>
      </c>
      <c r="AO107" s="243"/>
      <c r="AP107" s="243"/>
      <c r="AQ107" s="243"/>
      <c r="AR107" s="243"/>
      <c r="AS107" s="243"/>
      <c r="AT107" s="243"/>
      <c r="AU107" s="243"/>
      <c r="AV107" s="243"/>
      <c r="AW107" s="243"/>
      <c r="AX107" s="243"/>
      <c r="BC107" s="243">
        <v>1970</v>
      </c>
      <c r="DS107" s="243">
        <v>1364</v>
      </c>
      <c r="DT107" s="243">
        <v>1406</v>
      </c>
      <c r="DU107" s="243">
        <v>1669</v>
      </c>
      <c r="DV107" s="243">
        <v>2073</v>
      </c>
      <c r="DW107" s="243">
        <v>2477</v>
      </c>
      <c r="DX107" s="243">
        <v>2669</v>
      </c>
      <c r="DY107" s="243">
        <v>3081</v>
      </c>
      <c r="DZ107" s="243">
        <v>3595</v>
      </c>
      <c r="EA107" s="243">
        <v>4175</v>
      </c>
      <c r="EB107" s="243">
        <v>4928</v>
      </c>
      <c r="EC107" s="243">
        <v>5787</v>
      </c>
      <c r="ED107" s="243">
        <v>5896</v>
      </c>
      <c r="EE107" s="243">
        <v>7608</v>
      </c>
      <c r="EF107" s="243">
        <f>6610+302</f>
        <v>6912</v>
      </c>
      <c r="EG107" s="243"/>
      <c r="EH107" s="243"/>
      <c r="EI107" s="243"/>
      <c r="EJ107" s="243"/>
      <c r="EK107" s="243"/>
      <c r="EL107" s="243"/>
      <c r="EM107" s="243"/>
      <c r="EN107" s="243"/>
      <c r="EO107" s="243"/>
      <c r="EP107" s="243"/>
      <c r="EQ107" s="243"/>
      <c r="ER107" s="243"/>
      <c r="ES107" s="243"/>
      <c r="ET107" s="243"/>
      <c r="EU107" s="243"/>
    </row>
    <row r="108" spans="2:166" ht="12.75" customHeight="1" x14ac:dyDescent="0.2">
      <c r="B108" t="s">
        <v>357</v>
      </c>
      <c r="W108" s="294">
        <f t="shared" ref="W108:AN108" si="839">W107/W106</f>
        <v>0.39799091126524755</v>
      </c>
      <c r="X108" s="294">
        <f t="shared" si="839"/>
        <v>0.37036167214654769</v>
      </c>
      <c r="Y108" s="294">
        <f t="shared" si="839"/>
        <v>0.34019172317044655</v>
      </c>
      <c r="Z108" s="294">
        <f t="shared" si="839"/>
        <v>0.24599774520856821</v>
      </c>
      <c r="AA108" s="294">
        <f t="shared" si="839"/>
        <v>0.39841405915130734</v>
      </c>
      <c r="AB108" s="294">
        <f t="shared" si="839"/>
        <v>0.22338247338247338</v>
      </c>
      <c r="AC108" s="294">
        <f t="shared" si="839"/>
        <v>0.36215098241985522</v>
      </c>
      <c r="AD108" s="294">
        <f t="shared" si="839"/>
        <v>0.23276197896377093</v>
      </c>
      <c r="AE108" s="294">
        <f t="shared" si="839"/>
        <v>0.38783482142857145</v>
      </c>
      <c r="AF108" s="294">
        <f t="shared" si="839"/>
        <v>0.39803625377643503</v>
      </c>
      <c r="AG108" s="294">
        <f t="shared" si="839"/>
        <v>0.38906882591093117</v>
      </c>
      <c r="AH108" s="294">
        <f t="shared" si="839"/>
        <v>0.28481495612361696</v>
      </c>
      <c r="AI108" s="294">
        <f t="shared" si="839"/>
        <v>0.40092699884125144</v>
      </c>
      <c r="AJ108" s="294">
        <f t="shared" si="839"/>
        <v>0.31789009225832332</v>
      </c>
      <c r="AK108" s="294">
        <f t="shared" si="839"/>
        <v>0.37140492447755019</v>
      </c>
      <c r="AL108" s="294">
        <f t="shared" si="839"/>
        <v>0.22818371607515658</v>
      </c>
      <c r="AM108" s="294">
        <f t="shared" si="839"/>
        <v>0.34251688588695345</v>
      </c>
      <c r="AN108" s="294">
        <f t="shared" si="839"/>
        <v>0.3</v>
      </c>
      <c r="AO108" s="243"/>
      <c r="AP108" s="243"/>
      <c r="AQ108" s="243"/>
      <c r="AR108" s="243"/>
      <c r="AS108" s="243"/>
      <c r="AT108" s="243"/>
      <c r="AU108" s="243"/>
      <c r="AV108" s="243"/>
      <c r="AW108" s="243"/>
      <c r="AX108" s="243"/>
      <c r="BC108" s="294">
        <f>+BC107/BC106</f>
        <v>0.34941468605888615</v>
      </c>
      <c r="DS108" s="294">
        <f t="shared" ref="DS108:EF108" si="840">DS107/DS106</f>
        <v>0.31428571428571428</v>
      </c>
      <c r="DT108" s="294">
        <f t="shared" si="840"/>
        <v>0.31314031180400892</v>
      </c>
      <c r="DU108" s="294">
        <f t="shared" si="840"/>
        <v>0.32357502908103919</v>
      </c>
      <c r="DV108" s="294">
        <f t="shared" si="840"/>
        <v>0.33041122091169906</v>
      </c>
      <c r="DW108" s="294">
        <f t="shared" si="840"/>
        <v>0.34460211463550361</v>
      </c>
      <c r="DX108" s="294">
        <f t="shared" si="840"/>
        <v>0.34680353430353428</v>
      </c>
      <c r="DY108" s="294">
        <f t="shared" si="840"/>
        <v>0.3598458304134548</v>
      </c>
      <c r="DZ108" s="294">
        <f t="shared" si="840"/>
        <v>0.3361698148494483</v>
      </c>
      <c r="EA108" s="294">
        <f t="shared" si="840"/>
        <v>0.34925547933746026</v>
      </c>
      <c r="EB108" s="294">
        <f t="shared" si="840"/>
        <v>0.33182950643054338</v>
      </c>
      <c r="EC108" s="294">
        <f t="shared" si="840"/>
        <v>0.33741472800419803</v>
      </c>
      <c r="ED108" s="294">
        <f t="shared" si="840"/>
        <v>0.3020956089562945</v>
      </c>
      <c r="EE108" s="294">
        <f t="shared" si="840"/>
        <v>0.3438177874186551</v>
      </c>
      <c r="EF108" s="294">
        <f t="shared" si="840"/>
        <v>0.30964967296837204</v>
      </c>
      <c r="EG108" s="243"/>
      <c r="EH108" s="243"/>
      <c r="EI108" s="243"/>
      <c r="EJ108" s="243"/>
      <c r="EK108" s="243"/>
      <c r="EL108" s="243"/>
      <c r="EM108" s="243"/>
      <c r="EN108" s="243"/>
      <c r="EO108" s="243"/>
      <c r="EP108" s="243"/>
      <c r="EQ108" s="243"/>
      <c r="ER108" s="243"/>
      <c r="ES108" s="243"/>
      <c r="ET108" s="243"/>
      <c r="EU108" s="243"/>
    </row>
    <row r="109" spans="2:166" ht="12.75" customHeight="1" x14ac:dyDescent="0.2">
      <c r="B109" t="s">
        <v>358</v>
      </c>
      <c r="K109" s="294">
        <f t="shared" ref="K109:AP109" si="841">K106/K64</f>
        <v>0.40629707743296173</v>
      </c>
      <c r="L109" s="294">
        <f t="shared" si="841"/>
        <v>0.43142690399766559</v>
      </c>
      <c r="M109" s="294">
        <f t="shared" si="841"/>
        <v>0.43508667950807528</v>
      </c>
      <c r="N109" s="294">
        <f t="shared" si="841"/>
        <v>0.38380107605060348</v>
      </c>
      <c r="O109" s="294">
        <f t="shared" si="841"/>
        <v>0.43216286377920482</v>
      </c>
      <c r="P109" s="294">
        <f t="shared" si="841"/>
        <v>0.45058604155567394</v>
      </c>
      <c r="Q109" s="294">
        <f t="shared" si="841"/>
        <v>0.43975569128262076</v>
      </c>
      <c r="R109" s="294">
        <f t="shared" si="841"/>
        <v>0.41460326392796848</v>
      </c>
      <c r="S109" s="294">
        <f t="shared" si="841"/>
        <v>0.4478244127839815</v>
      </c>
      <c r="T109" s="294">
        <f t="shared" si="841"/>
        <v>0.46324622392711579</v>
      </c>
      <c r="U109" s="294">
        <f t="shared" si="841"/>
        <v>0.44639475600874001</v>
      </c>
      <c r="V109" s="294">
        <f t="shared" si="841"/>
        <v>0.45459954778055456</v>
      </c>
      <c r="W109" s="294">
        <f t="shared" si="841"/>
        <v>0.47821114034084411</v>
      </c>
      <c r="X109" s="294">
        <f t="shared" si="841"/>
        <v>0.46930452992395016</v>
      </c>
      <c r="Y109" s="294">
        <f t="shared" si="841"/>
        <v>0.47108712413261372</v>
      </c>
      <c r="Z109" s="294">
        <f t="shared" si="841"/>
        <v>0.47165798149526744</v>
      </c>
      <c r="AA109" s="294">
        <f t="shared" si="841"/>
        <v>0.47505599674200771</v>
      </c>
      <c r="AB109" s="294">
        <f t="shared" si="841"/>
        <v>0.4727061556329849</v>
      </c>
      <c r="AC109" s="294">
        <f t="shared" si="841"/>
        <v>0.46250239142911803</v>
      </c>
      <c r="AD109" s="294">
        <f t="shared" si="841"/>
        <v>0.45078584599174643</v>
      </c>
      <c r="AE109" s="294">
        <f t="shared" si="841"/>
        <v>0.44859813084112149</v>
      </c>
      <c r="AF109" s="294">
        <f t="shared" si="841"/>
        <v>0.44534140598721828</v>
      </c>
      <c r="AG109" s="294">
        <f t="shared" si="841"/>
        <v>0.42759456418246344</v>
      </c>
      <c r="AH109" s="294">
        <f t="shared" si="841"/>
        <v>0.41107277289836891</v>
      </c>
      <c r="AI109" s="294">
        <f t="shared" si="841"/>
        <v>0.40352244389027431</v>
      </c>
      <c r="AJ109" s="294">
        <f t="shared" si="841"/>
        <v>0.39069111424541608</v>
      </c>
      <c r="AK109" s="294">
        <f t="shared" si="841"/>
        <v>0.39260763606823723</v>
      </c>
      <c r="AL109" s="294">
        <f t="shared" si="841"/>
        <v>0.37985725614591592</v>
      </c>
      <c r="AM109" s="294">
        <f t="shared" si="841"/>
        <v>0.4330357142857143</v>
      </c>
      <c r="AN109" s="294">
        <f t="shared" si="841"/>
        <v>0.43478260869565216</v>
      </c>
      <c r="AO109" s="294">
        <f t="shared" si="841"/>
        <v>0.44261308045457964</v>
      </c>
      <c r="AP109" s="294">
        <f t="shared" si="841"/>
        <v>0.43487794182137113</v>
      </c>
      <c r="AQ109" s="294">
        <f t="shared" ref="AQ109:BV109" si="842">AQ106/AQ64</f>
        <v>0.33757539603632264</v>
      </c>
      <c r="AR109" s="294">
        <f t="shared" si="842"/>
        <v>0.33172632413155462</v>
      </c>
      <c r="AS109" s="294">
        <f t="shared" si="842"/>
        <v>0.3314453255147598</v>
      </c>
      <c r="AT109" s="294">
        <f t="shared" si="842"/>
        <v>0.32443441749702323</v>
      </c>
      <c r="AU109" s="294">
        <f t="shared" si="842"/>
        <v>0.39292330492775102</v>
      </c>
      <c r="AV109" s="294">
        <f t="shared" si="842"/>
        <v>0.38541033434650457</v>
      </c>
      <c r="AW109" s="294">
        <f t="shared" si="842"/>
        <v>0.38395829407700521</v>
      </c>
      <c r="AX109" s="294">
        <f t="shared" si="842"/>
        <v>0.37445659333421155</v>
      </c>
      <c r="AY109" s="294">
        <f t="shared" si="842"/>
        <v>0.38466657793158526</v>
      </c>
      <c r="AZ109" s="294">
        <f t="shared" si="842"/>
        <v>0.36078482840081372</v>
      </c>
      <c r="BA109" s="294">
        <f t="shared" si="842"/>
        <v>0.34805384258338307</v>
      </c>
      <c r="BB109" s="294">
        <f t="shared" si="842"/>
        <v>0.36209292489879763</v>
      </c>
      <c r="BC109" s="294">
        <f t="shared" si="842"/>
        <v>0.3606934936984198</v>
      </c>
      <c r="BD109" s="294">
        <f t="shared" si="842"/>
        <v>0.36467606732081359</v>
      </c>
      <c r="BE109" s="294">
        <f t="shared" si="842"/>
        <v>0.36677346148711787</v>
      </c>
      <c r="BF109" s="294">
        <f t="shared" si="842"/>
        <v>0.36499616466376883</v>
      </c>
      <c r="BG109" s="294">
        <f t="shared" si="842"/>
        <v>0.35712601673936106</v>
      </c>
      <c r="BH109" s="294">
        <f t="shared" si="842"/>
        <v>0.3755497981562933</v>
      </c>
      <c r="BI109" s="294">
        <f t="shared" si="842"/>
        <v>0.37375820056232428</v>
      </c>
      <c r="BJ109" s="294">
        <f t="shared" si="842"/>
        <v>0.32378725891291643</v>
      </c>
      <c r="BK109" s="294">
        <f t="shared" si="842"/>
        <v>0.38001115310737965</v>
      </c>
      <c r="BL109" s="294">
        <f t="shared" si="842"/>
        <v>0.38746541561409842</v>
      </c>
      <c r="BM109" s="294">
        <f t="shared" si="842"/>
        <v>0.38048979116979814</v>
      </c>
      <c r="BN109" s="294">
        <f t="shared" si="842"/>
        <v>0.37985498285650049</v>
      </c>
      <c r="BO109" s="294">
        <f t="shared" si="842"/>
        <v>0.38813540004558922</v>
      </c>
      <c r="BP109" s="294">
        <f t="shared" si="842"/>
        <v>0.39485864049517649</v>
      </c>
      <c r="BQ109" s="294">
        <f t="shared" si="842"/>
        <v>0.40251714949827089</v>
      </c>
      <c r="BR109" s="294">
        <f t="shared" si="842"/>
        <v>0.40062869221180425</v>
      </c>
      <c r="BS109" s="294">
        <f t="shared" si="842"/>
        <v>0.41725671002799275</v>
      </c>
      <c r="BT109" s="294">
        <f t="shared" si="842"/>
        <v>0.43647088997178762</v>
      </c>
      <c r="BU109" s="294">
        <f t="shared" si="842"/>
        <v>0.44982942546163429</v>
      </c>
      <c r="BV109" s="294">
        <f t="shared" si="842"/>
        <v>0.43820532486030461</v>
      </c>
      <c r="BW109" s="294"/>
      <c r="BX109" s="294"/>
      <c r="BY109" s="294"/>
      <c r="BZ109" s="294"/>
      <c r="CA109" s="294"/>
      <c r="CB109" s="294"/>
      <c r="CC109" s="294"/>
      <c r="CD109" s="294"/>
      <c r="CE109" s="294"/>
      <c r="CF109" s="294"/>
      <c r="CG109" s="294"/>
      <c r="CH109" s="294"/>
      <c r="CI109" s="294"/>
      <c r="CJ109" s="294"/>
      <c r="CK109" s="294"/>
      <c r="CL109" s="294"/>
      <c r="CM109" s="294"/>
      <c r="CN109" s="294"/>
      <c r="CO109" s="294"/>
      <c r="CP109" s="294"/>
      <c r="CQ109" s="294"/>
      <c r="CR109" s="294"/>
      <c r="CS109" s="294"/>
      <c r="CT109" s="294"/>
      <c r="CU109" s="294"/>
      <c r="CV109" s="294"/>
      <c r="CW109" s="294"/>
      <c r="CX109" s="294"/>
      <c r="CY109" s="294"/>
      <c r="CZ109" s="294"/>
      <c r="DA109" s="294"/>
      <c r="DB109" s="294"/>
      <c r="DC109" s="294"/>
      <c r="DD109" s="294"/>
      <c r="DE109" s="294"/>
      <c r="DF109" s="294"/>
      <c r="DG109" s="294"/>
      <c r="DH109" s="294"/>
      <c r="DI109" s="294"/>
      <c r="DJ109" s="294"/>
      <c r="DK109" s="294"/>
      <c r="DL109" s="294"/>
      <c r="DM109" s="294"/>
      <c r="DN109" s="294"/>
      <c r="DS109" s="287">
        <f t="shared" ref="DS109:EQ109" si="843">DS106/DS64</f>
        <v>0.31556751254271798</v>
      </c>
      <c r="DT109" s="287">
        <f t="shared" si="843"/>
        <v>0.31758381666430896</v>
      </c>
      <c r="DU109" s="287">
        <f t="shared" si="843"/>
        <v>0.32782509215711197</v>
      </c>
      <c r="DV109" s="287">
        <f t="shared" si="843"/>
        <v>0.33297951385203267</v>
      </c>
      <c r="DW109" s="287">
        <f t="shared" si="843"/>
        <v>0.3324699352451434</v>
      </c>
      <c r="DX109" s="287">
        <f t="shared" si="843"/>
        <v>0.34009456891599277</v>
      </c>
      <c r="DY109" s="287">
        <f t="shared" si="843"/>
        <v>0.36192247537726679</v>
      </c>
      <c r="DZ109" s="287">
        <f t="shared" si="843"/>
        <v>0.38928324414837467</v>
      </c>
      <c r="EA109" s="287">
        <f t="shared" si="843"/>
        <v>0.41024057105597311</v>
      </c>
      <c r="EB109" s="287">
        <f t="shared" si="843"/>
        <v>0.44997576051387711</v>
      </c>
      <c r="EC109" s="294">
        <f t="shared" si="843"/>
        <v>0.46464690248944107</v>
      </c>
      <c r="ED109" s="294">
        <f t="shared" si="843"/>
        <v>0.46068253810892851</v>
      </c>
      <c r="EE109" s="294">
        <f t="shared" si="843"/>
        <v>0.45987904482823116</v>
      </c>
      <c r="EF109" s="294">
        <f t="shared" si="843"/>
        <v>0.45096771586730777</v>
      </c>
      <c r="EG109" s="294">
        <f t="shared" si="843"/>
        <v>0.4363326082064361</v>
      </c>
      <c r="EH109" s="294">
        <f t="shared" si="843"/>
        <v>0.40700548326376956</v>
      </c>
      <c r="EI109" s="294">
        <f t="shared" si="843"/>
        <v>0.38538284154548447</v>
      </c>
      <c r="EJ109" s="294">
        <f t="shared" si="843"/>
        <v>0.36383023409858312</v>
      </c>
      <c r="EK109" s="294">
        <f t="shared" si="843"/>
        <v>0.36228134407289886</v>
      </c>
      <c r="EL109" s="294">
        <f t="shared" si="843"/>
        <v>0.37471936029524833</v>
      </c>
      <c r="EM109" s="294">
        <f t="shared" si="843"/>
        <v>0.38192097067028796</v>
      </c>
      <c r="EN109" s="294">
        <f t="shared" si="843"/>
        <v>0.39439365043751401</v>
      </c>
      <c r="EO109" s="294">
        <f t="shared" si="843"/>
        <v>0.41699234226287474</v>
      </c>
      <c r="EP109" s="294">
        <f t="shared" si="843"/>
        <v>0.41411912471963841</v>
      </c>
      <c r="EQ109" s="294">
        <f t="shared" si="843"/>
        <v>0.35724672909326338</v>
      </c>
      <c r="ER109" s="294"/>
      <c r="ES109" s="294"/>
      <c r="ET109" s="294"/>
      <c r="EU109" s="294"/>
    </row>
    <row r="110" spans="2:166" ht="12.75" customHeight="1" x14ac:dyDescent="0.2">
      <c r="B110" t="s">
        <v>359</v>
      </c>
      <c r="AE110" s="243"/>
      <c r="AF110" s="243"/>
      <c r="AG110" s="243"/>
      <c r="AH110" s="243"/>
      <c r="AI110" s="294"/>
      <c r="AJ110" s="294"/>
      <c r="AK110" s="294"/>
      <c r="AL110" s="294"/>
      <c r="AM110" s="294"/>
      <c r="AN110" s="294"/>
      <c r="AO110" s="288">
        <f t="shared" ref="AO110:BD110" si="844">AO106/AK106-1</f>
        <v>0.2168425408648873</v>
      </c>
      <c r="AP110" s="288">
        <f t="shared" si="844"/>
        <v>0.24217118997912324</v>
      </c>
      <c r="AQ110" s="288">
        <f t="shared" si="844"/>
        <v>-9.4738713117668016E-2</v>
      </c>
      <c r="AR110" s="288">
        <f t="shared" si="844"/>
        <v>-0.13545611015490533</v>
      </c>
      <c r="AS110" s="288">
        <f t="shared" si="844"/>
        <v>-0.15422547185852742</v>
      </c>
      <c r="AT110" s="288">
        <f t="shared" si="844"/>
        <v>-0.12991596638655467</v>
      </c>
      <c r="AU110" s="288">
        <f t="shared" si="844"/>
        <v>0.24936186923227965</v>
      </c>
      <c r="AV110" s="288">
        <f t="shared" si="844"/>
        <v>0.26219390802309372</v>
      </c>
      <c r="AW110" s="288">
        <f t="shared" si="844"/>
        <v>0.22899075190993168</v>
      </c>
      <c r="AX110" s="288">
        <f t="shared" si="844"/>
        <v>9.812632798918286E-2</v>
      </c>
      <c r="AY110" s="288">
        <f t="shared" si="844"/>
        <v>-9.1623448059091617E-2</v>
      </c>
      <c r="AZ110" s="288">
        <f t="shared" si="844"/>
        <v>-0.13280757097791795</v>
      </c>
      <c r="BA110" s="288">
        <f t="shared" si="844"/>
        <v>-0.14133813185015542</v>
      </c>
      <c r="BB110" s="288">
        <f t="shared" si="844"/>
        <v>5.4177660510114301E-2</v>
      </c>
      <c r="BC110" s="288">
        <f t="shared" si="844"/>
        <v>-2.456747404844295E-2</v>
      </c>
      <c r="BD110" s="288">
        <f t="shared" si="844"/>
        <v>2.0734812659148671E-2</v>
      </c>
      <c r="BE110" s="288">
        <f t="shared" ref="BE110" si="845">BE106/BA106-1</f>
        <v>4.6866069727567128E-2</v>
      </c>
      <c r="BF110" s="288">
        <f t="shared" ref="BF110" si="846">BF106/BB106-1</f>
        <v>-4.7221758718504869E-2</v>
      </c>
      <c r="BG110" s="288">
        <f t="shared" ref="BG110" si="847">BG106/BC106-1</f>
        <v>7.4671869457254347E-2</v>
      </c>
      <c r="BH110" s="288">
        <f t="shared" ref="BH110" si="848">BH106/BD106-1</f>
        <v>0.11065573770491799</v>
      </c>
      <c r="BI110" s="288">
        <f t="shared" ref="BI110" si="849">BI106/BE106-1</f>
        <v>8.8626023657870867E-2</v>
      </c>
      <c r="BJ110" s="288">
        <f t="shared" ref="BJ110" si="850">BJ106/BF106-1</f>
        <v>6.7250437828371368E-2</v>
      </c>
      <c r="BK110" s="288"/>
      <c r="BL110" s="288"/>
      <c r="BM110" s="288"/>
      <c r="BN110" s="288"/>
      <c r="BO110" s="288"/>
      <c r="BP110" s="288"/>
      <c r="BQ110" s="288"/>
      <c r="BR110" s="288"/>
      <c r="BS110" s="288"/>
      <c r="BT110" s="288"/>
      <c r="BU110" s="288"/>
      <c r="BV110" s="288"/>
      <c r="BW110" s="288"/>
      <c r="BX110" s="288"/>
      <c r="BY110" s="288"/>
      <c r="BZ110" s="288"/>
      <c r="CA110" s="288"/>
      <c r="CB110" s="288"/>
      <c r="CC110" s="288"/>
      <c r="CD110" s="288"/>
      <c r="CE110" s="288"/>
      <c r="CF110" s="288"/>
      <c r="CG110" s="288"/>
      <c r="CH110" s="288"/>
      <c r="CI110" s="288"/>
      <c r="CJ110" s="288"/>
      <c r="CK110" s="288"/>
      <c r="CL110" s="288"/>
      <c r="CM110" s="288"/>
      <c r="CN110" s="288"/>
      <c r="CO110" s="288"/>
      <c r="CP110" s="288"/>
      <c r="CQ110" s="288"/>
      <c r="CR110" s="288"/>
      <c r="CS110" s="288"/>
      <c r="CT110" s="288"/>
      <c r="CU110" s="288"/>
      <c r="CV110" s="288"/>
      <c r="CW110" s="288"/>
      <c r="CX110" s="288"/>
      <c r="CY110" s="288"/>
      <c r="CZ110" s="288"/>
      <c r="DA110" s="288"/>
      <c r="DB110" s="288"/>
      <c r="DC110" s="288"/>
      <c r="DD110" s="288"/>
      <c r="DE110" s="288"/>
      <c r="DF110" s="288"/>
      <c r="DG110" s="288"/>
      <c r="DH110" s="288"/>
      <c r="DI110" s="288"/>
      <c r="DJ110" s="288"/>
      <c r="DK110" s="288"/>
      <c r="DL110" s="288"/>
      <c r="DM110" s="288"/>
      <c r="DN110" s="288"/>
      <c r="DT110" s="294">
        <f t="shared" ref="DT110:EP110" si="851">DT106/DS106-1</f>
        <v>3.4562211981566726E-2</v>
      </c>
      <c r="DU110" s="294">
        <f t="shared" si="851"/>
        <v>0.14877505567928728</v>
      </c>
      <c r="DV110" s="294">
        <f t="shared" si="851"/>
        <v>0.21636293136874762</v>
      </c>
      <c r="DW110" s="294">
        <f t="shared" si="851"/>
        <v>0.14568058654765692</v>
      </c>
      <c r="DX110" s="294">
        <f t="shared" si="851"/>
        <v>7.0673344462993892E-2</v>
      </c>
      <c r="DY110" s="294">
        <f t="shared" si="851"/>
        <v>0.11252598752598764</v>
      </c>
      <c r="DZ110" s="294">
        <f t="shared" si="851"/>
        <v>0.24900724129876206</v>
      </c>
      <c r="EA110" s="294">
        <f t="shared" si="851"/>
        <v>0.11782307836169825</v>
      </c>
      <c r="EB110" s="294">
        <f t="shared" si="851"/>
        <v>0.24234565835703537</v>
      </c>
      <c r="EC110" s="294">
        <f t="shared" si="851"/>
        <v>0.15487172580970987</v>
      </c>
      <c r="ED110" s="294">
        <f t="shared" si="851"/>
        <v>0.137951139875226</v>
      </c>
      <c r="EE110" s="294">
        <f t="shared" si="851"/>
        <v>0.13378080647640522</v>
      </c>
      <c r="EF110" s="294">
        <f t="shared" si="851"/>
        <v>8.7671728127258763E-3</v>
      </c>
      <c r="EG110" s="294">
        <f t="shared" si="851"/>
        <v>4.2334916226144603E-2</v>
      </c>
      <c r="EH110" s="294">
        <f t="shared" si="851"/>
        <v>6.8723943783040253E-2</v>
      </c>
      <c r="EI110" s="294">
        <f>EI106/EH106-1</f>
        <v>-1.2024451057669139E-2</v>
      </c>
      <c r="EJ110" s="288">
        <f t="shared" si="851"/>
        <v>-8.3323157080636645E-2</v>
      </c>
      <c r="EK110" s="294">
        <f t="shared" si="851"/>
        <v>-1.1367673179396132E-2</v>
      </c>
      <c r="EL110" s="294">
        <f t="shared" si="851"/>
        <v>9.4502335609055077E-2</v>
      </c>
      <c r="EM110" s="294">
        <f t="shared" si="851"/>
        <v>6.1802363755745215E-2</v>
      </c>
      <c r="EN110" s="294">
        <f t="shared" si="851"/>
        <v>8.6998531344206542E-2</v>
      </c>
      <c r="EO110" s="294">
        <f t="shared" si="851"/>
        <v>0.11564799999999997</v>
      </c>
      <c r="EP110" s="294">
        <f t="shared" si="851"/>
        <v>3.9910636887461326E-3</v>
      </c>
      <c r="EQ110" s="294">
        <f t="shared" ref="EQ110" si="852">EQ106/EP106-1</f>
        <v>-0.20103058360153669</v>
      </c>
      <c r="ER110" s="294"/>
      <c r="ES110" s="294"/>
      <c r="ET110" s="294"/>
      <c r="EU110" s="294"/>
    </row>
    <row r="111" spans="2:166" ht="12.75" customHeight="1" x14ac:dyDescent="0.2">
      <c r="B111" t="s">
        <v>360</v>
      </c>
      <c r="AE111" s="243"/>
      <c r="AF111" s="243"/>
      <c r="AG111" s="243"/>
      <c r="AH111" s="243"/>
      <c r="AI111" s="294"/>
      <c r="AJ111" s="294"/>
      <c r="AK111" s="294"/>
      <c r="AL111" s="294"/>
      <c r="AM111" s="294"/>
      <c r="AN111" s="294"/>
      <c r="AO111" s="288">
        <v>6.7000000000000004E-2</v>
      </c>
      <c r="AP111" s="288"/>
      <c r="AQ111" s="294"/>
      <c r="AR111" s="294"/>
      <c r="AS111" s="294"/>
      <c r="AT111" s="294"/>
      <c r="AU111" s="294"/>
      <c r="AV111" s="288">
        <v>-1.2999999999999999E-2</v>
      </c>
      <c r="AW111" s="294"/>
      <c r="AX111" s="294"/>
      <c r="AY111" s="288">
        <v>-5.0999999999999997E-2</v>
      </c>
      <c r="AZ111" s="288">
        <v>-8.5000000000000006E-2</v>
      </c>
      <c r="BD111" s="288">
        <v>0.01</v>
      </c>
      <c r="BI111" s="288">
        <v>4.9000000000000002E-2</v>
      </c>
      <c r="DT111" s="294"/>
      <c r="EF111" s="294"/>
      <c r="EG111" s="294"/>
      <c r="EH111" s="294"/>
      <c r="EI111" s="294"/>
      <c r="EJ111" s="288">
        <v>-6.0999999999999999E-2</v>
      </c>
      <c r="EK111" s="294"/>
      <c r="EL111" s="294"/>
      <c r="EM111" s="294"/>
      <c r="EN111" s="294"/>
      <c r="EO111" s="294"/>
      <c r="EP111" s="294"/>
      <c r="EQ111" s="294"/>
      <c r="ER111" s="294"/>
      <c r="ES111" s="294"/>
      <c r="ET111" s="294"/>
      <c r="EU111" s="294"/>
      <c r="EV111" s="3"/>
      <c r="EW111" s="3"/>
      <c r="EX111" s="3"/>
      <c r="EY111" s="3"/>
      <c r="EZ111" s="3"/>
      <c r="FA111" s="3"/>
      <c r="FB111" s="3"/>
      <c r="FC111" s="3"/>
      <c r="FD111" s="3"/>
      <c r="FE111" s="3"/>
      <c r="FF111" s="3"/>
      <c r="FG111" s="3"/>
      <c r="FH111" s="3"/>
      <c r="FI111" s="3"/>
      <c r="FJ111" s="3"/>
    </row>
    <row r="112" spans="2:166" ht="12.75" customHeight="1" x14ac:dyDescent="0.2">
      <c r="B112" t="s">
        <v>1189</v>
      </c>
      <c r="AE112" s="243"/>
      <c r="AF112" s="243"/>
      <c r="AG112" s="243"/>
      <c r="AH112" s="243"/>
      <c r="AI112" s="294"/>
      <c r="AJ112" s="294"/>
      <c r="AK112" s="294"/>
      <c r="AL112" s="294"/>
      <c r="AM112" s="294"/>
      <c r="AN112" s="294"/>
      <c r="AO112" s="288"/>
      <c r="AP112" s="288"/>
      <c r="AQ112" s="294"/>
      <c r="AR112" s="294"/>
      <c r="AS112" s="294"/>
      <c r="AT112" s="294"/>
      <c r="AU112" s="294"/>
      <c r="AV112" s="288"/>
      <c r="AW112" s="294"/>
      <c r="AX112" s="294"/>
      <c r="AY112" s="288"/>
      <c r="AZ112" s="288">
        <f>AZ110-AZ111</f>
        <v>-4.7807570977917949E-2</v>
      </c>
      <c r="BD112" s="288">
        <f>BD110-BD111</f>
        <v>1.0734812659148671E-2</v>
      </c>
      <c r="BI112" s="288">
        <v>0.04</v>
      </c>
      <c r="DT112" s="294"/>
      <c r="EF112" s="294"/>
      <c r="EG112" s="294"/>
      <c r="EH112" s="294"/>
      <c r="EI112" s="294"/>
      <c r="EJ112" s="288">
        <f>EJ110-EJ111</f>
        <v>-2.2323157080636646E-2</v>
      </c>
      <c r="EK112" s="294"/>
      <c r="EL112" s="294"/>
      <c r="EM112" s="294"/>
      <c r="EN112" s="294"/>
      <c r="EO112" s="294"/>
      <c r="EP112" s="294"/>
      <c r="EQ112" s="294"/>
      <c r="ER112" s="294"/>
      <c r="ES112" s="294"/>
      <c r="ET112" s="294"/>
      <c r="EU112" s="294"/>
      <c r="EV112" s="3"/>
      <c r="EW112" s="3"/>
      <c r="EX112" s="3"/>
      <c r="EY112" s="3"/>
      <c r="EZ112" s="3"/>
      <c r="FA112" s="3"/>
      <c r="FB112" s="3"/>
      <c r="FC112" s="3"/>
      <c r="FD112" s="3"/>
      <c r="FE112" s="3"/>
      <c r="FF112" s="3"/>
      <c r="FG112" s="3"/>
      <c r="FH112" s="3"/>
      <c r="FI112" s="3"/>
      <c r="FJ112" s="3"/>
    </row>
    <row r="113" spans="2:151" ht="12.75" customHeight="1" x14ac:dyDescent="0.2">
      <c r="B113" t="s">
        <v>361</v>
      </c>
      <c r="K113" s="247">
        <v>2434</v>
      </c>
      <c r="L113" s="247">
        <v>2455</v>
      </c>
      <c r="M113" s="247">
        <v>2445</v>
      </c>
      <c r="N113" s="247">
        <v>2581</v>
      </c>
      <c r="O113" s="247">
        <v>2525</v>
      </c>
      <c r="P113" s="247">
        <v>2580</v>
      </c>
      <c r="Q113" s="247">
        <v>2548</v>
      </c>
      <c r="R113" s="247">
        <v>2628</v>
      </c>
      <c r="S113" s="247">
        <v>2735.2</v>
      </c>
      <c r="T113" s="247">
        <v>2785</v>
      </c>
      <c r="U113" s="247">
        <v>2771</v>
      </c>
      <c r="V113" s="247">
        <v>2855</v>
      </c>
      <c r="W113" s="247">
        <v>2958</v>
      </c>
      <c r="X113" s="247">
        <v>3166</v>
      </c>
      <c r="Y113" s="247">
        <v>3141</v>
      </c>
      <c r="Z113" s="247">
        <v>3318</v>
      </c>
      <c r="AA113" s="247">
        <v>3364</v>
      </c>
      <c r="AB113" s="247">
        <v>3629</v>
      </c>
      <c r="AC113" s="247">
        <v>3779</v>
      </c>
      <c r="AD113" s="247">
        <v>4141</v>
      </c>
      <c r="AE113" s="243">
        <v>4136</v>
      </c>
      <c r="AF113" s="243">
        <f t="shared" ref="AF113:BJ113" si="853">SUM(AF50:AF62)</f>
        <v>4057</v>
      </c>
      <c r="AG113" s="243">
        <f t="shared" si="853"/>
        <v>4044</v>
      </c>
      <c r="AH113" s="243">
        <f t="shared" si="853"/>
        <v>4650</v>
      </c>
      <c r="AI113" s="243">
        <f t="shared" si="853"/>
        <v>4797</v>
      </c>
      <c r="AJ113" s="243">
        <f t="shared" si="853"/>
        <v>4856</v>
      </c>
      <c r="AK113" s="243">
        <f t="shared" si="853"/>
        <v>4622</v>
      </c>
      <c r="AL113" s="243">
        <f t="shared" si="853"/>
        <v>4821</v>
      </c>
      <c r="AM113" s="243">
        <f t="shared" si="853"/>
        <v>5011</v>
      </c>
      <c r="AN113" s="243">
        <f t="shared" si="853"/>
        <v>5155</v>
      </c>
      <c r="AO113" s="243">
        <f t="shared" si="853"/>
        <v>4950</v>
      </c>
      <c r="AP113" s="243">
        <f t="shared" si="853"/>
        <v>5167</v>
      </c>
      <c r="AQ113" s="243">
        <f t="shared" si="853"/>
        <v>5320</v>
      </c>
      <c r="AR113" s="243">
        <f t="shared" si="853"/>
        <v>5418</v>
      </c>
      <c r="AS113" s="243">
        <f t="shared" si="853"/>
        <v>5248</v>
      </c>
      <c r="AT113" s="243">
        <f t="shared" si="853"/>
        <v>5750</v>
      </c>
      <c r="AU113" s="243">
        <f t="shared" si="853"/>
        <v>5701</v>
      </c>
      <c r="AV113" s="243">
        <f t="shared" si="853"/>
        <v>6074</v>
      </c>
      <c r="AW113" s="243">
        <f t="shared" si="853"/>
        <v>5709</v>
      </c>
      <c r="AX113" s="243">
        <f t="shared" si="853"/>
        <v>5642</v>
      </c>
      <c r="AY113" s="243">
        <f t="shared" si="853"/>
        <v>5535</v>
      </c>
      <c r="AZ113" s="243">
        <f t="shared" si="853"/>
        <v>5887</v>
      </c>
      <c r="BA113" s="243">
        <f t="shared" si="853"/>
        <v>5843</v>
      </c>
      <c r="BB113" s="243">
        <f t="shared" si="853"/>
        <v>6309</v>
      </c>
      <c r="BC113" s="243">
        <f t="shared" si="853"/>
        <v>6227</v>
      </c>
      <c r="BD113" s="243">
        <f t="shared" si="853"/>
        <v>6130</v>
      </c>
      <c r="BE113" s="243">
        <f t="shared" si="853"/>
        <v>5920</v>
      </c>
      <c r="BF113" s="243">
        <f t="shared" si="853"/>
        <v>6324</v>
      </c>
      <c r="BG113" s="243">
        <f t="shared" si="853"/>
        <v>7225</v>
      </c>
      <c r="BH113" s="243">
        <f t="shared" si="853"/>
        <v>6571</v>
      </c>
      <c r="BI113" s="243">
        <f t="shared" si="853"/>
        <v>8701</v>
      </c>
      <c r="BJ113" s="243">
        <f t="shared" si="853"/>
        <v>9059</v>
      </c>
      <c r="BK113" s="243"/>
      <c r="BL113" s="243"/>
      <c r="BM113" s="243"/>
      <c r="BN113" s="243"/>
      <c r="BO113" s="243"/>
      <c r="BP113" s="243"/>
      <c r="BQ113" s="243"/>
      <c r="BR113" s="243"/>
      <c r="BS113" s="243"/>
      <c r="BT113" s="243"/>
      <c r="BU113" s="243"/>
      <c r="BV113" s="243"/>
      <c r="BW113" s="243"/>
      <c r="BX113" s="243"/>
      <c r="BY113" s="243"/>
      <c r="BZ113" s="243"/>
      <c r="CA113" s="243"/>
      <c r="CB113" s="243"/>
      <c r="CC113" s="243"/>
      <c r="CD113" s="243"/>
      <c r="CE113" s="243"/>
      <c r="CF113" s="243"/>
      <c r="CG113" s="243"/>
      <c r="CH113" s="243"/>
      <c r="CI113" s="243"/>
      <c r="CJ113" s="243"/>
      <c r="CK113" s="243"/>
      <c r="CL113" s="243"/>
      <c r="CM113" s="243"/>
      <c r="CN113" s="243"/>
      <c r="CO113" s="243"/>
      <c r="CP113" s="243"/>
      <c r="CQ113" s="243"/>
      <c r="CR113" s="243"/>
      <c r="CS113" s="243"/>
      <c r="CT113" s="243"/>
      <c r="CU113" s="243"/>
      <c r="CV113" s="243"/>
      <c r="CW113" s="243"/>
      <c r="CX113" s="243"/>
      <c r="CY113" s="243"/>
      <c r="CZ113" s="243"/>
      <c r="DA113" s="243"/>
      <c r="DB113" s="243"/>
      <c r="DC113" s="243"/>
      <c r="DD113" s="243"/>
      <c r="DE113" s="243"/>
      <c r="DF113" s="243"/>
      <c r="DG113" s="243"/>
      <c r="DH113" s="243"/>
      <c r="DI113" s="243"/>
      <c r="DJ113" s="243"/>
      <c r="DK113" s="243"/>
      <c r="DL113" s="243"/>
      <c r="DM113" s="243"/>
      <c r="DN113" s="243"/>
      <c r="DS113" s="243">
        <v>4633</v>
      </c>
      <c r="DT113" s="243">
        <v>4824</v>
      </c>
      <c r="DU113" s="243">
        <v>5325</v>
      </c>
      <c r="DV113" s="243">
        <v>6737</v>
      </c>
      <c r="DW113" s="243">
        <v>8068</v>
      </c>
      <c r="DX113" s="243">
        <v>8435</v>
      </c>
      <c r="DY113" s="243">
        <v>8569</v>
      </c>
      <c r="DZ113" s="243">
        <v>9913</v>
      </c>
      <c r="EA113" s="243">
        <v>10281</v>
      </c>
      <c r="EB113" s="243">
        <v>11191</v>
      </c>
      <c r="EC113" s="243">
        <f>SUM(EC50:EC62)</f>
        <v>12585</v>
      </c>
      <c r="ED113" s="243">
        <v>14914</v>
      </c>
      <c r="EE113" s="243">
        <f t="shared" ref="EE113:EQ113" si="854">SUM(EE50:EE62)</f>
        <v>16887</v>
      </c>
      <c r="EF113" s="243">
        <f t="shared" si="854"/>
        <v>19096</v>
      </c>
      <c r="EG113" s="243">
        <f t="shared" si="854"/>
        <v>20283</v>
      </c>
      <c r="EH113" s="243">
        <f t="shared" si="854"/>
        <v>21736</v>
      </c>
      <c r="EI113" s="243">
        <f t="shared" si="854"/>
        <v>23126</v>
      </c>
      <c r="EJ113" s="243">
        <f t="shared" si="854"/>
        <v>23574</v>
      </c>
      <c r="EK113" s="243">
        <f t="shared" si="854"/>
        <v>24601</v>
      </c>
      <c r="EL113" s="243">
        <f t="shared" si="854"/>
        <v>25779</v>
      </c>
      <c r="EM113" s="243">
        <f t="shared" si="854"/>
        <v>27426</v>
      </c>
      <c r="EN113" s="243">
        <f t="shared" si="854"/>
        <v>28490</v>
      </c>
      <c r="EO113" s="243">
        <f t="shared" si="854"/>
        <v>28878.885000000002</v>
      </c>
      <c r="EP113" s="243">
        <f t="shared" si="854"/>
        <v>29278.314474999999</v>
      </c>
      <c r="EQ113" s="243">
        <f t="shared" si="854"/>
        <v>29688.570665625008</v>
      </c>
      <c r="ER113" s="243"/>
      <c r="ES113" s="243"/>
      <c r="ET113" s="243"/>
      <c r="EU113" s="243"/>
    </row>
    <row r="114" spans="2:151" ht="12.75" customHeight="1" x14ac:dyDescent="0.2">
      <c r="B114" t="s">
        <v>356</v>
      </c>
      <c r="W114" s="243">
        <v>662</v>
      </c>
      <c r="X114" s="243">
        <v>564</v>
      </c>
      <c r="Y114" s="243">
        <v>677</v>
      </c>
      <c r="Z114" s="243">
        <v>586</v>
      </c>
      <c r="AA114" s="243">
        <v>731</v>
      </c>
      <c r="AB114" s="243">
        <v>671</v>
      </c>
      <c r="AC114" s="243">
        <v>931</v>
      </c>
      <c r="AD114" s="243">
        <v>1037</v>
      </c>
      <c r="AE114" s="243">
        <v>1067</v>
      </c>
      <c r="AF114" s="243">
        <v>1055</v>
      </c>
      <c r="AG114" s="243">
        <v>1052</v>
      </c>
      <c r="AH114" s="243">
        <v>917</v>
      </c>
      <c r="AI114" s="243">
        <v>1488</v>
      </c>
      <c r="AJ114" s="243">
        <v>1409</v>
      </c>
      <c r="AK114" s="243">
        <v>1363</v>
      </c>
      <c r="AL114" s="243">
        <v>1153</v>
      </c>
      <c r="AM114" s="243">
        <f>2160-622</f>
        <v>1538</v>
      </c>
      <c r="AN114" s="243">
        <v>1340</v>
      </c>
      <c r="AO114" s="243"/>
      <c r="AP114" s="243"/>
      <c r="AQ114" s="243"/>
      <c r="AR114" s="243"/>
      <c r="AS114" s="243"/>
      <c r="AT114" s="243"/>
      <c r="AU114" s="243"/>
      <c r="AV114" s="243"/>
      <c r="AW114" s="243"/>
      <c r="AX114" s="243"/>
      <c r="BC114" s="243">
        <v>3702</v>
      </c>
      <c r="DS114" s="243">
        <v>598</v>
      </c>
      <c r="DT114" s="243">
        <v>655</v>
      </c>
      <c r="DU114" s="243">
        <v>843</v>
      </c>
      <c r="DV114" s="243">
        <v>1203</v>
      </c>
      <c r="DW114" s="243">
        <v>1416</v>
      </c>
      <c r="DX114" s="243">
        <v>1550</v>
      </c>
      <c r="DY114" s="243">
        <v>1409</v>
      </c>
      <c r="DZ114" s="243">
        <v>1632</v>
      </c>
      <c r="EA114" s="243">
        <v>1696</v>
      </c>
      <c r="EB114" s="243">
        <v>2001</v>
      </c>
      <c r="EC114" s="243">
        <v>2489</v>
      </c>
      <c r="ED114" s="243">
        <v>3370</v>
      </c>
      <c r="EE114" s="243">
        <v>4091</v>
      </c>
      <c r="EF114" s="243">
        <v>5418</v>
      </c>
      <c r="EG114" s="243"/>
      <c r="EH114" s="243"/>
      <c r="EI114" s="243"/>
      <c r="EJ114" s="243"/>
      <c r="EK114" s="243"/>
      <c r="EL114" s="243"/>
      <c r="EM114" s="243"/>
      <c r="EN114" s="243"/>
      <c r="EO114" s="243"/>
      <c r="EP114" s="243"/>
      <c r="EQ114" s="243"/>
      <c r="ER114" s="243"/>
      <c r="ES114" s="243"/>
      <c r="ET114" s="243"/>
      <c r="EU114" s="243"/>
    </row>
    <row r="115" spans="2:151" ht="12.75" customHeight="1" x14ac:dyDescent="0.2">
      <c r="B115" t="s">
        <v>357</v>
      </c>
      <c r="W115" s="294">
        <f t="shared" ref="W115:AN115" si="855">W114/W113</f>
        <v>0.22379986477349562</v>
      </c>
      <c r="X115" s="294">
        <f t="shared" si="855"/>
        <v>0.17814276689829439</v>
      </c>
      <c r="Y115" s="294">
        <f t="shared" si="855"/>
        <v>0.21553645335880292</v>
      </c>
      <c r="Z115" s="294">
        <f t="shared" si="855"/>
        <v>0.17661241711874623</v>
      </c>
      <c r="AA115" s="294">
        <f t="shared" si="855"/>
        <v>0.21730083234244946</v>
      </c>
      <c r="AB115" s="294">
        <f t="shared" si="855"/>
        <v>0.18489942132818959</v>
      </c>
      <c r="AC115" s="294">
        <f t="shared" si="855"/>
        <v>0.2463614712887007</v>
      </c>
      <c r="AD115" s="294">
        <f t="shared" si="855"/>
        <v>0.25042260323593335</v>
      </c>
      <c r="AE115" s="294">
        <f t="shared" si="855"/>
        <v>0.25797872340425532</v>
      </c>
      <c r="AF115" s="294">
        <f t="shared" si="855"/>
        <v>0.26004436775942813</v>
      </c>
      <c r="AG115" s="294">
        <f t="shared" si="855"/>
        <v>0.26013847675568746</v>
      </c>
      <c r="AH115" s="294">
        <f t="shared" si="855"/>
        <v>0.19720430107526882</v>
      </c>
      <c r="AI115" s="294">
        <f t="shared" si="855"/>
        <v>0.31019387116948094</v>
      </c>
      <c r="AJ115" s="294">
        <f t="shared" si="855"/>
        <v>0.29015650741350907</v>
      </c>
      <c r="AK115" s="294">
        <f t="shared" si="855"/>
        <v>0.29489398528775423</v>
      </c>
      <c r="AL115" s="294">
        <f t="shared" si="855"/>
        <v>0.2391619995851483</v>
      </c>
      <c r="AM115" s="294">
        <f t="shared" si="855"/>
        <v>0.30692476551586512</v>
      </c>
      <c r="AN115" s="294">
        <f t="shared" si="855"/>
        <v>0.25994180407371487</v>
      </c>
      <c r="AO115" s="243"/>
      <c r="AP115" s="243"/>
      <c r="AQ115" s="243"/>
      <c r="AR115" s="243"/>
      <c r="AS115" s="243"/>
      <c r="AT115" s="243"/>
      <c r="AU115" s="243"/>
      <c r="AV115" s="243"/>
      <c r="AW115" s="243"/>
      <c r="AX115" s="243"/>
      <c r="BC115" s="294">
        <f>+BC114/BC113</f>
        <v>0.59450778866227716</v>
      </c>
      <c r="DS115" s="294">
        <f t="shared" ref="DS115:EF115" si="856">DS114/DS113</f>
        <v>0.12907403410317289</v>
      </c>
      <c r="DT115" s="294">
        <f t="shared" si="856"/>
        <v>0.13577943615257049</v>
      </c>
      <c r="DU115" s="294">
        <f t="shared" si="856"/>
        <v>0.15830985915492957</v>
      </c>
      <c r="DV115" s="294">
        <f t="shared" si="856"/>
        <v>0.17856612735639008</v>
      </c>
      <c r="DW115" s="294">
        <f t="shared" si="856"/>
        <v>0.17550818046603867</v>
      </c>
      <c r="DX115" s="294">
        <f t="shared" si="856"/>
        <v>0.18375815056312983</v>
      </c>
      <c r="DY115" s="294">
        <f t="shared" si="856"/>
        <v>0.16442992181117982</v>
      </c>
      <c r="DZ115" s="294">
        <f t="shared" si="856"/>
        <v>0.16463230101886411</v>
      </c>
      <c r="EA115" s="294">
        <f t="shared" si="856"/>
        <v>0.16496449761696333</v>
      </c>
      <c r="EB115" s="294">
        <f t="shared" si="856"/>
        <v>0.17880439638995621</v>
      </c>
      <c r="EC115" s="294">
        <f t="shared" si="856"/>
        <v>0.19777512912197059</v>
      </c>
      <c r="ED115" s="294">
        <f t="shared" si="856"/>
        <v>0.22596218318358588</v>
      </c>
      <c r="EE115" s="294">
        <f t="shared" si="856"/>
        <v>0.24225735773079884</v>
      </c>
      <c r="EF115" s="294">
        <f t="shared" si="856"/>
        <v>0.2837243401759531</v>
      </c>
      <c r="EG115" s="243"/>
      <c r="EH115" s="243"/>
      <c r="EI115" s="243"/>
      <c r="EJ115" s="243"/>
      <c r="EK115" s="243"/>
      <c r="EL115" s="243"/>
      <c r="EM115" s="243"/>
      <c r="EN115" s="243"/>
      <c r="EO115" s="243"/>
      <c r="EP115" s="243"/>
      <c r="EQ115" s="243"/>
      <c r="ER115" s="243"/>
      <c r="ES115" s="243"/>
      <c r="ET115" s="243"/>
      <c r="EU115" s="243"/>
    </row>
    <row r="116" spans="2:151" ht="12.75" customHeight="1" x14ac:dyDescent="0.2">
      <c r="B116" t="s">
        <v>358</v>
      </c>
      <c r="Z116" s="294">
        <f t="shared" ref="Z116:BJ116" si="857">Z113/Z64</f>
        <v>0.35286610656173562</v>
      </c>
      <c r="AA116" s="294">
        <f t="shared" si="857"/>
        <v>0.34249643657096313</v>
      </c>
      <c r="AB116" s="294">
        <f t="shared" si="857"/>
        <v>0.35123886953155248</v>
      </c>
      <c r="AC116" s="294">
        <f t="shared" si="857"/>
        <v>0.3614884254830687</v>
      </c>
      <c r="AD116" s="294">
        <f t="shared" si="857"/>
        <v>0.36359645271753449</v>
      </c>
      <c r="AE116" s="294">
        <f t="shared" si="857"/>
        <v>0.34512683578104136</v>
      </c>
      <c r="AF116" s="294">
        <f t="shared" si="857"/>
        <v>0.34115371678439288</v>
      </c>
      <c r="AG116" s="294">
        <f t="shared" si="857"/>
        <v>0.35003895092183851</v>
      </c>
      <c r="AH116" s="294">
        <f t="shared" si="857"/>
        <v>0.36464868255959848</v>
      </c>
      <c r="AI116" s="294">
        <f t="shared" si="857"/>
        <v>0.37383104738154616</v>
      </c>
      <c r="AJ116" s="294">
        <f t="shared" si="857"/>
        <v>0.38050462309982763</v>
      </c>
      <c r="AK116" s="294">
        <f t="shared" si="857"/>
        <v>0.37546709991876526</v>
      </c>
      <c r="AL116" s="294">
        <f t="shared" si="857"/>
        <v>0.38231562252180806</v>
      </c>
      <c r="AM116" s="294">
        <f t="shared" si="857"/>
        <v>0.38569889162561577</v>
      </c>
      <c r="AN116" s="294">
        <f t="shared" si="857"/>
        <v>0.38576666916111652</v>
      </c>
      <c r="AO116" s="294">
        <f t="shared" si="857"/>
        <v>0.37254459245879429</v>
      </c>
      <c r="AP116" s="294">
        <f t="shared" si="857"/>
        <v>0.37764946645227304</v>
      </c>
      <c r="AQ116" s="294">
        <f t="shared" si="857"/>
        <v>0.35262146218598794</v>
      </c>
      <c r="AR116" s="294">
        <f t="shared" si="857"/>
        <v>0.35781270637960638</v>
      </c>
      <c r="AS116" s="294">
        <f t="shared" si="857"/>
        <v>0.34970347171320049</v>
      </c>
      <c r="AT116" s="294">
        <f t="shared" si="857"/>
        <v>0.36034342294917593</v>
      </c>
      <c r="AU116" s="294">
        <f t="shared" si="857"/>
        <v>0.3520439669013215</v>
      </c>
      <c r="AV116" s="294">
        <f t="shared" si="857"/>
        <v>0.36924012158054709</v>
      </c>
      <c r="AW116" s="294">
        <f t="shared" si="857"/>
        <v>0.35858300358017714</v>
      </c>
      <c r="AX116" s="294">
        <f t="shared" si="857"/>
        <v>0.37162429192464763</v>
      </c>
      <c r="AY116" s="294">
        <f t="shared" si="857"/>
        <v>0.36836150672168244</v>
      </c>
      <c r="AZ116" s="294">
        <f t="shared" si="857"/>
        <v>0.38631143775838311</v>
      </c>
      <c r="BA116" s="294">
        <f t="shared" si="857"/>
        <v>0.38744115111729993</v>
      </c>
      <c r="BB116" s="294">
        <f t="shared" si="857"/>
        <v>0.38118542686242524</v>
      </c>
      <c r="BC116" s="294">
        <f t="shared" si="857"/>
        <v>0.39837502399078756</v>
      </c>
      <c r="BD116" s="294">
        <f t="shared" si="857"/>
        <v>0.3983364741048801</v>
      </c>
      <c r="BE116" s="294">
        <f t="shared" si="857"/>
        <v>0.39514083566947</v>
      </c>
      <c r="BF116" s="294">
        <f t="shared" si="857"/>
        <v>0.40424443876246485</v>
      </c>
      <c r="BG116" s="294">
        <f t="shared" si="857"/>
        <v>0.42585170340681361</v>
      </c>
      <c r="BH116" s="294">
        <f t="shared" si="857"/>
        <v>0.39591492438392478</v>
      </c>
      <c r="BI116" s="294">
        <f t="shared" si="857"/>
        <v>0.54364261168384875</v>
      </c>
      <c r="BJ116" s="294">
        <f t="shared" si="857"/>
        <v>0.48132405291961106</v>
      </c>
      <c r="BK116" s="294"/>
      <c r="BL116" s="294"/>
      <c r="BM116" s="294"/>
      <c r="BN116" s="294"/>
      <c r="BO116" s="294"/>
      <c r="BP116" s="294"/>
      <c r="BQ116" s="294"/>
      <c r="BR116" s="294"/>
      <c r="BS116" s="294"/>
      <c r="BT116" s="294"/>
      <c r="BU116" s="294"/>
      <c r="BV116" s="294"/>
      <c r="BW116" s="294"/>
      <c r="BX116" s="294"/>
      <c r="BY116" s="294"/>
      <c r="BZ116" s="294"/>
      <c r="CA116" s="294"/>
      <c r="CB116" s="294"/>
      <c r="CC116" s="294"/>
      <c r="CD116" s="294"/>
      <c r="CE116" s="294"/>
      <c r="CF116" s="294"/>
      <c r="CG116" s="294"/>
      <c r="CH116" s="294"/>
      <c r="CI116" s="294"/>
      <c r="CJ116" s="294"/>
      <c r="CK116" s="294"/>
      <c r="CL116" s="294"/>
      <c r="CM116" s="294"/>
      <c r="CN116" s="294"/>
      <c r="CO116" s="294"/>
      <c r="CP116" s="294"/>
      <c r="CQ116" s="294"/>
      <c r="CR116" s="294"/>
      <c r="CS116" s="294"/>
      <c r="CT116" s="294"/>
      <c r="CU116" s="294"/>
      <c r="CV116" s="294"/>
      <c r="CW116" s="294"/>
      <c r="CX116" s="294"/>
      <c r="CY116" s="294"/>
      <c r="CZ116" s="294"/>
      <c r="DA116" s="294"/>
      <c r="DB116" s="294"/>
      <c r="DC116" s="294"/>
      <c r="DD116" s="294"/>
      <c r="DE116" s="294"/>
      <c r="DF116" s="294"/>
      <c r="DG116" s="294"/>
      <c r="DH116" s="294"/>
      <c r="DI116" s="294"/>
      <c r="DJ116" s="294"/>
      <c r="DK116" s="294"/>
      <c r="DL116" s="294"/>
      <c r="DM116" s="294"/>
      <c r="DN116" s="294"/>
      <c r="DS116" s="294">
        <f t="shared" ref="DS116:EP116" si="858">DS113/DS64</f>
        <v>0.33687195520977242</v>
      </c>
      <c r="DT116" s="294">
        <f t="shared" si="858"/>
        <v>0.34120809166784555</v>
      </c>
      <c r="DU116" s="294">
        <f t="shared" si="858"/>
        <v>0.3384390491928308</v>
      </c>
      <c r="DV116" s="294">
        <f t="shared" si="858"/>
        <v>0.35755227682836216</v>
      </c>
      <c r="DW116" s="294">
        <f t="shared" si="858"/>
        <v>0.37317298797409804</v>
      </c>
      <c r="DX116" s="294">
        <f t="shared" si="858"/>
        <v>0.37275177869106013</v>
      </c>
      <c r="DY116" s="294">
        <f t="shared" si="858"/>
        <v>0.36221837088388215</v>
      </c>
      <c r="DZ116" s="294">
        <f t="shared" si="858"/>
        <v>0.36085326344144736</v>
      </c>
      <c r="EA116" s="294">
        <f t="shared" si="858"/>
        <v>0.35282610933800063</v>
      </c>
      <c r="EB116" s="294">
        <f t="shared" si="858"/>
        <v>0.33908011150163614</v>
      </c>
      <c r="EC116" s="294">
        <f t="shared" si="858"/>
        <v>0.34094695748525544</v>
      </c>
      <c r="ED116" s="294">
        <f t="shared" si="858"/>
        <v>0.35203255486788748</v>
      </c>
      <c r="EE116" s="294">
        <f t="shared" si="858"/>
        <v>0.35095704220961405</v>
      </c>
      <c r="EF116" s="294">
        <f t="shared" si="858"/>
        <v>0.38579336538850056</v>
      </c>
      <c r="EG116" s="294">
        <f t="shared" si="858"/>
        <v>0.38037281524266747</v>
      </c>
      <c r="EH116" s="294">
        <f t="shared" si="858"/>
        <v>0.35577379490956706</v>
      </c>
      <c r="EI116" s="294">
        <f t="shared" si="858"/>
        <v>0.36277785621284137</v>
      </c>
      <c r="EJ116" s="294">
        <f t="shared" si="858"/>
        <v>0.38085852303019535</v>
      </c>
      <c r="EK116" s="294">
        <f t="shared" si="858"/>
        <v>0.4003091693108779</v>
      </c>
      <c r="EL116" s="294">
        <f t="shared" si="858"/>
        <v>0.39641703829002001</v>
      </c>
      <c r="EM116" s="294">
        <f t="shared" si="858"/>
        <v>0.40482973415797008</v>
      </c>
      <c r="EN116" s="294">
        <f t="shared" si="858"/>
        <v>0.39951200358985867</v>
      </c>
      <c r="EO116" s="294">
        <f t="shared" si="858"/>
        <v>0.3837856910053733</v>
      </c>
      <c r="EP116" s="294">
        <f t="shared" si="858"/>
        <v>0.38487684959266583</v>
      </c>
      <c r="EQ116" s="294"/>
      <c r="ER116" s="294"/>
      <c r="ES116" s="294"/>
      <c r="ET116" s="294"/>
      <c r="EU116" s="294"/>
    </row>
    <row r="117" spans="2:151" ht="12.75" customHeight="1" x14ac:dyDescent="0.2">
      <c r="B117" t="s">
        <v>359</v>
      </c>
      <c r="AE117" s="243"/>
      <c r="AF117" s="243"/>
      <c r="AG117" s="243"/>
      <c r="AH117" s="288"/>
      <c r="AI117" s="288"/>
      <c r="AJ117" s="288">
        <f t="shared" ref="AJ117:BD117" si="859">AJ113/AF113-1</f>
        <v>0.19694355435050537</v>
      </c>
      <c r="AK117" s="288">
        <f t="shared" si="859"/>
        <v>0.14292779426310576</v>
      </c>
      <c r="AL117" s="288">
        <f t="shared" si="859"/>
        <v>3.677419354838718E-2</v>
      </c>
      <c r="AM117" s="288">
        <f t="shared" si="859"/>
        <v>4.4611215342922561E-2</v>
      </c>
      <c r="AN117" s="288">
        <f t="shared" si="859"/>
        <v>6.1573311367380645E-2</v>
      </c>
      <c r="AO117" s="288">
        <f t="shared" si="859"/>
        <v>7.0964950237992319E-2</v>
      </c>
      <c r="AP117" s="288">
        <f t="shared" si="859"/>
        <v>7.1769342460070495E-2</v>
      </c>
      <c r="AQ117" s="288">
        <f t="shared" si="859"/>
        <v>6.1664338455398093E-2</v>
      </c>
      <c r="AR117" s="288">
        <f t="shared" si="859"/>
        <v>5.1018428709990404E-2</v>
      </c>
      <c r="AS117" s="288">
        <f t="shared" si="859"/>
        <v>6.0202020202020146E-2</v>
      </c>
      <c r="AT117" s="288">
        <f t="shared" si="859"/>
        <v>0.11283143023030773</v>
      </c>
      <c r="AU117" s="288">
        <f t="shared" si="859"/>
        <v>7.1616541353383356E-2</v>
      </c>
      <c r="AV117" s="288">
        <f t="shared" si="859"/>
        <v>0.12107788851974899</v>
      </c>
      <c r="AW117" s="288">
        <f t="shared" si="859"/>
        <v>8.7842987804878092E-2</v>
      </c>
      <c r="AX117" s="288">
        <f t="shared" si="859"/>
        <v>-1.8782608695652181E-2</v>
      </c>
      <c r="AY117" s="288">
        <f t="shared" si="859"/>
        <v>-2.9117698649359758E-2</v>
      </c>
      <c r="AZ117" s="288">
        <f t="shared" si="859"/>
        <v>-3.0786960816595377E-2</v>
      </c>
      <c r="BA117" s="288">
        <f t="shared" si="859"/>
        <v>2.3471711332982981E-2</v>
      </c>
      <c r="BB117" s="288">
        <f t="shared" si="859"/>
        <v>0.11822048918823103</v>
      </c>
      <c r="BC117" s="288">
        <f t="shared" si="859"/>
        <v>0.12502258355916895</v>
      </c>
      <c r="BD117" s="288">
        <f t="shared" si="859"/>
        <v>4.1277390861219621E-2</v>
      </c>
      <c r="BE117" s="288">
        <f t="shared" ref="BE117" si="860">BE113/BA113-1</f>
        <v>1.3178161903131924E-2</v>
      </c>
      <c r="BF117" s="288">
        <f t="shared" ref="BF117" si="861">BF113/BB113-1</f>
        <v>2.377555872562942E-3</v>
      </c>
      <c r="BG117" s="288">
        <f t="shared" ref="BG117" si="862">BG113/BC113-1</f>
        <v>0.16026979283764242</v>
      </c>
      <c r="BH117" s="288">
        <f t="shared" ref="BH117" si="863">BH113/BD113-1</f>
        <v>7.1941272430668946E-2</v>
      </c>
      <c r="BI117" s="288">
        <f t="shared" ref="BI117" si="864">BI113/BE113-1</f>
        <v>0.46976351351351342</v>
      </c>
      <c r="BJ117" s="288">
        <f t="shared" ref="BJ117" si="865">BJ113/BF113-1</f>
        <v>0.43247944339025923</v>
      </c>
      <c r="BK117" s="288"/>
      <c r="BL117" s="288"/>
      <c r="BM117" s="288"/>
      <c r="BN117" s="288"/>
      <c r="BO117" s="288"/>
      <c r="BP117" s="288"/>
      <c r="BQ117" s="288"/>
      <c r="BR117" s="288"/>
      <c r="BS117" s="288"/>
      <c r="BT117" s="288"/>
      <c r="BU117" s="288"/>
      <c r="BV117" s="288"/>
      <c r="BW117" s="288"/>
      <c r="BX117" s="288"/>
      <c r="BY117" s="288"/>
      <c r="BZ117" s="288"/>
      <c r="CA117" s="288"/>
      <c r="CB117" s="288"/>
      <c r="CC117" s="288"/>
      <c r="CD117" s="288"/>
      <c r="CE117" s="288"/>
      <c r="CF117" s="288"/>
      <c r="CG117" s="288"/>
      <c r="CH117" s="288"/>
      <c r="CI117" s="288"/>
      <c r="CJ117" s="288"/>
      <c r="CK117" s="288"/>
      <c r="CL117" s="288"/>
      <c r="CM117" s="288"/>
      <c r="CN117" s="288"/>
      <c r="CO117" s="288"/>
      <c r="CP117" s="288"/>
      <c r="CQ117" s="288"/>
      <c r="CR117" s="288"/>
      <c r="CS117" s="288"/>
      <c r="CT117" s="288"/>
      <c r="CU117" s="288"/>
      <c r="CV117" s="288"/>
      <c r="CW117" s="288"/>
      <c r="CX117" s="288"/>
      <c r="CY117" s="288"/>
      <c r="CZ117" s="288"/>
      <c r="DA117" s="288"/>
      <c r="DB117" s="288"/>
      <c r="DC117" s="288"/>
      <c r="DD117" s="288"/>
      <c r="DE117" s="288"/>
      <c r="DF117" s="288"/>
      <c r="DG117" s="288"/>
      <c r="DH117" s="288"/>
      <c r="DI117" s="288"/>
      <c r="DJ117" s="288"/>
      <c r="DK117" s="288"/>
      <c r="DL117" s="288"/>
      <c r="DM117" s="288"/>
      <c r="DN117" s="288"/>
      <c r="EG117" s="288">
        <f>EG113/EF113-1</f>
        <v>6.2159614578969347E-2</v>
      </c>
      <c r="EH117" s="288">
        <f t="shared" ref="EH117:EI117" si="866">EH113/EG113-1</f>
        <v>7.1636345708228522E-2</v>
      </c>
      <c r="EI117" s="288">
        <f t="shared" si="866"/>
        <v>6.3949208686050696E-2</v>
      </c>
      <c r="EJ117" s="288">
        <f>EJ113/EI113-1</f>
        <v>1.9372135259015932E-2</v>
      </c>
      <c r="EK117" s="243"/>
      <c r="EL117" s="243"/>
      <c r="EM117" s="243"/>
      <c r="EN117" s="243"/>
      <c r="EO117" s="243"/>
      <c r="EP117" s="243"/>
      <c r="EQ117" s="243"/>
      <c r="ER117" s="243"/>
      <c r="ES117" s="243"/>
      <c r="ET117" s="243"/>
      <c r="EU117" s="243"/>
    </row>
    <row r="118" spans="2:151" ht="12.75" customHeight="1" x14ac:dyDescent="0.2">
      <c r="B118" t="s">
        <v>360</v>
      </c>
      <c r="AE118" s="243"/>
      <c r="AF118" s="243"/>
      <c r="AG118" s="243"/>
      <c r="AH118" s="243"/>
      <c r="AI118" s="294"/>
      <c r="AJ118" s="243"/>
      <c r="AK118" s="243"/>
      <c r="AL118" s="243"/>
      <c r="AM118" s="294"/>
      <c r="AN118" s="243"/>
      <c r="AO118" s="288">
        <v>6.0999999999999999E-2</v>
      </c>
      <c r="AP118" s="243"/>
      <c r="AQ118" s="243"/>
      <c r="AR118" s="243"/>
      <c r="AS118" s="243"/>
      <c r="AT118" s="243"/>
      <c r="AU118" s="243"/>
      <c r="AV118" s="288">
        <v>5.7000000000000002E-2</v>
      </c>
      <c r="AW118" s="243"/>
      <c r="AX118" s="243"/>
      <c r="AY118" s="288">
        <v>3.1E-2</v>
      </c>
      <c r="AZ118" s="288">
        <v>2.9000000000000001E-2</v>
      </c>
      <c r="BD118" s="288">
        <v>3.5000000000000003E-2</v>
      </c>
      <c r="BG118" s="288">
        <v>1.2999999999999999E-2</v>
      </c>
      <c r="BI118" s="288">
        <v>1.7000000000000001E-2</v>
      </c>
      <c r="EG118" s="288">
        <v>6.4000000000000001E-2</v>
      </c>
      <c r="EH118" s="243"/>
      <c r="EI118" s="243"/>
      <c r="EJ118" s="288">
        <v>4.2000000000000003E-2</v>
      </c>
      <c r="EK118" s="243"/>
      <c r="EL118" s="243"/>
      <c r="EM118" s="243"/>
      <c r="EN118" s="243"/>
      <c r="EO118" s="243"/>
      <c r="EP118" s="243"/>
      <c r="EQ118" s="243"/>
      <c r="ER118" s="243"/>
      <c r="ES118" s="243"/>
      <c r="ET118" s="243"/>
      <c r="EU118" s="243"/>
    </row>
    <row r="119" spans="2:151" ht="12.75" customHeight="1" x14ac:dyDescent="0.2">
      <c r="B119" t="s">
        <v>1189</v>
      </c>
      <c r="AE119" s="243"/>
      <c r="AF119" s="243"/>
      <c r="AG119" s="243"/>
      <c r="AH119" s="243"/>
      <c r="AI119" s="294"/>
      <c r="AJ119" s="243"/>
      <c r="AK119" s="243"/>
      <c r="AL119" s="243"/>
      <c r="AM119" s="294"/>
      <c r="AN119" s="243"/>
      <c r="AO119" s="288"/>
      <c r="AP119" s="243"/>
      <c r="AQ119" s="243"/>
      <c r="AR119" s="243"/>
      <c r="AS119" s="243"/>
      <c r="AT119" s="243"/>
      <c r="AU119" s="243"/>
      <c r="AV119" s="288"/>
      <c r="AW119" s="243"/>
      <c r="AX119" s="243"/>
      <c r="AY119" s="288"/>
      <c r="AZ119" s="288">
        <f>AZ117-AZ118</f>
        <v>-5.9786960816595375E-2</v>
      </c>
      <c r="BD119" s="288">
        <f>BD117-BD118</f>
        <v>6.2773908612196172E-3</v>
      </c>
      <c r="BG119" s="288">
        <v>0.02</v>
      </c>
      <c r="BI119" s="288">
        <v>4.3999999999999997E-2</v>
      </c>
      <c r="EG119" s="288"/>
      <c r="EH119" s="243"/>
      <c r="EI119" s="243"/>
      <c r="EJ119" s="288">
        <f>EJ117-EJ118</f>
        <v>-2.262786474098407E-2</v>
      </c>
      <c r="EK119" s="243"/>
      <c r="EL119" s="243"/>
      <c r="EM119" s="243"/>
      <c r="EN119" s="243"/>
      <c r="EO119" s="243"/>
      <c r="EP119" s="243"/>
      <c r="EQ119" s="243"/>
      <c r="ER119" s="243"/>
      <c r="ES119" s="243"/>
      <c r="ET119" s="243"/>
      <c r="EU119" s="243"/>
    </row>
    <row r="120" spans="2:151" ht="12.75" customHeight="1" x14ac:dyDescent="0.2">
      <c r="B120" t="s">
        <v>231</v>
      </c>
      <c r="K120" s="247">
        <v>1728</v>
      </c>
      <c r="L120" s="247">
        <v>1687</v>
      </c>
      <c r="M120" s="247">
        <v>1704</v>
      </c>
      <c r="N120" s="247">
        <v>1744</v>
      </c>
      <c r="O120" s="247">
        <v>1752</v>
      </c>
      <c r="P120" s="247">
        <v>1707</v>
      </c>
      <c r="Q120" s="247">
        <v>1722</v>
      </c>
      <c r="R120" s="247">
        <v>1723</v>
      </c>
      <c r="S120" s="243">
        <f t="shared" ref="S120:AN120" si="867">S256</f>
        <v>1631</v>
      </c>
      <c r="T120" s="243">
        <f t="shared" si="867"/>
        <v>1530</v>
      </c>
      <c r="U120" s="243">
        <f t="shared" si="867"/>
        <v>1609</v>
      </c>
      <c r="V120" s="243">
        <f t="shared" si="867"/>
        <v>1550</v>
      </c>
      <c r="W120" s="243">
        <f t="shared" si="867"/>
        <v>1604</v>
      </c>
      <c r="X120" s="243">
        <f t="shared" si="867"/>
        <v>1649</v>
      </c>
      <c r="Y120" s="243">
        <f t="shared" si="867"/>
        <v>1661</v>
      </c>
      <c r="Z120" s="243">
        <f t="shared" si="867"/>
        <v>1650</v>
      </c>
      <c r="AA120" s="243">
        <f t="shared" si="867"/>
        <v>1791</v>
      </c>
      <c r="AB120" s="243">
        <f t="shared" si="867"/>
        <v>1819</v>
      </c>
      <c r="AC120" s="243">
        <f t="shared" si="867"/>
        <v>1841</v>
      </c>
      <c r="AD120" s="243">
        <f t="shared" si="867"/>
        <v>1979</v>
      </c>
      <c r="AE120" s="243">
        <f t="shared" si="867"/>
        <v>2047</v>
      </c>
      <c r="AF120" s="243">
        <f t="shared" si="867"/>
        <v>2000</v>
      </c>
      <c r="AG120" s="243">
        <f t="shared" si="867"/>
        <v>2024</v>
      </c>
      <c r="AH120" s="243">
        <f t="shared" si="867"/>
        <v>2262</v>
      </c>
      <c r="AI120" s="243">
        <f t="shared" si="867"/>
        <v>2280</v>
      </c>
      <c r="AJ120" s="243">
        <f t="shared" si="867"/>
        <v>2278</v>
      </c>
      <c r="AK120" s="243">
        <f t="shared" si="867"/>
        <v>2231</v>
      </c>
      <c r="AL120" s="243">
        <f t="shared" si="867"/>
        <v>2307</v>
      </c>
      <c r="AM120" s="243">
        <f t="shared" si="867"/>
        <v>2355</v>
      </c>
      <c r="AN120" s="243">
        <f t="shared" si="867"/>
        <v>2398</v>
      </c>
      <c r="AO120" s="243">
        <f t="shared" ref="AO120:BJ120" si="868">AO63</f>
        <v>2456</v>
      </c>
      <c r="AP120" s="243">
        <f t="shared" si="868"/>
        <v>2565</v>
      </c>
      <c r="AQ120" s="243">
        <f t="shared" si="868"/>
        <v>3496</v>
      </c>
      <c r="AR120" s="243">
        <f t="shared" si="868"/>
        <v>3564</v>
      </c>
      <c r="AS120" s="243">
        <f t="shared" si="868"/>
        <v>3623</v>
      </c>
      <c r="AT120" s="243">
        <f t="shared" si="868"/>
        <v>3810</v>
      </c>
      <c r="AU120" s="243">
        <f t="shared" si="868"/>
        <v>4064</v>
      </c>
      <c r="AV120" s="243">
        <f t="shared" si="868"/>
        <v>4036</v>
      </c>
      <c r="AW120" s="243">
        <f t="shared" si="868"/>
        <v>4099</v>
      </c>
      <c r="AX120" s="243">
        <f t="shared" si="868"/>
        <v>3855</v>
      </c>
      <c r="AY120" s="243">
        <f t="shared" si="868"/>
        <v>3711</v>
      </c>
      <c r="AZ120" s="243">
        <f t="shared" si="868"/>
        <v>3854</v>
      </c>
      <c r="BA120" s="243">
        <f t="shared" si="868"/>
        <v>3989</v>
      </c>
      <c r="BB120" s="243">
        <f t="shared" si="868"/>
        <v>4249</v>
      </c>
      <c r="BC120" s="243">
        <f t="shared" si="868"/>
        <v>3766</v>
      </c>
      <c r="BD120" s="243">
        <f t="shared" si="868"/>
        <v>3647</v>
      </c>
      <c r="BE120" s="243">
        <f t="shared" si="868"/>
        <v>3567</v>
      </c>
      <c r="BF120" s="243">
        <f t="shared" si="868"/>
        <v>3610</v>
      </c>
      <c r="BG120" s="243">
        <f t="shared" si="868"/>
        <v>3682</v>
      </c>
      <c r="BH120" s="243">
        <f t="shared" si="868"/>
        <v>3793</v>
      </c>
      <c r="BI120" s="243">
        <f t="shared" si="868"/>
        <v>3740</v>
      </c>
      <c r="BJ120" s="243">
        <f t="shared" si="868"/>
        <v>3668</v>
      </c>
      <c r="BK120" s="243"/>
      <c r="BL120" s="243"/>
      <c r="BM120" s="243"/>
      <c r="BN120" s="243"/>
      <c r="BO120" s="243"/>
      <c r="BP120" s="243"/>
      <c r="BQ120" s="243"/>
      <c r="BR120" s="243"/>
      <c r="BS120" s="243"/>
      <c r="BT120" s="243"/>
      <c r="BU120" s="243"/>
      <c r="BV120" s="243"/>
      <c r="BW120" s="243"/>
      <c r="BX120" s="243"/>
      <c r="BY120" s="243"/>
      <c r="BZ120" s="243"/>
      <c r="CA120" s="243"/>
      <c r="CB120" s="243"/>
      <c r="CC120" s="243"/>
      <c r="CD120" s="243"/>
      <c r="CE120" s="243"/>
      <c r="CF120" s="243"/>
      <c r="CG120" s="243"/>
      <c r="CH120" s="243"/>
      <c r="CI120" s="243"/>
      <c r="CJ120" s="243"/>
      <c r="CK120" s="243"/>
      <c r="CL120" s="243"/>
      <c r="CM120" s="243"/>
      <c r="CN120" s="243"/>
      <c r="CO120" s="243"/>
      <c r="CP120" s="243"/>
      <c r="CQ120" s="243"/>
      <c r="CR120" s="243"/>
      <c r="CS120" s="243"/>
      <c r="CT120" s="243"/>
      <c r="CU120" s="243"/>
      <c r="CV120" s="243"/>
      <c r="CW120" s="243"/>
      <c r="CX120" s="243"/>
      <c r="CY120" s="243"/>
      <c r="CZ120" s="243"/>
      <c r="DA120" s="243"/>
      <c r="DB120" s="243"/>
      <c r="DC120" s="243"/>
      <c r="DD120" s="243"/>
      <c r="DE120" s="243"/>
      <c r="DF120" s="243"/>
      <c r="DG120" s="243"/>
      <c r="DH120" s="243"/>
      <c r="DI120" s="243"/>
      <c r="DJ120" s="243"/>
      <c r="DK120" s="243"/>
      <c r="DL120" s="243"/>
      <c r="DM120" s="243"/>
      <c r="DN120" s="243"/>
      <c r="DS120" s="243">
        <v>4780</v>
      </c>
      <c r="DT120" s="243">
        <v>4824</v>
      </c>
      <c r="DU120" s="243">
        <v>5251</v>
      </c>
      <c r="DV120" s="243">
        <v>5831</v>
      </c>
      <c r="DW120" s="243">
        <v>6364</v>
      </c>
      <c r="DX120" s="243">
        <v>6498</v>
      </c>
      <c r="DY120" s="243">
        <v>6526</v>
      </c>
      <c r="DZ120" s="243">
        <v>6864</v>
      </c>
      <c r="EA120" s="243">
        <v>6904</v>
      </c>
      <c r="EB120" s="243">
        <v>6962</v>
      </c>
      <c r="EC120" s="243">
        <v>6564</v>
      </c>
      <c r="ED120" s="243">
        <v>7431</v>
      </c>
      <c r="EE120" s="243">
        <v>8333</v>
      </c>
      <c r="EF120" s="243">
        <f t="shared" ref="EF120:EQ120" si="869">EF63</f>
        <v>9096</v>
      </c>
      <c r="EG120" s="243">
        <f t="shared" si="869"/>
        <v>9774</v>
      </c>
      <c r="EH120" s="243">
        <f t="shared" si="869"/>
        <v>14493</v>
      </c>
      <c r="EI120" s="243">
        <f t="shared" si="869"/>
        <v>16054</v>
      </c>
      <c r="EJ120" s="243">
        <f t="shared" si="869"/>
        <v>15803</v>
      </c>
      <c r="EK120" s="243">
        <f t="shared" si="869"/>
        <v>14590</v>
      </c>
      <c r="EL120" s="243">
        <f t="shared" si="869"/>
        <v>14883</v>
      </c>
      <c r="EM120" s="243">
        <f t="shared" si="869"/>
        <v>14447</v>
      </c>
      <c r="EN120" s="243">
        <f t="shared" si="869"/>
        <v>14697</v>
      </c>
      <c r="EO120" s="243">
        <f t="shared" si="869"/>
        <v>14990.94</v>
      </c>
      <c r="EP120" s="243">
        <f t="shared" si="869"/>
        <v>15290.758800000001</v>
      </c>
      <c r="EQ120" s="243">
        <f t="shared" si="869"/>
        <v>15596.573976000001</v>
      </c>
      <c r="ER120" s="243"/>
      <c r="ES120" s="243"/>
      <c r="ET120" s="243"/>
      <c r="EU120" s="243"/>
    </row>
    <row r="121" spans="2:151" ht="12.75" customHeight="1" x14ac:dyDescent="0.2">
      <c r="B121" t="s">
        <v>356</v>
      </c>
      <c r="W121" s="243">
        <v>315</v>
      </c>
      <c r="X121" s="243">
        <v>339</v>
      </c>
      <c r="Y121" s="243">
        <v>337</v>
      </c>
      <c r="Z121" s="243">
        <v>238</v>
      </c>
      <c r="AA121" s="243">
        <v>413</v>
      </c>
      <c r="AB121" s="243">
        <v>372</v>
      </c>
      <c r="AC121" s="243">
        <v>364</v>
      </c>
      <c r="AD121" s="243">
        <v>244</v>
      </c>
      <c r="AE121" s="243">
        <v>440</v>
      </c>
      <c r="AF121" s="243">
        <v>382</v>
      </c>
      <c r="AG121" s="243">
        <v>358</v>
      </c>
      <c r="AH121" s="243">
        <v>334</v>
      </c>
      <c r="AI121" s="243">
        <v>438</v>
      </c>
      <c r="AJ121" s="243">
        <v>418</v>
      </c>
      <c r="AK121" s="243">
        <v>426</v>
      </c>
      <c r="AL121" s="243">
        <v>366</v>
      </c>
      <c r="AM121" s="243">
        <v>465</v>
      </c>
      <c r="AN121" s="243">
        <v>473</v>
      </c>
      <c r="AO121" s="243"/>
      <c r="AP121" s="243"/>
      <c r="AQ121" s="243"/>
      <c r="AR121" s="243"/>
      <c r="AS121" s="243"/>
      <c r="AT121" s="243"/>
      <c r="AU121" s="243"/>
      <c r="AV121" s="243"/>
      <c r="AW121" s="243"/>
      <c r="AX121" s="243"/>
      <c r="BC121" s="76">
        <v>785</v>
      </c>
      <c r="DS121" s="243">
        <v>501</v>
      </c>
      <c r="DT121" s="243">
        <v>521</v>
      </c>
      <c r="DU121" s="243">
        <v>443</v>
      </c>
      <c r="DV121" s="243">
        <v>298</v>
      </c>
      <c r="DW121" s="243">
        <v>361</v>
      </c>
      <c r="DX121" s="243">
        <v>558</v>
      </c>
      <c r="DY121" s="243">
        <v>658</v>
      </c>
      <c r="DZ121" s="243">
        <v>683</v>
      </c>
      <c r="EA121" s="243">
        <v>867</v>
      </c>
      <c r="EB121" s="243">
        <v>1004</v>
      </c>
      <c r="EC121" s="243">
        <v>1229</v>
      </c>
      <c r="ED121" s="243">
        <v>1393</v>
      </c>
      <c r="EE121" s="243">
        <v>1514</v>
      </c>
      <c r="EF121" s="243">
        <v>1667</v>
      </c>
      <c r="EG121" s="243"/>
      <c r="EH121" s="243"/>
      <c r="EI121" s="243"/>
      <c r="EJ121" s="243"/>
      <c r="EK121" s="243"/>
      <c r="EL121" s="243"/>
      <c r="EM121" s="243"/>
      <c r="EN121" s="243"/>
      <c r="EO121" s="243"/>
      <c r="EP121" s="243"/>
      <c r="EQ121" s="243"/>
      <c r="ER121" s="243"/>
      <c r="ES121" s="243"/>
      <c r="ET121" s="243"/>
      <c r="EU121" s="243"/>
    </row>
    <row r="122" spans="2:151" ht="12.75" customHeight="1" x14ac:dyDescent="0.2">
      <c r="B122" t="s">
        <v>357</v>
      </c>
      <c r="W122" s="294">
        <f t="shared" ref="W122:AN122" si="870">W121/W120</f>
        <v>0.19638403990024939</v>
      </c>
      <c r="X122" s="294">
        <f t="shared" si="870"/>
        <v>0.20557913887204365</v>
      </c>
      <c r="Y122" s="294">
        <f t="shared" si="870"/>
        <v>0.2028898254063817</v>
      </c>
      <c r="Z122" s="294">
        <f t="shared" si="870"/>
        <v>0.14424242424242426</v>
      </c>
      <c r="AA122" s="294">
        <f t="shared" si="870"/>
        <v>0.23059743160245672</v>
      </c>
      <c r="AB122" s="294">
        <f t="shared" si="870"/>
        <v>0.2045079714128642</v>
      </c>
      <c r="AC122" s="294">
        <f t="shared" si="870"/>
        <v>0.19771863117870722</v>
      </c>
      <c r="AD122" s="294">
        <f t="shared" si="870"/>
        <v>0.12329459322890349</v>
      </c>
      <c r="AE122" s="294">
        <f t="shared" si="870"/>
        <v>0.21494870542256961</v>
      </c>
      <c r="AF122" s="294">
        <f t="shared" si="870"/>
        <v>0.191</v>
      </c>
      <c r="AG122" s="294">
        <f t="shared" si="870"/>
        <v>0.17687747035573123</v>
      </c>
      <c r="AH122" s="294">
        <f t="shared" si="870"/>
        <v>0.14765694076038904</v>
      </c>
      <c r="AI122" s="294">
        <f t="shared" si="870"/>
        <v>0.19210526315789472</v>
      </c>
      <c r="AJ122" s="294">
        <f t="shared" si="870"/>
        <v>0.18349429323968394</v>
      </c>
      <c r="AK122" s="294">
        <f t="shared" si="870"/>
        <v>0.19094576423128642</v>
      </c>
      <c r="AL122" s="294">
        <f t="shared" si="870"/>
        <v>0.15864759427828348</v>
      </c>
      <c r="AM122" s="294">
        <f t="shared" si="870"/>
        <v>0.19745222929936307</v>
      </c>
      <c r="AN122" s="294">
        <f t="shared" si="870"/>
        <v>0.19724770642201836</v>
      </c>
      <c r="BC122" s="294">
        <f>+BC121/BC120</f>
        <v>0.20844397238449283</v>
      </c>
      <c r="DS122" s="294">
        <f t="shared" ref="DS122:EI122" si="871">DS121/DS120</f>
        <v>0.10481171548117155</v>
      </c>
      <c r="DT122" s="294">
        <f t="shared" si="871"/>
        <v>0.1080016583747927</v>
      </c>
      <c r="DU122" s="294">
        <f t="shared" si="871"/>
        <v>8.4364882879451528E-2</v>
      </c>
      <c r="DV122" s="294">
        <f t="shared" si="871"/>
        <v>5.110615674841365E-2</v>
      </c>
      <c r="DW122" s="294">
        <f t="shared" si="871"/>
        <v>5.6725329981143935E-2</v>
      </c>
      <c r="DX122" s="294">
        <f t="shared" si="871"/>
        <v>8.5872576177285317E-2</v>
      </c>
      <c r="DY122" s="294">
        <f t="shared" si="871"/>
        <v>0.10082745939319644</v>
      </c>
      <c r="DZ122" s="294">
        <f t="shared" si="871"/>
        <v>9.9504662004662001E-2</v>
      </c>
      <c r="EA122" s="294">
        <f t="shared" si="871"/>
        <v>0.12557937427578217</v>
      </c>
      <c r="EB122" s="294">
        <f t="shared" si="871"/>
        <v>0.14421143349612181</v>
      </c>
      <c r="EC122" s="294">
        <f t="shared" si="871"/>
        <v>0.18723339427178551</v>
      </c>
      <c r="ED122" s="294">
        <f t="shared" si="871"/>
        <v>0.18745794644058672</v>
      </c>
      <c r="EE122" s="294">
        <f t="shared" si="871"/>
        <v>0.18168726749069963</v>
      </c>
      <c r="EF122" s="294">
        <f t="shared" si="871"/>
        <v>0.18326737027264731</v>
      </c>
      <c r="EG122" s="294">
        <f t="shared" si="871"/>
        <v>0</v>
      </c>
      <c r="EH122" s="294">
        <f t="shared" si="871"/>
        <v>0</v>
      </c>
      <c r="EI122" s="294">
        <f t="shared" si="871"/>
        <v>0</v>
      </c>
    </row>
    <row r="123" spans="2:151" ht="12.75" customHeight="1" x14ac:dyDescent="0.2">
      <c r="B123" t="s">
        <v>358</v>
      </c>
      <c r="Z123" s="294">
        <f t="shared" ref="Z123:BJ123" si="872">Z120/Z64</f>
        <v>0.17547591194299691</v>
      </c>
      <c r="AA123" s="294">
        <f t="shared" si="872"/>
        <v>0.18234575442883322</v>
      </c>
      <c r="AB123" s="294">
        <f t="shared" si="872"/>
        <v>0.17605497483546265</v>
      </c>
      <c r="AC123" s="294">
        <f t="shared" si="872"/>
        <v>0.17610484025253492</v>
      </c>
      <c r="AD123" s="294">
        <f t="shared" si="872"/>
        <v>0.17376415839845466</v>
      </c>
      <c r="AE123" s="294">
        <f t="shared" si="872"/>
        <v>0.17081108144192256</v>
      </c>
      <c r="AF123" s="294">
        <f t="shared" si="872"/>
        <v>0.16818028927009754</v>
      </c>
      <c r="AG123" s="294">
        <f t="shared" si="872"/>
        <v>0.17519259066909029</v>
      </c>
      <c r="AH123" s="294">
        <f t="shared" si="872"/>
        <v>0.17738393977415307</v>
      </c>
      <c r="AI123" s="294">
        <f t="shared" si="872"/>
        <v>0.17768079800498754</v>
      </c>
      <c r="AJ123" s="294">
        <f t="shared" si="872"/>
        <v>0.17849866792038865</v>
      </c>
      <c r="AK123" s="294">
        <f t="shared" si="872"/>
        <v>0.18123476848090983</v>
      </c>
      <c r="AL123" s="294">
        <f t="shared" si="872"/>
        <v>0.18295003965107057</v>
      </c>
      <c r="AM123" s="294">
        <f t="shared" si="872"/>
        <v>0.18126539408866996</v>
      </c>
      <c r="AN123" s="294">
        <f t="shared" si="872"/>
        <v>0.17945072214323132</v>
      </c>
      <c r="AO123" s="294">
        <f t="shared" si="872"/>
        <v>0.18484232708662601</v>
      </c>
      <c r="AP123" s="294">
        <f t="shared" si="872"/>
        <v>0.1874725917263558</v>
      </c>
      <c r="AQ123" s="294">
        <f t="shared" si="872"/>
        <v>0.23172267515079206</v>
      </c>
      <c r="AR123" s="294">
        <f t="shared" si="872"/>
        <v>0.23537181349887729</v>
      </c>
      <c r="AS123" s="294">
        <f t="shared" si="872"/>
        <v>0.24142067035383488</v>
      </c>
      <c r="AT123" s="294">
        <f t="shared" si="872"/>
        <v>0.23876668546719307</v>
      </c>
      <c r="AU123" s="294">
        <f t="shared" si="872"/>
        <v>0.25095714462146473</v>
      </c>
      <c r="AV123" s="294">
        <f t="shared" si="872"/>
        <v>0.24534954407294832</v>
      </c>
      <c r="AW123" s="294">
        <f t="shared" si="872"/>
        <v>0.25745870234281765</v>
      </c>
      <c r="AX123" s="294">
        <f t="shared" si="872"/>
        <v>0.25391911474114082</v>
      </c>
      <c r="AY123" s="294">
        <f t="shared" si="872"/>
        <v>0.24697191534673232</v>
      </c>
      <c r="AZ123" s="294">
        <f t="shared" si="872"/>
        <v>0.25290373384080322</v>
      </c>
      <c r="BA123" s="294">
        <f t="shared" si="872"/>
        <v>0.264505006299317</v>
      </c>
      <c r="BB123" s="294">
        <f t="shared" si="872"/>
        <v>0.25672164823877713</v>
      </c>
      <c r="BC123" s="294">
        <f t="shared" si="872"/>
        <v>0.24093148231079264</v>
      </c>
      <c r="BD123" s="294">
        <f t="shared" si="872"/>
        <v>0.23698745857430631</v>
      </c>
      <c r="BE123" s="294">
        <f t="shared" si="872"/>
        <v>0.2380857028434121</v>
      </c>
      <c r="BF123" s="294">
        <f t="shared" si="872"/>
        <v>0.23075939657376629</v>
      </c>
      <c r="BG123" s="294">
        <f t="shared" si="872"/>
        <v>0.2170222798538253</v>
      </c>
      <c r="BH123" s="294">
        <f t="shared" si="872"/>
        <v>0.22853527745978189</v>
      </c>
      <c r="BI123" s="294">
        <f t="shared" si="872"/>
        <v>0.23367697594501718</v>
      </c>
      <c r="BJ123" s="294">
        <f t="shared" si="872"/>
        <v>0.19488868816747251</v>
      </c>
      <c r="BK123" s="294"/>
      <c r="BL123" s="294"/>
      <c r="BM123" s="294"/>
      <c r="BN123" s="294"/>
      <c r="BO123" s="294"/>
      <c r="BP123" s="294"/>
      <c r="BQ123" s="294"/>
      <c r="BR123" s="294"/>
      <c r="BS123" s="294"/>
      <c r="BT123" s="294"/>
      <c r="BU123" s="294"/>
      <c r="BV123" s="294"/>
      <c r="BW123" s="294"/>
      <c r="BX123" s="294"/>
      <c r="BY123" s="294"/>
      <c r="BZ123" s="294"/>
      <c r="CA123" s="294"/>
      <c r="CB123" s="294"/>
      <c r="CC123" s="294"/>
      <c r="CD123" s="294"/>
      <c r="CE123" s="294"/>
      <c r="CF123" s="294"/>
      <c r="CG123" s="294"/>
      <c r="CH123" s="294"/>
      <c r="CI123" s="294"/>
      <c r="CJ123" s="294"/>
      <c r="CK123" s="294"/>
      <c r="CL123" s="294"/>
      <c r="CM123" s="294"/>
      <c r="CN123" s="294"/>
      <c r="CO123" s="294"/>
      <c r="CP123" s="294"/>
      <c r="CQ123" s="294"/>
      <c r="CR123" s="294"/>
      <c r="CS123" s="294"/>
      <c r="CT123" s="294"/>
      <c r="CU123" s="294"/>
      <c r="CV123" s="294"/>
      <c r="CW123" s="294"/>
      <c r="CX123" s="294"/>
      <c r="CY123" s="294"/>
      <c r="CZ123" s="294"/>
      <c r="DA123" s="294"/>
      <c r="DB123" s="294"/>
      <c r="DC123" s="294"/>
      <c r="DD123" s="294"/>
      <c r="DE123" s="294"/>
      <c r="DF123" s="294"/>
      <c r="DG123" s="294"/>
      <c r="DH123" s="294"/>
      <c r="DI123" s="294"/>
      <c r="DJ123" s="294"/>
      <c r="DK123" s="294"/>
      <c r="DL123" s="294"/>
      <c r="DM123" s="294"/>
      <c r="DN123" s="294"/>
      <c r="DS123" s="294">
        <f t="shared" ref="DS123:EP123" si="873">DS120/DS64</f>
        <v>0.34756053224750966</v>
      </c>
      <c r="DT123" s="294">
        <f t="shared" si="873"/>
        <v>0.34120809166784555</v>
      </c>
      <c r="DU123" s="294">
        <f t="shared" si="873"/>
        <v>0.33373585865005723</v>
      </c>
      <c r="DV123" s="294">
        <f t="shared" si="873"/>
        <v>0.30946820931960511</v>
      </c>
      <c r="DW123" s="294">
        <f t="shared" si="873"/>
        <v>0.29435707678075856</v>
      </c>
      <c r="DX123" s="294">
        <f t="shared" si="873"/>
        <v>0.2871536523929471</v>
      </c>
      <c r="DY123" s="294">
        <f t="shared" si="873"/>
        <v>0.27585915373885106</v>
      </c>
      <c r="DZ123" s="294">
        <f t="shared" si="873"/>
        <v>0.249863492410178</v>
      </c>
      <c r="EA123" s="294">
        <f t="shared" si="873"/>
        <v>0.23693331960602629</v>
      </c>
      <c r="EB123" s="294">
        <f t="shared" si="873"/>
        <v>0.21094412798448672</v>
      </c>
      <c r="EC123" s="294">
        <f t="shared" si="873"/>
        <v>0.17782883026882929</v>
      </c>
      <c r="ED123" s="294">
        <f t="shared" si="873"/>
        <v>0.17540256907759633</v>
      </c>
      <c r="EE123" s="294">
        <f t="shared" si="873"/>
        <v>0.17318203545524452</v>
      </c>
      <c r="EF123" s="294">
        <f t="shared" si="873"/>
        <v>0.18376500060608508</v>
      </c>
      <c r="EG123" s="294">
        <f t="shared" si="873"/>
        <v>0.1832945765508964</v>
      </c>
      <c r="EH123" s="294">
        <f t="shared" si="873"/>
        <v>0.2372207218266634</v>
      </c>
      <c r="EI123" s="294">
        <f t="shared" si="873"/>
        <v>0.25183930224167411</v>
      </c>
      <c r="EJ123" s="294">
        <f t="shared" si="873"/>
        <v>0.25531124287122153</v>
      </c>
      <c r="EK123" s="294">
        <f t="shared" si="873"/>
        <v>0.23740948661622324</v>
      </c>
      <c r="EL123" s="294">
        <f t="shared" si="873"/>
        <v>0.22886360141473167</v>
      </c>
      <c r="EM123" s="294">
        <f t="shared" si="873"/>
        <v>0.21324929517174193</v>
      </c>
      <c r="EN123" s="294">
        <f t="shared" si="873"/>
        <v>0.20609434597262732</v>
      </c>
      <c r="EO123" s="294">
        <f t="shared" si="873"/>
        <v>0.19922196673175194</v>
      </c>
      <c r="EP123" s="294">
        <f t="shared" si="873"/>
        <v>0.20100402568769568</v>
      </c>
      <c r="EQ123" s="294"/>
      <c r="ER123" s="294"/>
      <c r="ES123" s="294"/>
      <c r="ET123" s="294"/>
      <c r="EU123" s="294"/>
    </row>
    <row r="124" spans="2:151" ht="12.75" customHeight="1" x14ac:dyDescent="0.2">
      <c r="B124" t="s">
        <v>359</v>
      </c>
      <c r="AI124" s="294"/>
      <c r="AM124" s="294"/>
      <c r="AO124" s="288">
        <f t="shared" ref="AO124:BB124" si="874">AO120/AK120-1</f>
        <v>0.10085163603765124</v>
      </c>
      <c r="AP124" s="288">
        <f t="shared" si="874"/>
        <v>0.1118335500650196</v>
      </c>
      <c r="AQ124" s="288">
        <f t="shared" si="874"/>
        <v>0.48450106157112516</v>
      </c>
      <c r="AR124" s="288">
        <f t="shared" si="874"/>
        <v>0.48623853211009171</v>
      </c>
      <c r="AS124" s="288">
        <f t="shared" si="874"/>
        <v>0.47516286644951133</v>
      </c>
      <c r="AT124" s="288">
        <f t="shared" si="874"/>
        <v>0.48538011695906436</v>
      </c>
      <c r="AU124" s="288">
        <f t="shared" si="874"/>
        <v>0.1624713958810069</v>
      </c>
      <c r="AV124" s="288">
        <f t="shared" si="874"/>
        <v>0.13243546576879917</v>
      </c>
      <c r="AW124" s="288">
        <f t="shared" si="874"/>
        <v>0.13138283190725919</v>
      </c>
      <c r="AX124" s="288">
        <f t="shared" si="874"/>
        <v>1.1811023622047223E-2</v>
      </c>
      <c r="AY124" s="288">
        <f t="shared" si="874"/>
        <v>-8.6860236220472453E-2</v>
      </c>
      <c r="AZ124" s="288">
        <f>AZ120/AV120-1</f>
        <v>-4.5094152626362738E-2</v>
      </c>
      <c r="BA124" s="288">
        <f t="shared" si="874"/>
        <v>-2.6835813613076409E-2</v>
      </c>
      <c r="BB124" s="288">
        <f t="shared" si="874"/>
        <v>0.10220492866407271</v>
      </c>
      <c r="BC124" s="288">
        <f>BC120/AY120-1</f>
        <v>1.4820803018054329E-2</v>
      </c>
      <c r="BD124" s="288">
        <f>BD120/AZ120-1</f>
        <v>-5.3710430721328528E-2</v>
      </c>
      <c r="BE124" s="288">
        <f>BE120/BA120-1</f>
        <v>-0.10579092504387066</v>
      </c>
      <c r="BF124" s="288">
        <f>BF120/BB120-1</f>
        <v>-0.15038832666509772</v>
      </c>
      <c r="BG124" s="288">
        <f>BG120/BC120-1</f>
        <v>-2.2304832713754608E-2</v>
      </c>
      <c r="BH124" s="288">
        <f t="shared" ref="BH124:BI124" si="875">BH120/BD120-1</f>
        <v>4.0032903756512139E-2</v>
      </c>
      <c r="BI124" s="288">
        <f t="shared" si="875"/>
        <v>4.8500140173815431E-2</v>
      </c>
      <c r="BJ124" s="288">
        <f t="shared" ref="BJ124" si="876">BJ120/BF120-1</f>
        <v>1.6066481994459814E-2</v>
      </c>
      <c r="BK124" s="288"/>
      <c r="BL124" s="288"/>
      <c r="BM124" s="288"/>
      <c r="BN124" s="288"/>
      <c r="BO124" s="288"/>
      <c r="BP124" s="288"/>
      <c r="BQ124" s="288"/>
      <c r="BR124" s="288"/>
      <c r="BS124" s="288"/>
      <c r="BT124" s="288"/>
      <c r="BU124" s="288"/>
      <c r="BV124" s="288"/>
      <c r="BW124" s="288"/>
      <c r="BX124" s="288"/>
      <c r="BY124" s="288"/>
      <c r="BZ124" s="288"/>
      <c r="CA124" s="288"/>
      <c r="CB124" s="288"/>
      <c r="CC124" s="288"/>
      <c r="CD124" s="288"/>
      <c r="CE124" s="288"/>
      <c r="CF124" s="288"/>
      <c r="CG124" s="288"/>
      <c r="CH124" s="288"/>
      <c r="CI124" s="288"/>
      <c r="CJ124" s="288"/>
      <c r="CK124" s="288"/>
      <c r="CL124" s="288"/>
      <c r="CM124" s="288"/>
      <c r="CN124" s="288"/>
      <c r="CO124" s="288"/>
      <c r="CP124" s="288"/>
      <c r="CQ124" s="288"/>
      <c r="CR124" s="288"/>
      <c r="CS124" s="288"/>
      <c r="CT124" s="288"/>
      <c r="CU124" s="288"/>
      <c r="CV124" s="288"/>
      <c r="CW124" s="288"/>
      <c r="CX124" s="288"/>
      <c r="CY124" s="288"/>
      <c r="CZ124" s="288"/>
      <c r="DA124" s="288"/>
      <c r="DB124" s="288"/>
      <c r="DC124" s="288"/>
      <c r="DD124" s="288"/>
      <c r="DE124" s="288"/>
      <c r="DF124" s="288"/>
      <c r="DG124" s="288"/>
      <c r="DH124" s="288"/>
      <c r="DI124" s="288"/>
      <c r="DJ124" s="288"/>
      <c r="DK124" s="288"/>
      <c r="DL124" s="288"/>
      <c r="DM124" s="288"/>
      <c r="DN124" s="288"/>
      <c r="EG124" s="288">
        <f>EG120/EF120-1</f>
        <v>7.4538258575197913E-2</v>
      </c>
      <c r="EH124" s="288">
        <f>EH120/EG120-1</f>
        <v>0.48281154082259059</v>
      </c>
      <c r="EI124" s="288">
        <f>EI120/EH120-1</f>
        <v>0.10770716897812727</v>
      </c>
      <c r="EJ124" s="288">
        <f>EJ120/EI120-1</f>
        <v>-1.5634732776877991E-2</v>
      </c>
    </row>
    <row r="125" spans="2:151" ht="12.75" customHeight="1" x14ac:dyDescent="0.2">
      <c r="B125" t="s">
        <v>360</v>
      </c>
      <c r="AI125" s="294"/>
      <c r="AM125" s="294"/>
      <c r="AO125" s="288">
        <v>8.1000000000000003E-2</v>
      </c>
      <c r="AY125" s="288">
        <v>-0.01</v>
      </c>
      <c r="AZ125" s="288">
        <f>AZ124-AZ126</f>
        <v>3.090584737363726E-2</v>
      </c>
      <c r="BA125" s="288">
        <f>BA124-BA126</f>
        <v>1.116418638692359E-2</v>
      </c>
      <c r="BB125" s="288"/>
      <c r="BC125" s="288"/>
      <c r="BD125" s="288">
        <f>BD124-BD126</f>
        <v>-6.4710430721328524E-2</v>
      </c>
      <c r="BE125" s="288"/>
      <c r="BF125" s="288"/>
      <c r="BG125" s="288">
        <v>-4.1000000000000002E-2</v>
      </c>
      <c r="BH125" s="288"/>
      <c r="BI125" s="288">
        <v>5.0000000000000001E-3</v>
      </c>
      <c r="BJ125" s="288"/>
      <c r="BK125" s="288"/>
      <c r="BL125" s="288"/>
      <c r="BM125" s="288"/>
      <c r="BN125" s="288"/>
      <c r="BO125" s="288"/>
      <c r="BP125" s="288"/>
      <c r="BQ125" s="288"/>
      <c r="BR125" s="288"/>
      <c r="BS125" s="288"/>
      <c r="BT125" s="288"/>
      <c r="BU125" s="288"/>
      <c r="BV125" s="288"/>
      <c r="BW125" s="288"/>
      <c r="BX125" s="288"/>
      <c r="BY125" s="288"/>
      <c r="BZ125" s="288"/>
      <c r="CA125" s="288"/>
      <c r="CB125" s="288"/>
      <c r="CC125" s="288"/>
      <c r="CD125" s="288"/>
      <c r="CE125" s="288"/>
      <c r="CF125" s="288"/>
      <c r="CG125" s="288"/>
      <c r="CH125" s="288"/>
      <c r="CI125" s="288"/>
      <c r="CJ125" s="288"/>
      <c r="CK125" s="288"/>
      <c r="CL125" s="288"/>
      <c r="CM125" s="288"/>
      <c r="CN125" s="288"/>
      <c r="CO125" s="288"/>
      <c r="CP125" s="288"/>
      <c r="CQ125" s="288"/>
      <c r="CR125" s="288"/>
      <c r="CS125" s="288"/>
      <c r="CT125" s="288"/>
      <c r="CU125" s="288"/>
      <c r="CV125" s="288"/>
      <c r="CW125" s="288"/>
      <c r="CX125" s="288"/>
      <c r="CY125" s="288"/>
      <c r="CZ125" s="288"/>
      <c r="DA125" s="288"/>
      <c r="DB125" s="288"/>
      <c r="DC125" s="288"/>
      <c r="DD125" s="288"/>
      <c r="DE125" s="288"/>
      <c r="DF125" s="288"/>
      <c r="DG125" s="288"/>
      <c r="DH125" s="288"/>
      <c r="DI125" s="288"/>
      <c r="DJ125" s="288"/>
      <c r="DK125" s="288"/>
      <c r="DL125" s="288"/>
      <c r="DM125" s="288"/>
      <c r="DN125" s="288"/>
      <c r="EG125" s="288">
        <v>6.4000000000000001E-2</v>
      </c>
      <c r="EJ125" s="288">
        <v>0.02</v>
      </c>
    </row>
    <row r="126" spans="2:151" ht="12.75" customHeight="1" x14ac:dyDescent="0.2">
      <c r="B126" t="s">
        <v>1189</v>
      </c>
      <c r="AI126" s="294"/>
      <c r="AM126" s="294"/>
      <c r="AO126" s="288"/>
      <c r="AY126" s="288"/>
      <c r="AZ126" s="288">
        <v>-7.5999999999999998E-2</v>
      </c>
      <c r="BA126" s="288">
        <v>-3.7999999999999999E-2</v>
      </c>
      <c r="BB126" s="288"/>
      <c r="BC126" s="288"/>
      <c r="BD126" s="288">
        <v>1.0999999999999999E-2</v>
      </c>
      <c r="BE126" s="288"/>
      <c r="BF126" s="288"/>
      <c r="BG126" s="288">
        <v>1.9E-2</v>
      </c>
      <c r="BH126" s="288"/>
      <c r="BI126" s="288">
        <v>4.3999999999999997E-2</v>
      </c>
      <c r="BJ126" s="288"/>
      <c r="BK126" s="288"/>
      <c r="BL126" s="288"/>
      <c r="BM126" s="288"/>
      <c r="BN126" s="288"/>
      <c r="BO126" s="288"/>
      <c r="BP126" s="288"/>
      <c r="BQ126" s="288"/>
      <c r="BR126" s="288"/>
      <c r="BS126" s="288"/>
      <c r="BT126" s="288"/>
      <c r="BU126" s="288"/>
      <c r="BV126" s="288"/>
      <c r="BW126" s="288"/>
      <c r="BX126" s="288"/>
      <c r="BY126" s="288"/>
      <c r="BZ126" s="288"/>
      <c r="CA126" s="288"/>
      <c r="CB126" s="288"/>
      <c r="CC126" s="288"/>
      <c r="CD126" s="288"/>
      <c r="CE126" s="288"/>
      <c r="CF126" s="288"/>
      <c r="CG126" s="288"/>
      <c r="CH126" s="288"/>
      <c r="CI126" s="288"/>
      <c r="CJ126" s="288"/>
      <c r="CK126" s="288"/>
      <c r="CL126" s="288"/>
      <c r="CM126" s="288"/>
      <c r="CN126" s="288"/>
      <c r="CO126" s="288"/>
      <c r="CP126" s="288"/>
      <c r="CQ126" s="288"/>
      <c r="CR126" s="288"/>
      <c r="CS126" s="288"/>
      <c r="CT126" s="288"/>
      <c r="CU126" s="288"/>
      <c r="CV126" s="288"/>
      <c r="CW126" s="288"/>
      <c r="CX126" s="288"/>
      <c r="CY126" s="288"/>
      <c r="CZ126" s="288"/>
      <c r="DA126" s="288"/>
      <c r="DB126" s="288"/>
      <c r="DC126" s="288"/>
      <c r="DD126" s="288"/>
      <c r="DE126" s="288"/>
      <c r="DF126" s="288"/>
      <c r="DG126" s="288"/>
      <c r="DH126" s="288"/>
      <c r="DI126" s="288"/>
      <c r="DJ126" s="288"/>
      <c r="DK126" s="288"/>
      <c r="DL126" s="288"/>
      <c r="DM126" s="288"/>
      <c r="DN126" s="288"/>
      <c r="EG126" s="288">
        <f>EG124-EG125</f>
        <v>1.0538258575197912E-2</v>
      </c>
      <c r="EJ126" s="288">
        <f>EJ124-EJ125</f>
        <v>-3.5634732776877995E-2</v>
      </c>
    </row>
    <row r="127" spans="2:151" ht="12.75" customHeight="1" x14ac:dyDescent="0.2">
      <c r="AI127" s="294"/>
      <c r="AM127" s="294"/>
      <c r="AO127" s="288"/>
      <c r="AY127" s="288"/>
      <c r="AZ127" s="288"/>
      <c r="BA127" s="288"/>
      <c r="BB127" s="288"/>
      <c r="BC127" s="288"/>
      <c r="BD127" s="288"/>
      <c r="BE127" s="288"/>
      <c r="BF127" s="288"/>
      <c r="BG127" s="288"/>
      <c r="BH127" s="288"/>
      <c r="BI127" s="288"/>
      <c r="BJ127" s="288"/>
      <c r="BK127" s="288"/>
      <c r="BL127" s="288"/>
      <c r="BM127" s="288"/>
      <c r="BN127" s="288"/>
      <c r="BO127" s="288"/>
      <c r="BP127" s="288"/>
      <c r="BQ127" s="288"/>
      <c r="BR127" s="288"/>
      <c r="BS127" s="288"/>
      <c r="BT127" s="288"/>
      <c r="BU127" s="288"/>
      <c r="BV127" s="288"/>
      <c r="BW127" s="288"/>
      <c r="BX127" s="288"/>
      <c r="BY127" s="288"/>
      <c r="BZ127" s="288"/>
      <c r="CA127" s="288"/>
      <c r="CB127" s="288"/>
      <c r="CC127" s="288"/>
      <c r="CD127" s="288"/>
      <c r="CE127" s="288"/>
      <c r="CF127" s="288"/>
      <c r="CG127" s="288"/>
      <c r="CH127" s="288"/>
      <c r="CI127" s="288"/>
      <c r="CJ127" s="288"/>
      <c r="CK127" s="288"/>
      <c r="CL127" s="288"/>
      <c r="CM127" s="288"/>
      <c r="CN127" s="288"/>
      <c r="CO127" s="288"/>
      <c r="CP127" s="288"/>
      <c r="CQ127" s="288"/>
      <c r="CR127" s="288"/>
      <c r="CS127" s="288"/>
      <c r="CT127" s="288"/>
      <c r="CU127" s="288"/>
      <c r="CV127" s="288"/>
      <c r="CW127" s="288"/>
      <c r="CX127" s="288"/>
      <c r="CY127" s="288"/>
      <c r="CZ127" s="288"/>
      <c r="DA127" s="288"/>
      <c r="DB127" s="288"/>
      <c r="DC127" s="288"/>
      <c r="DD127" s="288"/>
      <c r="DE127" s="288"/>
      <c r="DF127" s="288"/>
      <c r="DG127" s="288"/>
      <c r="DH127" s="288"/>
      <c r="DI127" s="288"/>
      <c r="DJ127" s="288"/>
      <c r="DK127" s="288"/>
      <c r="DL127" s="288"/>
      <c r="DM127" s="288"/>
      <c r="DN127" s="288"/>
      <c r="EG127" s="288"/>
      <c r="EJ127" s="288"/>
    </row>
    <row r="128" spans="2:151" s="1" customFormat="1" ht="12.75" customHeight="1" x14ac:dyDescent="0.2">
      <c r="B128" s="1" t="s">
        <v>634</v>
      </c>
      <c r="C128" s="166"/>
      <c r="D128" s="166"/>
      <c r="E128" s="166"/>
      <c r="F128" s="166"/>
      <c r="G128" s="166"/>
      <c r="H128" s="166"/>
      <c r="I128" s="166"/>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289">
        <v>0.108</v>
      </c>
      <c r="AS128" s="289">
        <v>9.7000000000000003E-2</v>
      </c>
      <c r="AT128" s="289">
        <v>0.11899999999999999</v>
      </c>
      <c r="AU128" s="289">
        <v>2.5999999999999999E-2</v>
      </c>
      <c r="AV128" s="289">
        <f>AV80-AV130</f>
        <v>3.038224805177641E-2</v>
      </c>
      <c r="AW128" s="289">
        <f>AW80-AW130</f>
        <v>2.9904911041513854E-2</v>
      </c>
      <c r="AX128" s="289">
        <v>-0.01</v>
      </c>
      <c r="AY128" s="289">
        <v>-1.2E-2</v>
      </c>
      <c r="AZ128" s="289">
        <f>AZ131-AZ130</f>
        <v>-1.3617021276595753E-2</v>
      </c>
      <c r="BA128" s="289">
        <f>BA131-BA130</f>
        <v>-2.7760504993404898E-2</v>
      </c>
      <c r="BB128" s="289">
        <f>BB131-BB130</f>
        <v>4.5172572783559392E-2</v>
      </c>
      <c r="BC128" s="289">
        <v>-1E-3</v>
      </c>
      <c r="BD128" s="289">
        <v>1E-3</v>
      </c>
      <c r="BE128" s="289">
        <v>1E-3</v>
      </c>
      <c r="BF128" s="166"/>
      <c r="BG128" s="289">
        <v>1.7999999999999999E-2</v>
      </c>
      <c r="BH128" s="166"/>
      <c r="BI128" s="289">
        <v>2.5999999999999999E-2</v>
      </c>
      <c r="BJ128" s="289">
        <v>0.04</v>
      </c>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c r="CS128" s="166"/>
      <c r="CT128" s="166"/>
      <c r="CU128" s="166"/>
      <c r="CV128" s="166"/>
      <c r="CW128" s="166"/>
      <c r="CX128" s="166"/>
      <c r="CY128" s="166"/>
      <c r="CZ128" s="166"/>
      <c r="DA128" s="166"/>
      <c r="DB128" s="166"/>
      <c r="DC128" s="166"/>
      <c r="DD128" s="166"/>
      <c r="DE128" s="166"/>
      <c r="DF128" s="166"/>
      <c r="DG128" s="166"/>
      <c r="DH128" s="166"/>
      <c r="DI128" s="166"/>
      <c r="DJ128" s="166"/>
      <c r="DK128" s="166"/>
      <c r="DL128" s="166"/>
      <c r="DM128" s="166"/>
      <c r="DN128" s="166"/>
      <c r="DP128" s="166"/>
      <c r="DQ128" s="166"/>
      <c r="DR128" s="166"/>
      <c r="DS128" s="166"/>
      <c r="DT128" s="166"/>
      <c r="DU128" s="166"/>
      <c r="DV128" s="166"/>
      <c r="DW128" s="166"/>
      <c r="DX128" s="166"/>
      <c r="DY128" s="166"/>
      <c r="DZ128" s="166"/>
      <c r="EA128" s="166"/>
      <c r="EB128" s="289">
        <v>0.122</v>
      </c>
      <c r="EC128" s="289">
        <v>0.104</v>
      </c>
      <c r="ED128" s="289">
        <v>9.4E-2</v>
      </c>
      <c r="EE128" s="289">
        <v>8.6999999999999994E-2</v>
      </c>
      <c r="EF128" s="289">
        <v>5.3999999999999999E-2</v>
      </c>
      <c r="EG128" s="166"/>
      <c r="EH128" s="223">
        <v>0.10100000000000001</v>
      </c>
      <c r="EI128" s="223">
        <v>1.0999999999999999E-2</v>
      </c>
      <c r="EJ128" s="223">
        <v>-2E-3</v>
      </c>
      <c r="EK128" s="166"/>
      <c r="EL128" s="289">
        <v>2.8000000000000001E-2</v>
      </c>
      <c r="EM128" s="166"/>
      <c r="EN128" s="166"/>
      <c r="EO128" s="166"/>
      <c r="EP128" s="166"/>
      <c r="EQ128" s="166"/>
      <c r="ER128" s="166"/>
      <c r="ES128" s="166"/>
      <c r="ET128" s="166"/>
      <c r="EU128" s="166"/>
    </row>
    <row r="129" spans="2:153" ht="12.75" customHeight="1" x14ac:dyDescent="0.2">
      <c r="B129" t="s">
        <v>155</v>
      </c>
      <c r="AE129" s="288"/>
      <c r="EB129" s="288">
        <v>1.2E-2</v>
      </c>
      <c r="EC129" s="288">
        <v>1.7000000000000001E-2</v>
      </c>
      <c r="ED129" s="288">
        <v>1.2999999999999999E-2</v>
      </c>
      <c r="EE129" s="288">
        <v>0.01</v>
      </c>
      <c r="EF129" s="288">
        <v>6.0000000000000001E-3</v>
      </c>
      <c r="EH129" s="81">
        <v>1.4E-2</v>
      </c>
      <c r="EI129" s="81">
        <v>8.0000000000000002E-3</v>
      </c>
      <c r="EJ129" s="81">
        <v>-1E-3</v>
      </c>
      <c r="EL129" s="288">
        <v>0</v>
      </c>
    </row>
    <row r="130" spans="2:153" ht="12.75" customHeight="1" x14ac:dyDescent="0.2">
      <c r="B130" t="s">
        <v>362</v>
      </c>
      <c r="AE130" s="288">
        <v>5.3999999999999999E-2</v>
      </c>
      <c r="AF130" s="288">
        <v>2.5999999999999999E-2</v>
      </c>
      <c r="AG130" s="288">
        <v>2.8000000000000001E-2</v>
      </c>
      <c r="AH130" s="288">
        <v>2.9000000000000001E-2</v>
      </c>
      <c r="AI130" s="288">
        <v>2.1999999999999999E-2</v>
      </c>
      <c r="AJ130" s="288">
        <v>0.02</v>
      </c>
      <c r="AK130" s="288">
        <v>8.0000000000000002E-3</v>
      </c>
      <c r="AL130" s="288">
        <v>-1.7999999999999999E-2</v>
      </c>
      <c r="AM130" s="288">
        <v>-2.3E-2</v>
      </c>
      <c r="AO130" s="288">
        <v>1.2E-2</v>
      </c>
      <c r="AR130" s="288">
        <v>2.4E-2</v>
      </c>
      <c r="AS130" s="288">
        <v>0.03</v>
      </c>
      <c r="AT130" s="288">
        <v>4.7E-2</v>
      </c>
      <c r="AU130" s="288">
        <v>5.0999999999999997E-2</v>
      </c>
      <c r="AV130" s="288">
        <v>5.6000000000000001E-2</v>
      </c>
      <c r="AW130" s="288">
        <v>3.1E-2</v>
      </c>
      <c r="AX130" s="288">
        <v>-3.9E-2</v>
      </c>
      <c r="AY130" s="288">
        <v>-0.06</v>
      </c>
      <c r="AZ130" s="288">
        <v>-0.06</v>
      </c>
      <c r="BA130" s="288">
        <v>-2.5000000000000001E-2</v>
      </c>
      <c r="BB130" s="288">
        <v>4.4999999999999998E-2</v>
      </c>
      <c r="BC130" s="288">
        <v>4.1000000000000002E-2</v>
      </c>
      <c r="BD130" s="288">
        <v>5.0000000000000001E-3</v>
      </c>
      <c r="BE130" s="288">
        <v>-8.0000000000000002E-3</v>
      </c>
      <c r="BG130" s="288">
        <v>1.7000000000000001E-2</v>
      </c>
      <c r="BI130" s="288">
        <v>4.2000000000000003E-2</v>
      </c>
      <c r="BJ130" s="288">
        <v>-1E-3</v>
      </c>
      <c r="DX130" s="288">
        <v>-0.04</v>
      </c>
      <c r="DY130" s="288">
        <v>-2.7558829638206016E-2</v>
      </c>
      <c r="DZ130" s="288">
        <v>-1.8336618644173741E-2</v>
      </c>
      <c r="EB130" s="288">
        <v>-2.5999999999999999E-2</v>
      </c>
      <c r="EC130" s="288">
        <v>2E-3</v>
      </c>
      <c r="ED130" s="288">
        <v>4.5999999999999999E-2</v>
      </c>
      <c r="EE130" s="288">
        <v>3.4000000000000002E-2</v>
      </c>
      <c r="EF130" s="288">
        <v>7.0000000000000001E-3</v>
      </c>
      <c r="EH130" s="288">
        <v>3.1E-2</v>
      </c>
      <c r="EI130" s="288">
        <v>2.4E-2</v>
      </c>
      <c r="EJ130" s="288">
        <v>-2.5999999999999999E-2</v>
      </c>
      <c r="EL130" s="288">
        <v>2.8000000000000001E-2</v>
      </c>
    </row>
    <row r="131" spans="2:153" ht="12.75" customHeight="1" x14ac:dyDescent="0.2">
      <c r="B131" t="s">
        <v>363</v>
      </c>
      <c r="AE131" s="288">
        <f t="shared" ref="AE131:AO131" si="877">AE80</f>
        <v>0.22011810221950734</v>
      </c>
      <c r="AF131" s="288">
        <f t="shared" si="877"/>
        <v>0.15098722415795596</v>
      </c>
      <c r="AG131" s="288">
        <f t="shared" si="877"/>
        <v>0.1051272240290797</v>
      </c>
      <c r="AH131" s="288">
        <f t="shared" si="877"/>
        <v>0.11967688120115905</v>
      </c>
      <c r="AI131" s="288">
        <f t="shared" si="877"/>
        <v>7.0761014686248291E-2</v>
      </c>
      <c r="AJ131" s="288">
        <f t="shared" si="877"/>
        <v>7.3158425832492435E-2</v>
      </c>
      <c r="AK131" s="288">
        <f t="shared" si="877"/>
        <v>6.552410629273786E-2</v>
      </c>
      <c r="AL131" s="288">
        <f t="shared" si="877"/>
        <v>-1.1135508155583396E-2</v>
      </c>
      <c r="AM131" s="288">
        <f t="shared" si="877"/>
        <v>1.2468827930174564E-2</v>
      </c>
      <c r="AN131" s="288">
        <f t="shared" si="877"/>
        <v>4.7092932142297483E-2</v>
      </c>
      <c r="AO131" s="288">
        <f t="shared" si="877"/>
        <v>7.9366368805848797E-2</v>
      </c>
      <c r="AR131" s="288">
        <f t="shared" ref="AR131:BE131" si="878">AR80</f>
        <v>0.13312878844570819</v>
      </c>
      <c r="AS131" s="288">
        <f t="shared" si="878"/>
        <v>0.12944983818770228</v>
      </c>
      <c r="AT131" s="288">
        <f t="shared" si="878"/>
        <v>0.16627686010817122</v>
      </c>
      <c r="AU131" s="288">
        <f t="shared" si="878"/>
        <v>7.3374428315768458E-2</v>
      </c>
      <c r="AV131" s="288">
        <f t="shared" si="878"/>
        <v>8.6382248051776411E-2</v>
      </c>
      <c r="AW131" s="288">
        <f t="shared" si="878"/>
        <v>6.0904911041513854E-2</v>
      </c>
      <c r="AX131" s="288">
        <f t="shared" si="878"/>
        <v>-4.8568026571410683E-2</v>
      </c>
      <c r="AY131" s="288">
        <f t="shared" si="878"/>
        <v>-7.2125478572310775E-2</v>
      </c>
      <c r="AZ131" s="288">
        <f t="shared" si="878"/>
        <v>-7.3617021276595751E-2</v>
      </c>
      <c r="BA131" s="288">
        <f t="shared" si="878"/>
        <v>-5.27605049934049E-2</v>
      </c>
      <c r="BB131" s="288">
        <f t="shared" si="878"/>
        <v>9.017257278355939E-2</v>
      </c>
      <c r="BC131" s="288">
        <f t="shared" si="878"/>
        <v>4.026354319180081E-2</v>
      </c>
      <c r="BD131" s="288">
        <f t="shared" si="878"/>
        <v>9.8431655620447867E-3</v>
      </c>
      <c r="BE131" s="288">
        <f t="shared" si="878"/>
        <v>-6.5645514223194867E-3</v>
      </c>
      <c r="BG131" s="288">
        <f>BG80</f>
        <v>8.5407203633804718E-2</v>
      </c>
      <c r="BI131" s="288">
        <f>BI80</f>
        <v>6.8281938325991165E-2</v>
      </c>
      <c r="BJ131" s="288">
        <f>BJ80</f>
        <v>0.20308105343901817</v>
      </c>
      <c r="EA131" s="288"/>
      <c r="EB131" s="288">
        <f>EB130+EB129+EB128</f>
        <v>0.108</v>
      </c>
      <c r="EC131" s="288">
        <f>EC130+EC129+EC128</f>
        <v>0.123</v>
      </c>
      <c r="ED131" s="288">
        <f>ED130+ED129+ED128</f>
        <v>0.153</v>
      </c>
      <c r="EE131" s="288">
        <f>EE130+EE129+EE128</f>
        <v>0.13100000000000001</v>
      </c>
      <c r="EF131" s="288">
        <f>EF130+EF129+EF128</f>
        <v>6.7000000000000004E-2</v>
      </c>
      <c r="EH131" s="288">
        <f>EH130+EH129+EH128</f>
        <v>0.14600000000000002</v>
      </c>
      <c r="EI131" s="288">
        <f>EI130+EI129+EI128</f>
        <v>4.2999999999999997E-2</v>
      </c>
      <c r="EJ131" s="288">
        <f>EJ130+EJ129+EJ128</f>
        <v>-2.8999999999999998E-2</v>
      </c>
      <c r="EL131" s="288">
        <f>EL130+EL129+EL128</f>
        <v>5.6000000000000001E-2</v>
      </c>
    </row>
    <row r="133" spans="2:153" ht="12.75" customHeight="1" x14ac:dyDescent="0.2">
      <c r="B133" t="s">
        <v>364</v>
      </c>
      <c r="K133" s="247">
        <v>3863</v>
      </c>
      <c r="L133" s="247">
        <v>4035</v>
      </c>
      <c r="M133" s="247">
        <v>4137.3999999999996</v>
      </c>
      <c r="N133" s="247">
        <v>3884.4</v>
      </c>
      <c r="O133" s="247">
        <v>4324</v>
      </c>
      <c r="P133" s="247">
        <v>4545</v>
      </c>
      <c r="Q133" s="247">
        <v>4463</v>
      </c>
      <c r="R133" s="247">
        <v>4378.5</v>
      </c>
      <c r="S133" s="247"/>
      <c r="T133" s="247"/>
      <c r="U133" s="247"/>
      <c r="V133" s="247"/>
      <c r="W133" s="247">
        <v>5521</v>
      </c>
      <c r="X133" s="247">
        <v>5599</v>
      </c>
      <c r="Y133" s="247">
        <v>5589</v>
      </c>
      <c r="Z133" s="247">
        <v>5746</v>
      </c>
      <c r="AA133" s="247">
        <v>6010.6</v>
      </c>
      <c r="AB133" s="247">
        <v>6112</v>
      </c>
      <c r="AC133" s="247">
        <v>6414.399082150001</v>
      </c>
      <c r="AD133" s="247">
        <v>6735.9594690499998</v>
      </c>
      <c r="AE133" s="247">
        <v>6918</v>
      </c>
      <c r="AF133" s="247">
        <v>6667.8836656399999</v>
      </c>
      <c r="AG133" s="247">
        <v>6790</v>
      </c>
      <c r="AH133" s="247">
        <v>7394</v>
      </c>
      <c r="AI133" s="247">
        <v>7258</v>
      </c>
      <c r="AJ133" s="247">
        <v>7064.5647360624998</v>
      </c>
      <c r="AK133" s="247">
        <v>6967</v>
      </c>
      <c r="AL133" s="247">
        <v>7087.0275146566255</v>
      </c>
      <c r="AM133" s="243">
        <v>7371</v>
      </c>
      <c r="AN133" s="243">
        <v>7375</v>
      </c>
      <c r="AO133" s="243">
        <v>7488</v>
      </c>
      <c r="AV133" s="243">
        <v>8210</v>
      </c>
      <c r="AY133" s="243">
        <v>8052</v>
      </c>
      <c r="AZ133" s="243">
        <v>7656</v>
      </c>
      <c r="BD133" s="243">
        <v>7438</v>
      </c>
      <c r="DZ133" s="247">
        <v>15919.8</v>
      </c>
      <c r="EA133" s="247">
        <v>17710.5</v>
      </c>
      <c r="EB133" s="247">
        <v>19825</v>
      </c>
      <c r="EC133" s="247">
        <v>22455</v>
      </c>
      <c r="ED133" s="247">
        <v>25273</v>
      </c>
      <c r="EE133" s="247">
        <v>27770</v>
      </c>
      <c r="EF133" s="247">
        <v>28376</v>
      </c>
    </row>
    <row r="134" spans="2:153" ht="12.75" customHeight="1" x14ac:dyDescent="0.2">
      <c r="B134" t="s">
        <v>1212</v>
      </c>
      <c r="K134" s="247"/>
      <c r="L134" s="247"/>
      <c r="M134" s="247"/>
      <c r="N134" s="247"/>
      <c r="O134" s="247"/>
      <c r="P134" s="247"/>
      <c r="Q134" s="247"/>
      <c r="R134" s="247"/>
      <c r="S134" s="247"/>
      <c r="T134" s="247"/>
      <c r="U134" s="247"/>
      <c r="V134" s="247"/>
      <c r="W134" s="247"/>
      <c r="X134" s="247"/>
      <c r="Y134" s="247"/>
      <c r="Z134" s="247"/>
      <c r="AA134" s="247"/>
      <c r="AB134" s="247"/>
      <c r="AC134" s="247"/>
      <c r="AD134" s="247"/>
      <c r="AE134" s="247"/>
      <c r="AF134" s="247"/>
      <c r="AG134" s="247"/>
      <c r="AH134" s="247"/>
      <c r="AI134" s="247"/>
      <c r="AJ134" s="247"/>
      <c r="AK134" s="247"/>
      <c r="AL134" s="247"/>
      <c r="AM134" s="243"/>
      <c r="AN134" s="243"/>
      <c r="AO134" s="243"/>
      <c r="AV134" s="243">
        <v>4547</v>
      </c>
      <c r="AY134" s="243"/>
      <c r="AZ134" s="243">
        <v>3972</v>
      </c>
      <c r="BD134" s="243">
        <v>3832</v>
      </c>
      <c r="DZ134" s="247"/>
      <c r="EA134" s="247"/>
      <c r="EB134" s="247"/>
      <c r="EC134" s="247"/>
      <c r="ED134" s="247"/>
      <c r="EE134" s="247"/>
      <c r="EF134" s="247"/>
    </row>
    <row r="135" spans="2:153" ht="12.75" customHeight="1" x14ac:dyDescent="0.2">
      <c r="B135" t="s">
        <v>1213</v>
      </c>
      <c r="K135" s="247"/>
      <c r="L135" s="247"/>
      <c r="M135" s="247"/>
      <c r="N135" s="247"/>
      <c r="O135" s="247"/>
      <c r="P135" s="247"/>
      <c r="Q135" s="247"/>
      <c r="R135" s="247"/>
      <c r="S135" s="247"/>
      <c r="T135" s="247"/>
      <c r="U135" s="247"/>
      <c r="V135" s="247"/>
      <c r="W135" s="247"/>
      <c r="X135" s="247"/>
      <c r="Y135" s="247"/>
      <c r="Z135" s="247"/>
      <c r="AA135" s="247"/>
      <c r="AB135" s="247"/>
      <c r="AC135" s="247"/>
      <c r="AD135" s="247"/>
      <c r="AE135" s="247"/>
      <c r="AF135" s="247"/>
      <c r="AG135" s="247"/>
      <c r="AH135" s="247"/>
      <c r="AI135" s="247"/>
      <c r="AJ135" s="247"/>
      <c r="AK135" s="247"/>
      <c r="AL135" s="247"/>
      <c r="AM135" s="243"/>
      <c r="AN135" s="243"/>
      <c r="AO135" s="243"/>
      <c r="AV135" s="243">
        <v>1280</v>
      </c>
      <c r="AY135" s="243"/>
      <c r="AZ135" s="243">
        <v>1215</v>
      </c>
      <c r="BD135" s="243">
        <v>1375</v>
      </c>
      <c r="DZ135" s="247"/>
      <c r="EA135" s="247"/>
      <c r="EB135" s="247"/>
      <c r="EC135" s="247"/>
      <c r="ED135" s="247"/>
      <c r="EE135" s="247"/>
      <c r="EF135" s="247"/>
    </row>
    <row r="136" spans="2:153" ht="12.75" customHeight="1" x14ac:dyDescent="0.2">
      <c r="B136" t="s">
        <v>1214</v>
      </c>
      <c r="K136" s="247"/>
      <c r="L136" s="247"/>
      <c r="M136" s="247"/>
      <c r="N136" s="247"/>
      <c r="O136" s="247"/>
      <c r="P136" s="247"/>
      <c r="Q136" s="247"/>
      <c r="R136" s="247"/>
      <c r="S136" s="247"/>
      <c r="T136" s="247"/>
      <c r="U136" s="247"/>
      <c r="V136" s="247"/>
      <c r="W136" s="247"/>
      <c r="X136" s="247"/>
      <c r="Y136" s="247"/>
      <c r="Z136" s="247"/>
      <c r="AA136" s="247"/>
      <c r="AB136" s="247"/>
      <c r="AC136" s="247"/>
      <c r="AD136" s="247"/>
      <c r="AE136" s="247"/>
      <c r="AF136" s="247"/>
      <c r="AG136" s="247"/>
      <c r="AH136" s="247"/>
      <c r="AI136" s="247"/>
      <c r="AJ136" s="247"/>
      <c r="AK136" s="247"/>
      <c r="AL136" s="247"/>
      <c r="AM136" s="243"/>
      <c r="AN136" s="243"/>
      <c r="AO136" s="243"/>
      <c r="AV136" s="243">
        <v>2413</v>
      </c>
      <c r="AY136" s="243"/>
      <c r="AZ136" s="243">
        <v>2396</v>
      </c>
      <c r="BD136" s="243">
        <v>2685</v>
      </c>
      <c r="DZ136" s="247"/>
      <c r="EA136" s="247"/>
      <c r="EB136" s="247"/>
      <c r="EC136" s="247"/>
      <c r="ED136" s="247"/>
      <c r="EE136" s="247"/>
      <c r="EF136" s="247"/>
    </row>
    <row r="137" spans="2:153" ht="12.75" customHeight="1" x14ac:dyDescent="0.2">
      <c r="B137" t="s">
        <v>365</v>
      </c>
      <c r="K137" s="247">
        <v>2996</v>
      </c>
      <c r="L137" s="247">
        <v>3064</v>
      </c>
      <c r="M137" s="247">
        <v>2948</v>
      </c>
      <c r="N137" s="247">
        <v>3080</v>
      </c>
      <c r="O137" s="247">
        <v>3116</v>
      </c>
      <c r="P137" s="247">
        <v>3125</v>
      </c>
      <c r="Q137" s="247">
        <v>2975</v>
      </c>
      <c r="R137" s="247">
        <v>2919.5</v>
      </c>
      <c r="S137" s="247"/>
      <c r="T137" s="247"/>
      <c r="U137" s="247"/>
      <c r="V137" s="247"/>
      <c r="W137" s="247">
        <v>3222</v>
      </c>
      <c r="X137" s="247">
        <v>3474</v>
      </c>
      <c r="Y137" s="247">
        <v>3490</v>
      </c>
      <c r="Z137" s="247">
        <v>3657</v>
      </c>
      <c r="AA137" s="247">
        <v>3809.6</v>
      </c>
      <c r="AB137" s="247">
        <v>4220</v>
      </c>
      <c r="AC137" s="247">
        <v>4039.55</v>
      </c>
      <c r="AD137" s="247">
        <v>4516.3999999999996</v>
      </c>
      <c r="AE137" s="247">
        <v>4641</v>
      </c>
      <c r="AF137" s="247">
        <v>4816.3999999999996</v>
      </c>
      <c r="AG137" s="247">
        <v>4763</v>
      </c>
      <c r="AH137" s="247">
        <v>5358</v>
      </c>
      <c r="AI137" s="247">
        <v>5574</v>
      </c>
      <c r="AJ137" s="247">
        <v>5697</v>
      </c>
      <c r="AK137" s="247">
        <v>5343</v>
      </c>
      <c r="AL137" s="247">
        <v>5523</v>
      </c>
      <c r="AM137" s="243">
        <v>5621</v>
      </c>
      <c r="AN137" s="243">
        <v>5988</v>
      </c>
      <c r="AO137" s="243">
        <v>5799</v>
      </c>
      <c r="AV137" s="243">
        <v>8240</v>
      </c>
      <c r="AY137" s="243">
        <v>6974</v>
      </c>
      <c r="AZ137" s="243">
        <v>7583</v>
      </c>
      <c r="BD137" s="243">
        <v>7892</v>
      </c>
      <c r="DZ137" s="247">
        <v>12088</v>
      </c>
      <c r="EA137" s="247">
        <v>12135.5</v>
      </c>
      <c r="EB137" s="247">
        <v>12492</v>
      </c>
      <c r="EC137" s="247">
        <v>13843</v>
      </c>
      <c r="ED137" s="247">
        <v>16586</v>
      </c>
      <c r="EE137" s="247">
        <v>19578</v>
      </c>
      <c r="EF137" s="247">
        <v>22137</v>
      </c>
    </row>
    <row r="138" spans="2:153" ht="12.75" customHeight="1" x14ac:dyDescent="0.2">
      <c r="B138" t="s">
        <v>366</v>
      </c>
      <c r="AK138" s="288"/>
      <c r="AM138" s="288">
        <v>6.0999999999999999E-2</v>
      </c>
      <c r="AO138" s="288">
        <v>6.7000000000000004E-2</v>
      </c>
      <c r="AV138" s="288">
        <v>3.9E-2</v>
      </c>
      <c r="AY138" s="288">
        <v>0.03</v>
      </c>
      <c r="AZ138" s="288">
        <v>3.9E-2</v>
      </c>
      <c r="BB138" s="288">
        <v>6.4000000000000001E-2</v>
      </c>
      <c r="BD138" s="288">
        <v>0.03</v>
      </c>
      <c r="BH138" s="288"/>
      <c r="BI138" s="288">
        <v>8.3000000000000004E-2</v>
      </c>
      <c r="EJ138" s="288">
        <v>3.9E-2</v>
      </c>
    </row>
    <row r="139" spans="2:153" ht="12.75" customHeight="1" x14ac:dyDescent="0.2">
      <c r="B139" t="s">
        <v>367</v>
      </c>
      <c r="AK139" s="288"/>
      <c r="AM139" s="288">
        <v>-5.2999999999999999E-2</v>
      </c>
      <c r="AO139" s="288">
        <v>1.2E-2</v>
      </c>
      <c r="AV139" s="288">
        <v>-0.11899999999999999</v>
      </c>
      <c r="AY139" s="288">
        <v>-0.126</v>
      </c>
      <c r="AZ139" s="288">
        <v>-0.11899999999999999</v>
      </c>
      <c r="BB139" s="288">
        <v>9.1999999999999998E-2</v>
      </c>
      <c r="BD139" s="288">
        <v>1.0999999999999999E-2</v>
      </c>
      <c r="BH139" s="288"/>
      <c r="BI139" s="288">
        <v>8.1000000000000003E-2</v>
      </c>
      <c r="EJ139" s="288">
        <v>-5.2999999999999999E-2</v>
      </c>
    </row>
    <row r="141" spans="2:153" ht="12.75" customHeight="1" x14ac:dyDescent="0.2">
      <c r="B141" t="s">
        <v>368</v>
      </c>
      <c r="AM141" s="76">
        <v>116000</v>
      </c>
      <c r="AO141" s="76">
        <v>115700</v>
      </c>
      <c r="AZ141" s="243">
        <v>117000</v>
      </c>
      <c r="CX141" s="243">
        <v>144300</v>
      </c>
      <c r="CY141" s="243"/>
      <c r="CZ141" s="243"/>
      <c r="DA141" s="243"/>
      <c r="DB141" s="243">
        <v>155800</v>
      </c>
      <c r="EF141" s="76">
        <v>115600</v>
      </c>
      <c r="EV141" s="79">
        <f>CX141</f>
        <v>144300</v>
      </c>
      <c r="EW141" s="79">
        <f>DB141</f>
        <v>155800</v>
      </c>
    </row>
    <row r="142" spans="2:153" ht="12.75" customHeight="1" x14ac:dyDescent="0.2">
      <c r="AZ142" s="243"/>
      <c r="CX142" s="243"/>
      <c r="CY142" s="243"/>
      <c r="CZ142" s="243"/>
      <c r="DA142" s="243"/>
      <c r="DB142" s="294">
        <f>DB141/CX141-1</f>
        <v>7.9695079695079718E-2</v>
      </c>
    </row>
    <row r="143" spans="2:153" ht="12.75" customHeight="1" x14ac:dyDescent="0.2">
      <c r="B143" t="s">
        <v>369</v>
      </c>
      <c r="EG143" s="243">
        <v>14200</v>
      </c>
      <c r="EH143" s="243">
        <v>15022</v>
      </c>
      <c r="EI143" s="243">
        <v>14972</v>
      </c>
      <c r="EJ143" s="243">
        <v>16571</v>
      </c>
    </row>
    <row r="144" spans="2:153" ht="12.75" customHeight="1" x14ac:dyDescent="0.2">
      <c r="B144" t="s">
        <v>370</v>
      </c>
      <c r="EG144" s="243">
        <v>11600</v>
      </c>
      <c r="EH144" s="243">
        <f>+EH143-2942</f>
        <v>12080</v>
      </c>
      <c r="EI144" s="243">
        <f>+EI143-3066</f>
        <v>11906</v>
      </c>
      <c r="EJ144" s="243">
        <f>+EJ143-2365</f>
        <v>14206</v>
      </c>
    </row>
    <row r="145" spans="2:166" ht="12.75" customHeight="1" x14ac:dyDescent="0.2">
      <c r="B145" t="s">
        <v>1234</v>
      </c>
      <c r="AP145" s="243">
        <f t="shared" ref="AP145:AY145" si="879">+AP149-AP161-AP168</f>
        <v>-2493</v>
      </c>
      <c r="AQ145" s="243">
        <f t="shared" si="879"/>
        <v>-1489</v>
      </c>
      <c r="AR145" s="243">
        <f t="shared" si="879"/>
        <v>-495</v>
      </c>
      <c r="AS145" s="243">
        <f t="shared" si="879"/>
        <v>431</v>
      </c>
      <c r="AT145" s="243">
        <f t="shared" si="879"/>
        <v>-220</v>
      </c>
      <c r="AU145" s="243">
        <f t="shared" si="879"/>
        <v>-269</v>
      </c>
      <c r="AV145" s="243">
        <f t="shared" si="879"/>
        <v>-865</v>
      </c>
      <c r="AW145" s="243">
        <f t="shared" si="879"/>
        <v>161</v>
      </c>
      <c r="AX145" s="243">
        <f t="shared" si="879"/>
        <v>961</v>
      </c>
      <c r="AY145" s="243">
        <f t="shared" si="879"/>
        <v>-124</v>
      </c>
      <c r="AZ145" s="243">
        <f t="shared" ref="AZ145:BF145" si="880">+AZ149-AZ161-AZ168</f>
        <v>1120</v>
      </c>
      <c r="BA145" s="243">
        <f t="shared" si="880"/>
        <v>2756</v>
      </c>
      <c r="BB145" s="243">
        <f t="shared" si="880"/>
        <v>4884</v>
      </c>
      <c r="BC145" s="243">
        <f t="shared" si="880"/>
        <v>5907</v>
      </c>
      <c r="BD145" s="243">
        <f t="shared" si="880"/>
        <v>7249</v>
      </c>
      <c r="BE145" s="243">
        <f t="shared" si="880"/>
        <v>10101</v>
      </c>
      <c r="BF145" s="243">
        <f t="shared" si="880"/>
        <v>10885</v>
      </c>
      <c r="BG145" s="243">
        <f t="shared" ref="BG145:BH145" si="881">+BG149-BG161-BG168</f>
        <v>9037</v>
      </c>
      <c r="BH145" s="243">
        <f t="shared" si="881"/>
        <v>10956</v>
      </c>
      <c r="BI145" s="243">
        <f t="shared" ref="BI145:BP145" si="882">+BI149-BI161-BI168</f>
        <v>12570</v>
      </c>
      <c r="BJ145" s="243">
        <f t="shared" si="882"/>
        <v>12634</v>
      </c>
      <c r="BK145" s="243">
        <f t="shared" si="882"/>
        <v>14398</v>
      </c>
      <c r="BL145" s="243">
        <f>+BL149-BL161-BL168</f>
        <v>-650</v>
      </c>
      <c r="BM145" s="243">
        <f t="shared" si="882"/>
        <v>2920</v>
      </c>
      <c r="BN145" s="243">
        <f t="shared" si="882"/>
        <v>4924</v>
      </c>
      <c r="BO145" s="243">
        <f t="shared" si="882"/>
        <v>5776</v>
      </c>
      <c r="BP145" s="243">
        <f t="shared" si="882"/>
        <v>10147</v>
      </c>
      <c r="BQ145" s="243">
        <f t="shared" ref="BQ145:BR145" si="883">+BQ149-BQ161-BQ168</f>
        <v>10121</v>
      </c>
      <c r="BR145" s="243">
        <f t="shared" si="883"/>
        <v>11026</v>
      </c>
      <c r="EJ145" s="243">
        <f>EJ149-EJ161-EJ168</f>
        <v>4884</v>
      </c>
    </row>
    <row r="146" spans="2:166" ht="12.75" customHeight="1" x14ac:dyDescent="0.2">
      <c r="B146" t="s">
        <v>383</v>
      </c>
      <c r="AM146" s="243"/>
      <c r="AN146" s="243"/>
      <c r="AO146" s="243"/>
      <c r="AP146" s="243">
        <f t="shared" ref="AP146:BR146" si="884">(AP150/AP64)*91.25</f>
        <v>58.103347463821081</v>
      </c>
      <c r="AQ146" s="243">
        <f t="shared" si="884"/>
        <v>56.206419433949755</v>
      </c>
      <c r="AR146" s="243">
        <f t="shared" si="884"/>
        <v>57.068914278166687</v>
      </c>
      <c r="AS146" s="243">
        <f t="shared" si="884"/>
        <v>57.059372292929972</v>
      </c>
      <c r="AT146" s="243">
        <f t="shared" si="884"/>
        <v>54.005452152660276</v>
      </c>
      <c r="AU146" s="243">
        <f t="shared" si="884"/>
        <v>58.511794491787086</v>
      </c>
      <c r="AV146" s="243">
        <f t="shared" si="884"/>
        <v>58.461018237082065</v>
      </c>
      <c r="AW146" s="243">
        <f t="shared" si="884"/>
        <v>58.208341184598957</v>
      </c>
      <c r="AX146" s="243">
        <f t="shared" si="884"/>
        <v>58.415146225793706</v>
      </c>
      <c r="AY146" s="243">
        <f t="shared" si="884"/>
        <v>59.701766937308669</v>
      </c>
      <c r="AZ146" s="243">
        <f t="shared" si="884"/>
        <v>60.675651289454684</v>
      </c>
      <c r="BA146" s="243">
        <f t="shared" si="884"/>
        <v>62.194731781712086</v>
      </c>
      <c r="BB146" s="243">
        <f t="shared" si="884"/>
        <v>53.180925623829374</v>
      </c>
      <c r="BC146" s="243">
        <f t="shared" si="884"/>
        <v>58.482662657539507</v>
      </c>
      <c r="BD146" s="243">
        <f t="shared" si="884"/>
        <v>57.09573396581974</v>
      </c>
      <c r="BE146" s="243">
        <f t="shared" si="884"/>
        <v>62.672707248698437</v>
      </c>
      <c r="BF146" s="243">
        <f t="shared" si="884"/>
        <v>57.010834824852978</v>
      </c>
      <c r="BG146" s="243">
        <f t="shared" si="884"/>
        <v>58.414844394671704</v>
      </c>
      <c r="BH146" s="243">
        <f t="shared" si="884"/>
        <v>60.378833524130869</v>
      </c>
      <c r="BI146" s="243">
        <f t="shared" si="884"/>
        <v>60.160574820368637</v>
      </c>
      <c r="BJ146" s="243">
        <f t="shared" si="884"/>
        <v>51.29994421125339</v>
      </c>
      <c r="BK146" s="243">
        <f t="shared" si="884"/>
        <v>62.092291963566517</v>
      </c>
      <c r="BL146" s="243">
        <f t="shared" si="884"/>
        <v>60.328401299169975</v>
      </c>
      <c r="BM146" s="243">
        <f t="shared" si="884"/>
        <v>59.317011808504446</v>
      </c>
      <c r="BN146" s="243">
        <f t="shared" si="884"/>
        <v>58.003836209319317</v>
      </c>
      <c r="BO146" s="243">
        <f t="shared" si="884"/>
        <v>59.878262480054708</v>
      </c>
      <c r="BP146" s="243">
        <f t="shared" si="884"/>
        <v>59.096498076172416</v>
      </c>
      <c r="BQ146" s="243">
        <f t="shared" si="884"/>
        <v>62.218025398265212</v>
      </c>
      <c r="BR146" s="243">
        <f t="shared" si="884"/>
        <v>57.927009376185573</v>
      </c>
      <c r="EF146" s="243"/>
      <c r="EG146" s="243"/>
      <c r="EJ146" s="243">
        <f>EJ150/EJ64*365</f>
        <v>56.881432056480932</v>
      </c>
    </row>
    <row r="147" spans="2:166" ht="12.75" customHeight="1" x14ac:dyDescent="0.2">
      <c r="AM147" s="243"/>
      <c r="AN147" s="243"/>
      <c r="AO147" s="243"/>
      <c r="AP147" s="243"/>
      <c r="AQ147" s="243"/>
      <c r="AR147" s="243"/>
      <c r="AS147" s="243"/>
      <c r="AT147" s="243"/>
      <c r="AU147" s="243"/>
      <c r="AV147" s="243"/>
      <c r="AW147" s="243"/>
      <c r="AX147" s="243"/>
      <c r="AY147" s="243"/>
      <c r="AZ147" s="243"/>
      <c r="BA147" s="243"/>
      <c r="BB147" s="243"/>
      <c r="BC147" s="243"/>
      <c r="BD147" s="243"/>
      <c r="BE147" s="243"/>
      <c r="BF147" s="243"/>
      <c r="BG147" s="243"/>
      <c r="BH147" s="243"/>
      <c r="BI147" s="243"/>
      <c r="BJ147" s="243"/>
      <c r="BK147" s="243"/>
      <c r="BL147" s="243"/>
      <c r="BM147" s="243"/>
      <c r="BN147" s="243"/>
      <c r="BO147" s="243"/>
      <c r="BP147" s="243"/>
      <c r="BQ147" s="243"/>
      <c r="BR147" s="243"/>
      <c r="EF147" s="243"/>
      <c r="EG147" s="243"/>
      <c r="EJ147" s="243"/>
    </row>
    <row r="148" spans="2:166" ht="12.75" customHeight="1" x14ac:dyDescent="0.2">
      <c r="B148" t="s">
        <v>1234</v>
      </c>
      <c r="AM148" s="243"/>
      <c r="AN148" s="243"/>
      <c r="AO148" s="243"/>
      <c r="AP148" s="243"/>
      <c r="AQ148" s="243"/>
      <c r="AR148" s="243"/>
      <c r="AS148" s="243"/>
      <c r="AT148" s="243"/>
      <c r="AU148" s="243"/>
      <c r="AV148" s="243"/>
      <c r="AW148" s="243"/>
      <c r="AX148" s="243"/>
      <c r="AY148" s="243"/>
      <c r="AZ148" s="243"/>
      <c r="BA148" s="243"/>
      <c r="BB148" s="243"/>
      <c r="BC148" s="243"/>
      <c r="BD148" s="243"/>
      <c r="BE148" s="243"/>
      <c r="BF148" s="243"/>
      <c r="BG148" s="243"/>
      <c r="BH148" s="243"/>
      <c r="BI148" s="243"/>
      <c r="BJ148" s="243"/>
      <c r="BK148" s="243"/>
      <c r="BL148" s="243"/>
      <c r="BM148" s="243"/>
      <c r="BN148" s="243"/>
      <c r="BO148" s="243"/>
      <c r="BP148" s="243"/>
      <c r="BQ148" s="243"/>
      <c r="BR148" s="243"/>
      <c r="CX148" s="243">
        <f t="shared" ref="CX148:DN148" si="885">+CX149-CX161-CX168</f>
        <v>-2143</v>
      </c>
      <c r="CY148" s="243">
        <f t="shared" si="885"/>
        <v>-2760</v>
      </c>
      <c r="CZ148" s="243">
        <f t="shared" si="885"/>
        <v>-29</v>
      </c>
      <c r="DA148" s="243">
        <f t="shared" si="885"/>
        <v>2052</v>
      </c>
      <c r="DB148" s="243">
        <f t="shared" si="885"/>
        <v>-16140</v>
      </c>
      <c r="DC148" s="243">
        <f t="shared" si="885"/>
        <v>-20599</v>
      </c>
      <c r="DD148" s="243">
        <f t="shared" si="885"/>
        <v>-17097</v>
      </c>
      <c r="DE148" s="243">
        <f t="shared" si="885"/>
        <v>-6410</v>
      </c>
      <c r="DF148" s="243">
        <f t="shared" si="885"/>
        <v>-6405</v>
      </c>
      <c r="DG148" s="243">
        <f>+DG149-DG161-DG168</f>
        <v>-7414</v>
      </c>
      <c r="DH148" s="243">
        <f>+DH149-DH161-DH168</f>
        <v>-16016</v>
      </c>
      <c r="DI148" s="243">
        <f>+DI149-DI161-DI168</f>
        <v>-15454</v>
      </c>
      <c r="DJ148" s="243">
        <f t="shared" si="885"/>
        <v>-12112</v>
      </c>
      <c r="DK148" s="243">
        <f t="shared" si="885"/>
        <v>0</v>
      </c>
      <c r="DL148" s="243">
        <f t="shared" si="885"/>
        <v>0</v>
      </c>
      <c r="DM148" s="243">
        <f t="shared" si="885"/>
        <v>0</v>
      </c>
      <c r="DN148" s="243">
        <f t="shared" si="885"/>
        <v>0</v>
      </c>
      <c r="EF148" s="243"/>
      <c r="EG148" s="243"/>
      <c r="EJ148" s="243"/>
      <c r="EW148" s="79">
        <f>DB148</f>
        <v>-16140</v>
      </c>
      <c r="EX148" s="79">
        <f>+DF148</f>
        <v>-6405</v>
      </c>
      <c r="EY148" s="79">
        <f>+EX148+EY75</f>
        <v>23834.162331562504</v>
      </c>
      <c r="EZ148" s="79">
        <f t="shared" ref="EZ148:FJ148" si="886">+EY148+EZ75</f>
        <v>49574.201646046407</v>
      </c>
      <c r="FA148" s="79">
        <f t="shared" si="886"/>
        <v>73648.616011633421</v>
      </c>
      <c r="FB148" s="79">
        <f t="shared" si="886"/>
        <v>98212.516422450557</v>
      </c>
      <c r="FC148" s="79">
        <f t="shared" si="886"/>
        <v>123798.51230176455</v>
      </c>
      <c r="FD148" s="79">
        <f t="shared" si="886"/>
        <v>149671.20096079592</v>
      </c>
      <c r="FE148" s="79">
        <f t="shared" si="886"/>
        <v>176078.10724385892</v>
      </c>
      <c r="FF148" s="79">
        <f t="shared" si="886"/>
        <v>201316.56219867326</v>
      </c>
      <c r="FG148" s="79">
        <f t="shared" si="886"/>
        <v>226914.01797736212</v>
      </c>
      <c r="FH148" s="79">
        <f t="shared" si="886"/>
        <v>253093.25512704888</v>
      </c>
      <c r="FI148" s="79">
        <f t="shared" si="886"/>
        <v>279932.89054266945</v>
      </c>
      <c r="FJ148" s="79">
        <f t="shared" si="886"/>
        <v>307489.66494464059</v>
      </c>
    </row>
    <row r="149" spans="2:166" ht="12.75" customHeight="1" x14ac:dyDescent="0.2">
      <c r="B149" t="s">
        <v>371</v>
      </c>
      <c r="AM149" s="243">
        <f>16822+363+20</f>
        <v>17205</v>
      </c>
      <c r="AN149" s="243"/>
      <c r="AO149" s="243"/>
      <c r="AP149" s="243">
        <f>4083+1+16</f>
        <v>4100</v>
      </c>
      <c r="AQ149" s="243">
        <f>5175+16+14</f>
        <v>5205</v>
      </c>
      <c r="AR149" s="243">
        <f>5571+400+17</f>
        <v>5988</v>
      </c>
      <c r="AS149" s="243">
        <f>6640+1680+8</f>
        <v>8328</v>
      </c>
      <c r="AT149" s="243">
        <f>7770+1545+2</f>
        <v>9317</v>
      </c>
      <c r="AU149" s="243">
        <f>10539+605+3</f>
        <v>11147</v>
      </c>
      <c r="AV149" s="243">
        <f>12646+412+3</f>
        <v>13061</v>
      </c>
      <c r="AW149" s="243">
        <f>14018+781+2</f>
        <v>14801</v>
      </c>
      <c r="AX149" s="243">
        <f>10768+2041+4</f>
        <v>12813</v>
      </c>
      <c r="AY149" s="243">
        <f>12589+1344+17</f>
        <v>13950</v>
      </c>
      <c r="AZ149" s="243">
        <f>11686+3030+18</f>
        <v>14734</v>
      </c>
      <c r="BA149" s="243">
        <f>11856+2481+19</f>
        <v>14356</v>
      </c>
      <c r="BB149" s="243">
        <f>15810+3615</f>
        <v>19425</v>
      </c>
      <c r="BC149" s="243">
        <f>13743+4267</f>
        <v>18010</v>
      </c>
      <c r="BD149" s="243">
        <f>12713+6188</f>
        <v>18901</v>
      </c>
      <c r="BE149" s="243">
        <f>14338+7788</f>
        <v>22126</v>
      </c>
      <c r="BF149" s="243">
        <f>19355+8303</f>
        <v>27658</v>
      </c>
      <c r="BG149" s="243">
        <f>22356+4511</f>
        <v>26867</v>
      </c>
      <c r="BH149" s="243">
        <f>14974+14708</f>
        <v>29682</v>
      </c>
      <c r="BI149" s="243">
        <f>15617+15310</f>
        <v>30927</v>
      </c>
      <c r="BJ149" s="243">
        <f>24542+7719</f>
        <v>32261</v>
      </c>
      <c r="BK149" s="243">
        <f>30267+3580</f>
        <v>33847</v>
      </c>
      <c r="BL149" s="243">
        <f>14042+2873</f>
        <v>16915</v>
      </c>
      <c r="BM149" s="243">
        <f>15486+4285</f>
        <v>19771</v>
      </c>
      <c r="BN149" s="243">
        <f>14911+6178</f>
        <v>21089</v>
      </c>
      <c r="BO149" s="243">
        <f>14855+6813</f>
        <v>21668</v>
      </c>
      <c r="BP149" s="243">
        <f>17307+7822</f>
        <v>25129</v>
      </c>
      <c r="BQ149" s="243">
        <f>17204+8024</f>
        <v>25228</v>
      </c>
      <c r="BR149" s="243">
        <f>20927+8279</f>
        <v>29206</v>
      </c>
      <c r="CX149" s="243">
        <f>14487+17121</f>
        <v>31608</v>
      </c>
      <c r="CY149" s="243">
        <f>10463+19925</f>
        <v>30388</v>
      </c>
      <c r="CZ149" s="243">
        <f>10983+21585</f>
        <v>32568</v>
      </c>
      <c r="DA149" s="243">
        <f>11355+22724</f>
        <v>34079</v>
      </c>
      <c r="DB149" s="243">
        <f>14127+9392</f>
        <v>23519</v>
      </c>
      <c r="DC149" s="243">
        <f>19170+7695+5443</f>
        <v>32308</v>
      </c>
      <c r="DD149" s="243">
        <f>21183+7322</f>
        <v>28505</v>
      </c>
      <c r="DE149" s="243">
        <f>19728+3783</f>
        <v>23511</v>
      </c>
      <c r="DF149" s="243">
        <f>21859+1068</f>
        <v>22927</v>
      </c>
      <c r="DG149" s="243">
        <f>25473+745</f>
        <v>26218</v>
      </c>
      <c r="DH149" s="243">
        <f>24878+597</f>
        <v>25475</v>
      </c>
      <c r="DI149" s="243">
        <f>19980+317</f>
        <v>20297</v>
      </c>
      <c r="DJ149" s="243">
        <f>24105+417</f>
        <v>24522</v>
      </c>
      <c r="EF149" s="243">
        <f>16055+83</f>
        <v>16138</v>
      </c>
      <c r="EG149" s="243">
        <f>4083+1+16</f>
        <v>4100</v>
      </c>
      <c r="EH149" s="243">
        <v>150</v>
      </c>
      <c r="EI149" s="243">
        <v>50</v>
      </c>
      <c r="EJ149" s="243">
        <f>15810+3615</f>
        <v>19425</v>
      </c>
      <c r="EK149" s="243">
        <f t="shared" ref="EK149" si="887">EJ149+EK75</f>
        <v>32572</v>
      </c>
      <c r="EL149" s="243"/>
      <c r="EM149" s="243"/>
      <c r="EN149" s="243"/>
      <c r="EO149" s="243"/>
      <c r="EP149" s="243"/>
      <c r="EQ149" s="243"/>
      <c r="ER149" s="243"/>
      <c r="ES149" s="243"/>
      <c r="ET149" s="243"/>
      <c r="EU149" s="243"/>
      <c r="EV149" s="243"/>
      <c r="EW149" s="243"/>
      <c r="EX149" s="243"/>
      <c r="EY149" s="243"/>
      <c r="EZ149" s="243"/>
      <c r="FA149" s="243"/>
      <c r="FB149" s="243"/>
      <c r="FC149" s="243"/>
      <c r="FD149" s="243"/>
      <c r="FE149" s="243"/>
      <c r="FF149" s="243"/>
      <c r="FG149" s="243"/>
      <c r="FH149" s="243"/>
      <c r="FI149" s="243"/>
      <c r="FJ149" s="243"/>
    </row>
    <row r="150" spans="2:166" ht="12.75" customHeight="1" x14ac:dyDescent="0.2">
      <c r="B150" t="s">
        <v>372</v>
      </c>
      <c r="AM150" s="243">
        <v>7671</v>
      </c>
      <c r="AN150" s="243"/>
      <c r="AO150" s="243"/>
      <c r="AP150" s="243">
        <v>8712</v>
      </c>
      <c r="AQ150" s="243">
        <v>9293</v>
      </c>
      <c r="AR150" s="243">
        <v>9470</v>
      </c>
      <c r="AS150" s="243">
        <v>9384</v>
      </c>
      <c r="AT150" s="243">
        <v>9444</v>
      </c>
      <c r="AU150" s="243">
        <v>10384</v>
      </c>
      <c r="AV150" s="243">
        <v>10539</v>
      </c>
      <c r="AW150" s="243">
        <v>10156</v>
      </c>
      <c r="AX150" s="243">
        <v>9719</v>
      </c>
      <c r="AY150" s="243">
        <v>9831</v>
      </c>
      <c r="AZ150" s="243">
        <v>10133</v>
      </c>
      <c r="BA150" s="243">
        <v>10279</v>
      </c>
      <c r="BB150" s="243">
        <v>9646</v>
      </c>
      <c r="BC150" s="243">
        <v>10018</v>
      </c>
      <c r="BD150" s="243">
        <v>9629</v>
      </c>
      <c r="BE150" s="243">
        <v>10290</v>
      </c>
      <c r="BF150" s="243">
        <v>9774</v>
      </c>
      <c r="BG150" s="243">
        <v>10861</v>
      </c>
      <c r="BH150" s="243">
        <v>10982</v>
      </c>
      <c r="BI150" s="243">
        <v>10552</v>
      </c>
      <c r="BJ150" s="243">
        <v>10581</v>
      </c>
      <c r="BK150" s="243">
        <v>10982</v>
      </c>
      <c r="BL150" s="243">
        <v>10992</v>
      </c>
      <c r="BM150" s="243">
        <v>11175</v>
      </c>
      <c r="BN150" s="243">
        <v>11309</v>
      </c>
      <c r="BO150" s="243">
        <v>11515</v>
      </c>
      <c r="BP150" s="243">
        <v>11614</v>
      </c>
      <c r="BQ150" s="243">
        <v>12027</v>
      </c>
      <c r="BR150" s="243">
        <v>11713</v>
      </c>
      <c r="CX150" s="243">
        <v>15283</v>
      </c>
      <c r="CY150" s="243">
        <v>15594</v>
      </c>
      <c r="CZ150" s="243">
        <v>16139</v>
      </c>
      <c r="DA150" s="243">
        <v>15890</v>
      </c>
      <c r="DB150" s="243">
        <v>16160</v>
      </c>
      <c r="DC150" s="243">
        <v>16350</v>
      </c>
      <c r="DD150" s="243">
        <v>16777</v>
      </c>
      <c r="DE150" s="243">
        <v>14798</v>
      </c>
      <c r="DF150" s="243">
        <f>14873</f>
        <v>14873</v>
      </c>
      <c r="DG150" s="243">
        <v>14946</v>
      </c>
      <c r="DH150" s="243">
        <v>15794</v>
      </c>
      <c r="DI150" s="243">
        <v>16174</v>
      </c>
      <c r="DJ150" s="243">
        <v>14842</v>
      </c>
      <c r="EF150" s="243"/>
      <c r="EG150" s="243">
        <v>8712</v>
      </c>
      <c r="EJ150" s="243">
        <v>9646</v>
      </c>
    </row>
    <row r="151" spans="2:166" ht="12.75" customHeight="1" x14ac:dyDescent="0.2">
      <c r="B151" t="s">
        <v>373</v>
      </c>
      <c r="AM151" s="243">
        <v>4240</v>
      </c>
      <c r="AN151" s="243"/>
      <c r="AO151" s="243"/>
      <c r="AP151" s="243">
        <v>4889</v>
      </c>
      <c r="AQ151" s="243">
        <v>5047</v>
      </c>
      <c r="AR151" s="243">
        <v>5155</v>
      </c>
      <c r="AS151" s="243">
        <v>5414</v>
      </c>
      <c r="AT151" s="243">
        <v>5110</v>
      </c>
      <c r="AU151" s="243">
        <v>5575</v>
      </c>
      <c r="AV151" s="243">
        <v>5700</v>
      </c>
      <c r="AW151" s="243">
        <v>5473</v>
      </c>
      <c r="AX151" s="243">
        <v>5052</v>
      </c>
      <c r="AY151" s="243">
        <v>5359</v>
      </c>
      <c r="AZ151" s="243">
        <v>5472</v>
      </c>
      <c r="BA151" s="243">
        <v>5568</v>
      </c>
      <c r="BB151" s="243">
        <v>5180</v>
      </c>
      <c r="BC151" s="243">
        <v>5308</v>
      </c>
      <c r="BD151" s="243">
        <v>5071</v>
      </c>
      <c r="BE151" s="243">
        <v>5409</v>
      </c>
      <c r="BF151" s="243">
        <v>5378</v>
      </c>
      <c r="BG151" s="243">
        <v>6200</v>
      </c>
      <c r="BH151" s="243">
        <v>6413</v>
      </c>
      <c r="BI151" s="243">
        <v>6428</v>
      </c>
      <c r="BJ151" s="243">
        <v>6285</v>
      </c>
      <c r="BK151" s="243">
        <v>6800</v>
      </c>
      <c r="BL151" s="243">
        <v>7697</v>
      </c>
      <c r="BM151" s="243">
        <v>7809</v>
      </c>
      <c r="BN151" s="243">
        <v>7495</v>
      </c>
      <c r="BO151" s="243">
        <v>7691</v>
      </c>
      <c r="BP151" s="243">
        <v>7822</v>
      </c>
      <c r="BQ151" s="243">
        <v>8124</v>
      </c>
      <c r="BR151" s="243">
        <v>7878</v>
      </c>
      <c r="CX151" s="243">
        <v>10387</v>
      </c>
      <c r="CY151" s="243">
        <v>10990</v>
      </c>
      <c r="CZ151" s="243">
        <v>11437</v>
      </c>
      <c r="DA151" s="243">
        <v>11675</v>
      </c>
      <c r="DB151" s="243">
        <v>12483</v>
      </c>
      <c r="DC151" s="243">
        <v>12809</v>
      </c>
      <c r="DD151" s="243">
        <v>12888</v>
      </c>
      <c r="DE151" s="243">
        <v>11198</v>
      </c>
      <c r="DF151" s="243">
        <f>11181</f>
        <v>11181</v>
      </c>
      <c r="DG151" s="243">
        <v>11383</v>
      </c>
      <c r="DH151" s="243">
        <v>12169</v>
      </c>
      <c r="DI151" s="243">
        <v>12603</v>
      </c>
      <c r="DJ151" s="243">
        <v>12444</v>
      </c>
      <c r="EF151" s="243"/>
      <c r="EG151" s="243">
        <v>4889</v>
      </c>
      <c r="EJ151" s="243">
        <v>5180</v>
      </c>
    </row>
    <row r="152" spans="2:166" ht="12.75" customHeight="1" x14ac:dyDescent="0.2">
      <c r="B152" t="s">
        <v>374</v>
      </c>
      <c r="AM152" s="243">
        <v>1995</v>
      </c>
      <c r="AN152" s="243"/>
      <c r="AO152" s="243"/>
      <c r="AP152" s="243">
        <v>2094</v>
      </c>
      <c r="AQ152" s="243">
        <v>2088</v>
      </c>
      <c r="AR152" s="243">
        <v>2194</v>
      </c>
      <c r="AS152" s="243">
        <v>2594</v>
      </c>
      <c r="AT152" s="243">
        <v>2609</v>
      </c>
      <c r="AU152" s="243">
        <v>2602</v>
      </c>
      <c r="AV152" s="243">
        <v>2612</v>
      </c>
      <c r="AW152" s="243">
        <v>2584</v>
      </c>
      <c r="AX152" s="243">
        <v>3430</v>
      </c>
      <c r="AY152" s="243">
        <v>2342</v>
      </c>
      <c r="AZ152" s="243">
        <v>2454</v>
      </c>
      <c r="BA152" s="243">
        <v>2650</v>
      </c>
      <c r="BB152" s="243">
        <v>2793</v>
      </c>
      <c r="BC152" s="243">
        <v>2232</v>
      </c>
      <c r="BD152" s="243">
        <v>2250</v>
      </c>
      <c r="BE152" s="243">
        <v>2418</v>
      </c>
      <c r="BF152" s="243">
        <v>2224</v>
      </c>
      <c r="BG152" s="243">
        <v>2272</v>
      </c>
      <c r="BH152" s="243">
        <v>2306</v>
      </c>
      <c r="BI152" s="243">
        <v>2480</v>
      </c>
      <c r="BJ152" s="243">
        <v>2556</v>
      </c>
      <c r="BK152" s="243">
        <v>2695</v>
      </c>
      <c r="BL152" s="243">
        <v>3117</v>
      </c>
      <c r="BM152" s="243">
        <v>3247</v>
      </c>
      <c r="BN152" s="243">
        <v>3139</v>
      </c>
      <c r="BO152" s="243">
        <v>3094</v>
      </c>
      <c r="BP152" s="243">
        <v>3283</v>
      </c>
      <c r="BQ152" s="243">
        <v>3485</v>
      </c>
      <c r="BR152" s="243">
        <v>3607</v>
      </c>
      <c r="CX152" s="243">
        <v>0</v>
      </c>
      <c r="CY152" s="243">
        <v>0</v>
      </c>
      <c r="CZ152" s="243">
        <v>0</v>
      </c>
      <c r="DA152" s="243">
        <v>0</v>
      </c>
      <c r="DB152" s="243">
        <v>0</v>
      </c>
      <c r="DC152" s="243">
        <v>0</v>
      </c>
      <c r="DD152" s="243">
        <v>0</v>
      </c>
      <c r="DE152" s="243">
        <v>0</v>
      </c>
      <c r="DF152" s="243">
        <v>0</v>
      </c>
      <c r="DG152" s="243">
        <v>0</v>
      </c>
      <c r="DH152" s="243">
        <v>0</v>
      </c>
      <c r="DI152" s="243">
        <v>0</v>
      </c>
      <c r="DJ152" s="243">
        <v>0</v>
      </c>
      <c r="EF152" s="243"/>
      <c r="EG152" s="243">
        <v>2094</v>
      </c>
      <c r="EJ152" s="243">
        <v>2793</v>
      </c>
    </row>
    <row r="153" spans="2:166" ht="12.75" customHeight="1" x14ac:dyDescent="0.2">
      <c r="B153" t="s">
        <v>375</v>
      </c>
      <c r="AM153" s="243">
        <v>2661</v>
      </c>
      <c r="AN153" s="243"/>
      <c r="AO153" s="243"/>
      <c r="AP153" s="243">
        <v>3196</v>
      </c>
      <c r="AQ153" s="243">
        <v>3054</v>
      </c>
      <c r="AR153" s="243">
        <v>3014</v>
      </c>
      <c r="AS153" s="243">
        <v>3229</v>
      </c>
      <c r="AT153" s="243">
        <v>3467</v>
      </c>
      <c r="AU153" s="243">
        <v>4413</v>
      </c>
      <c r="AV153" s="243">
        <v>3908</v>
      </c>
      <c r="AW153" s="243">
        <v>3578</v>
      </c>
      <c r="AX153" s="243">
        <v>3367</v>
      </c>
      <c r="AY153" s="243">
        <v>3374</v>
      </c>
      <c r="AZ153" s="243">
        <v>2719</v>
      </c>
      <c r="BA153" s="243">
        <v>2768</v>
      </c>
      <c r="BB153" s="243">
        <v>2497</v>
      </c>
      <c r="BC153" s="243">
        <v>3293</v>
      </c>
      <c r="BD153" s="243">
        <v>3172</v>
      </c>
      <c r="BE153" s="243">
        <v>2474</v>
      </c>
      <c r="BF153" s="243">
        <v>2273</v>
      </c>
      <c r="BG153" s="243">
        <v>3021</v>
      </c>
      <c r="BH153" s="243">
        <v>3290</v>
      </c>
      <c r="BI153" s="243">
        <v>3056</v>
      </c>
      <c r="BJ153" s="243">
        <v>2633</v>
      </c>
      <c r="BK153" s="243">
        <v>2683</v>
      </c>
      <c r="BL153" s="243">
        <v>2894</v>
      </c>
      <c r="BM153" s="243">
        <v>2789</v>
      </c>
      <c r="BN153" s="243">
        <v>3084</v>
      </c>
      <c r="BO153" s="243">
        <v>3260</v>
      </c>
      <c r="BP153" s="243">
        <v>3425</v>
      </c>
      <c r="BQ153" s="243">
        <v>3312</v>
      </c>
      <c r="BR153" s="243">
        <v>4003</v>
      </c>
      <c r="CX153" s="243">
        <v>3701</v>
      </c>
      <c r="CY153" s="243">
        <v>3452</v>
      </c>
      <c r="CZ153" s="243">
        <v>3703</v>
      </c>
      <c r="DA153" s="243">
        <v>3592</v>
      </c>
      <c r="DB153" s="243">
        <v>3132</v>
      </c>
      <c r="DC153" s="243">
        <v>2921</v>
      </c>
      <c r="DD153" s="243">
        <v>2397</v>
      </c>
      <c r="DE153" s="243">
        <v>4196</v>
      </c>
      <c r="DF153" s="243">
        <f>4514</f>
        <v>4514</v>
      </c>
      <c r="DG153" s="243">
        <v>4455</v>
      </c>
      <c r="DH153" s="243">
        <v>4379</v>
      </c>
      <c r="DI153" s="243">
        <v>4175</v>
      </c>
      <c r="DJ153" s="243">
        <v>4085</v>
      </c>
      <c r="EF153" s="243"/>
      <c r="EG153" s="243">
        <v>3196</v>
      </c>
      <c r="EJ153" s="243">
        <v>2497</v>
      </c>
    </row>
    <row r="154" spans="2:166" ht="12.75" customHeight="1" x14ac:dyDescent="0.2">
      <c r="B154" t="s">
        <v>376</v>
      </c>
      <c r="AM154" s="243">
        <f>SUM(AM149:AM153)</f>
        <v>33772</v>
      </c>
      <c r="AN154" s="243"/>
      <c r="AO154" s="243"/>
      <c r="AP154" s="243">
        <v>22975</v>
      </c>
      <c r="AQ154" s="243">
        <v>24673</v>
      </c>
      <c r="AR154" s="243">
        <v>28941</v>
      </c>
      <c r="AS154" s="243">
        <v>28941</v>
      </c>
      <c r="AT154" s="243">
        <v>29945</v>
      </c>
      <c r="AU154" s="243">
        <v>33818</v>
      </c>
      <c r="AV154" s="243">
        <v>35817</v>
      </c>
      <c r="AW154" s="243">
        <f t="shared" ref="AW154:BB154" si="888">SUM(AW149:AW153)</f>
        <v>36592</v>
      </c>
      <c r="AX154" s="243">
        <f t="shared" si="888"/>
        <v>34381</v>
      </c>
      <c r="AY154" s="243">
        <f t="shared" si="888"/>
        <v>34856</v>
      </c>
      <c r="AZ154" s="243">
        <f t="shared" si="888"/>
        <v>35512</v>
      </c>
      <c r="BA154" s="243">
        <f t="shared" si="888"/>
        <v>35621</v>
      </c>
      <c r="BB154" s="243">
        <f t="shared" si="888"/>
        <v>39541</v>
      </c>
      <c r="BC154" s="243">
        <f t="shared" ref="BC154:BF154" si="889">SUM(BC149:BC153)</f>
        <v>38861</v>
      </c>
      <c r="BD154" s="243">
        <f t="shared" ref="BD154" si="890">SUM(BD149:BD153)</f>
        <v>39023</v>
      </c>
      <c r="BE154" s="243">
        <f t="shared" si="889"/>
        <v>42717</v>
      </c>
      <c r="BF154" s="243">
        <f t="shared" si="889"/>
        <v>47307</v>
      </c>
      <c r="BG154" s="243">
        <f t="shared" ref="BG154:BH154" si="891">SUM(BG149:BG153)</f>
        <v>49221</v>
      </c>
      <c r="BH154" s="243">
        <f t="shared" si="891"/>
        <v>52673</v>
      </c>
      <c r="BI154" s="243">
        <f>SUM(BI149:BI153)</f>
        <v>53443</v>
      </c>
      <c r="BJ154" s="243">
        <f t="shared" ref="BJ154:BM154" si="892">SUM(BJ149:BJ153)</f>
        <v>54316</v>
      </c>
      <c r="BK154" s="243">
        <f t="shared" si="892"/>
        <v>57007</v>
      </c>
      <c r="BL154" s="243">
        <f t="shared" si="892"/>
        <v>41615</v>
      </c>
      <c r="BM154" s="243">
        <f t="shared" si="892"/>
        <v>44791</v>
      </c>
      <c r="BN154" s="243">
        <f>SUM(BN149:BN153)</f>
        <v>46116</v>
      </c>
      <c r="BO154" s="243">
        <f>SUM(BO149:BO153)</f>
        <v>47228</v>
      </c>
      <c r="BP154" s="243">
        <f>SUM(BP149:BP153)</f>
        <v>51273</v>
      </c>
      <c r="BQ154" s="243">
        <f>SUM(BQ149:BQ153)</f>
        <v>52176</v>
      </c>
      <c r="BR154" s="243">
        <f>SUM(BR149:BR153)</f>
        <v>56407</v>
      </c>
      <c r="CX154" s="243">
        <f t="shared" ref="CX154:DD154" si="893">SUM(CX149:CX153)</f>
        <v>60979</v>
      </c>
      <c r="CY154" s="243">
        <f t="shared" si="893"/>
        <v>60424</v>
      </c>
      <c r="CZ154" s="243">
        <f t="shared" si="893"/>
        <v>63847</v>
      </c>
      <c r="DA154" s="243">
        <f t="shared" si="893"/>
        <v>65236</v>
      </c>
      <c r="DB154" s="243">
        <f t="shared" si="893"/>
        <v>55294</v>
      </c>
      <c r="DC154" s="243">
        <f t="shared" si="893"/>
        <v>64388</v>
      </c>
      <c r="DD154" s="243">
        <f t="shared" si="893"/>
        <v>60567</v>
      </c>
      <c r="DE154" s="243"/>
      <c r="DF154" s="243"/>
      <c r="DG154" s="243"/>
      <c r="DH154" s="243"/>
      <c r="DI154" s="243"/>
      <c r="DJ154" s="243"/>
      <c r="EF154" s="243"/>
      <c r="EG154" s="243">
        <f>SUM(EG149:EG153)</f>
        <v>22991</v>
      </c>
      <c r="EJ154" s="243">
        <f>SUM(EJ149:EJ153)</f>
        <v>39541</v>
      </c>
    </row>
    <row r="155" spans="2:166" ht="12.75" customHeight="1" x14ac:dyDescent="0.2">
      <c r="B155" t="s">
        <v>377</v>
      </c>
      <c r="AM155" s="243">
        <v>10951</v>
      </c>
      <c r="AN155" s="243"/>
      <c r="AO155" s="243"/>
      <c r="AP155" s="243">
        <v>13044</v>
      </c>
      <c r="AQ155" s="243">
        <v>13180</v>
      </c>
      <c r="AR155" s="243">
        <v>13385</v>
      </c>
      <c r="AS155" s="243">
        <v>13613</v>
      </c>
      <c r="AT155" s="243">
        <v>14185</v>
      </c>
      <c r="AU155" s="243">
        <v>14486</v>
      </c>
      <c r="AV155" s="243">
        <v>14627</v>
      </c>
      <c r="AW155" s="243">
        <v>14355</v>
      </c>
      <c r="AX155" s="243">
        <v>14365</v>
      </c>
      <c r="AY155" s="243">
        <v>14253</v>
      </c>
      <c r="AZ155" s="243">
        <v>14502</v>
      </c>
      <c r="BA155" s="243">
        <v>14815</v>
      </c>
      <c r="BB155" s="243">
        <v>14759</v>
      </c>
      <c r="BC155" s="243">
        <v>14277</v>
      </c>
      <c r="BD155" s="243">
        <v>13881</v>
      </c>
      <c r="BE155" s="243">
        <v>14360</v>
      </c>
      <c r="BF155" s="243">
        <v>14553</v>
      </c>
      <c r="BG155" s="243">
        <v>15084</v>
      </c>
      <c r="BH155" s="243">
        <v>14974</v>
      </c>
      <c r="BI155" s="243">
        <v>14635</v>
      </c>
      <c r="BJ155" s="243">
        <v>14739</v>
      </c>
      <c r="BK155" s="243">
        <v>14824</v>
      </c>
      <c r="BL155" s="243">
        <v>15622</v>
      </c>
      <c r="BM155" s="243">
        <v>15845</v>
      </c>
      <c r="BN155" s="243">
        <v>16097</v>
      </c>
      <c r="BO155" s="243">
        <v>15721</v>
      </c>
      <c r="BP155" s="243">
        <v>15794</v>
      </c>
      <c r="BQ155" s="243">
        <v>16127</v>
      </c>
      <c r="BR155" s="243">
        <v>16710</v>
      </c>
      <c r="CX155" s="243">
        <v>18962</v>
      </c>
      <c r="CY155" s="243">
        <v>18701</v>
      </c>
      <c r="CZ155" s="243">
        <v>18354</v>
      </c>
      <c r="DA155" s="243">
        <v>18152</v>
      </c>
      <c r="DB155" s="243">
        <v>19803</v>
      </c>
      <c r="DC155" s="243">
        <v>20174</v>
      </c>
      <c r="DD155" s="243">
        <v>20576</v>
      </c>
      <c r="DE155" s="243">
        <v>18821</v>
      </c>
      <c r="DF155" s="243">
        <f>19898</f>
        <v>19898</v>
      </c>
      <c r="DG155" s="243">
        <v>19632</v>
      </c>
      <c r="DH155" s="243">
        <v>19748</v>
      </c>
      <c r="DI155" s="243">
        <v>20479</v>
      </c>
      <c r="DJ155" s="243">
        <v>20518</v>
      </c>
      <c r="EF155" s="243"/>
      <c r="EG155" s="243">
        <v>13044</v>
      </c>
      <c r="EJ155" s="243">
        <v>14759</v>
      </c>
    </row>
    <row r="156" spans="2:166" ht="12.75" customHeight="1" x14ac:dyDescent="0.2">
      <c r="B156" t="s">
        <v>378</v>
      </c>
      <c r="AM156" s="243">
        <f>6438+6460</f>
        <v>12898</v>
      </c>
      <c r="AN156" s="243"/>
      <c r="AO156" s="243"/>
      <c r="AP156" s="243">
        <f>15348+13340</f>
        <v>28688</v>
      </c>
      <c r="AQ156" s="243">
        <f>15568+13663</f>
        <v>29231</v>
      </c>
      <c r="AR156" s="243">
        <f>15412+13754</f>
        <v>29166</v>
      </c>
      <c r="AS156" s="243">
        <f>15468+14040</f>
        <v>29508</v>
      </c>
      <c r="AT156" s="243">
        <f>14640+14123</f>
        <v>28763</v>
      </c>
      <c r="AU156" s="243">
        <f>14818+14615</f>
        <v>29433</v>
      </c>
      <c r="AV156" s="243">
        <f>14675+14526</f>
        <v>29201</v>
      </c>
      <c r="AW156" s="243">
        <f>14296+14275</f>
        <v>28571</v>
      </c>
      <c r="AX156" s="243">
        <f>13976+13719</f>
        <v>27695</v>
      </c>
      <c r="AY156" s="243">
        <f>14840+14083</f>
        <v>28923</v>
      </c>
      <c r="AZ156" s="243">
        <f>14720+14152</f>
        <v>28872</v>
      </c>
      <c r="BA156" s="243">
        <f>16636+15017</f>
        <v>31653</v>
      </c>
      <c r="BB156" s="243">
        <f>16323+14862</f>
        <v>31185</v>
      </c>
      <c r="BC156" s="243">
        <f>16799+14977</f>
        <v>31776</v>
      </c>
      <c r="BD156" s="243">
        <f>16459+14628</f>
        <v>31087</v>
      </c>
      <c r="BE156" s="243">
        <f>17068+15375</f>
        <v>32443</v>
      </c>
      <c r="BF156" s="243">
        <f>16716+15294</f>
        <v>32010</v>
      </c>
      <c r="BG156" s="243">
        <f>18687+16126</f>
        <v>34813</v>
      </c>
      <c r="BH156" s="243">
        <f>18378+16243</f>
        <v>34621</v>
      </c>
      <c r="BI156" s="243">
        <f>18225+16049</f>
        <v>34274</v>
      </c>
      <c r="BJ156" s="243">
        <f>18138+16138</f>
        <v>34276</v>
      </c>
      <c r="BK156" s="243">
        <f>18157+16339</f>
        <v>34496</v>
      </c>
      <c r="BL156" s="243">
        <f>29199+21412</f>
        <v>50611</v>
      </c>
      <c r="BM156" s="243">
        <f>28790+21777</f>
        <v>50567</v>
      </c>
      <c r="BN156" s="243">
        <f>28752+22424</f>
        <v>51176</v>
      </c>
      <c r="BO156" s="243">
        <f>28009+22349</f>
        <v>50358</v>
      </c>
      <c r="BP156" s="243">
        <f>27704+22337</f>
        <v>50041</v>
      </c>
      <c r="BQ156" s="243">
        <f>28467+22852</f>
        <v>51319</v>
      </c>
      <c r="BR156" s="243">
        <f>27947+22798</f>
        <v>50745</v>
      </c>
      <c r="CX156" s="243">
        <f>46392+35246</f>
        <v>81638</v>
      </c>
      <c r="CY156" s="243">
        <f>44420+34935</f>
        <v>79355</v>
      </c>
      <c r="CZ156" s="243">
        <f>42408+34166</f>
        <v>76574</v>
      </c>
      <c r="DA156" s="243">
        <f>40336+33383</f>
        <v>73719</v>
      </c>
      <c r="DB156" s="243">
        <f>48325+45231</f>
        <v>93556</v>
      </c>
      <c r="DC156" s="243">
        <f>47448+45575</f>
        <v>93023</v>
      </c>
      <c r="DD156" s="243">
        <f>46246+45440</f>
        <v>91686</v>
      </c>
      <c r="DE156" s="243">
        <f>35021+36124</f>
        <v>71145</v>
      </c>
      <c r="DF156" s="243">
        <f>34175+36558</f>
        <v>70733</v>
      </c>
      <c r="DG156" s="243">
        <f>34286+36616</f>
        <v>70902</v>
      </c>
      <c r="DH156" s="243">
        <f>39725+44250</f>
        <v>83975</v>
      </c>
      <c r="DI156" s="243">
        <f>39490+44799</f>
        <v>84289</v>
      </c>
      <c r="DJ156" s="243">
        <f>37618+44200</f>
        <v>81818</v>
      </c>
      <c r="EF156" s="243"/>
      <c r="EG156" s="243">
        <f>15348+13340</f>
        <v>28688</v>
      </c>
      <c r="EJ156" s="243">
        <f>16323+14862</f>
        <v>31185</v>
      </c>
    </row>
    <row r="157" spans="2:166" ht="12.75" customHeight="1" x14ac:dyDescent="0.2">
      <c r="B157" t="s">
        <v>374</v>
      </c>
      <c r="AM157" s="243">
        <v>1269</v>
      </c>
      <c r="AN157" s="243"/>
      <c r="AO157" s="243"/>
      <c r="AP157" s="243">
        <v>3210</v>
      </c>
      <c r="AQ157" s="243">
        <v>3273</v>
      </c>
      <c r="AR157" s="243">
        <v>3575</v>
      </c>
      <c r="AS157" s="243">
        <v>3808</v>
      </c>
      <c r="AT157" s="243">
        <v>4889</v>
      </c>
      <c r="AU157" s="243">
        <v>5129</v>
      </c>
      <c r="AV157" s="243">
        <v>5422</v>
      </c>
      <c r="AW157" s="243">
        <v>5191</v>
      </c>
      <c r="AX157" s="243">
        <v>5841</v>
      </c>
      <c r="AY157" s="243">
        <v>5479</v>
      </c>
      <c r="AZ157" s="243">
        <v>5870</v>
      </c>
      <c r="BA157" s="243">
        <v>5888</v>
      </c>
      <c r="BB157" s="243">
        <v>5507</v>
      </c>
      <c r="BC157" s="243">
        <v>4905</v>
      </c>
      <c r="BD157" s="243">
        <v>5109</v>
      </c>
      <c r="BE157" s="243">
        <v>5175</v>
      </c>
      <c r="BF157" s="243">
        <v>5096</v>
      </c>
      <c r="BG157" s="243">
        <v>5327</v>
      </c>
      <c r="BH157" s="243">
        <v>5653</v>
      </c>
      <c r="BI157" s="243">
        <v>5564</v>
      </c>
      <c r="BJ157" s="243">
        <v>6540</v>
      </c>
      <c r="BK157" s="243">
        <v>5911</v>
      </c>
      <c r="BL157" s="243">
        <v>4011</v>
      </c>
      <c r="BM157" s="243">
        <v>4227</v>
      </c>
      <c r="BN157" s="243">
        <v>4541</v>
      </c>
      <c r="BO157" s="243">
        <v>4506</v>
      </c>
      <c r="BP157" s="243">
        <v>4740</v>
      </c>
      <c r="BQ157" s="243">
        <v>4596</v>
      </c>
      <c r="BR157" s="243">
        <v>3872</v>
      </c>
      <c r="CX157" s="243">
        <v>10223</v>
      </c>
      <c r="CY157" s="243">
        <v>9936</v>
      </c>
      <c r="CZ157" s="243">
        <v>9514</v>
      </c>
      <c r="DA157" s="243">
        <v>9392</v>
      </c>
      <c r="DB157" s="243">
        <v>9123</v>
      </c>
      <c r="DC157" s="243">
        <v>8817</v>
      </c>
      <c r="DD157" s="243">
        <v>8779</v>
      </c>
      <c r="DE157" s="243">
        <v>9259</v>
      </c>
      <c r="DF157" s="243">
        <v>9279</v>
      </c>
      <c r="DG157" s="243">
        <v>10305</v>
      </c>
      <c r="DH157" s="243">
        <v>9004</v>
      </c>
      <c r="DI157" s="243">
        <v>9349</v>
      </c>
      <c r="DJ157" s="243">
        <v>10461</v>
      </c>
      <c r="EF157" s="243"/>
      <c r="EG157" s="243">
        <v>3210</v>
      </c>
      <c r="EJ157" s="243">
        <v>5507</v>
      </c>
    </row>
    <row r="158" spans="2:166" ht="12.75" customHeight="1" x14ac:dyDescent="0.2">
      <c r="B158" t="s">
        <v>379</v>
      </c>
      <c r="AM158" s="243">
        <v>3243</v>
      </c>
      <c r="AN158" s="243"/>
      <c r="AO158" s="243"/>
      <c r="AP158" s="243">
        <v>2623</v>
      </c>
      <c r="AQ158" s="243">
        <v>2695</v>
      </c>
      <c r="AR158" s="243">
        <v>2736</v>
      </c>
      <c r="AS158" s="243">
        <v>2787</v>
      </c>
      <c r="AT158" s="243">
        <v>3170</v>
      </c>
      <c r="AU158" s="243">
        <v>3126</v>
      </c>
      <c r="AV158" s="243">
        <v>3043</v>
      </c>
      <c r="AW158" s="243">
        <v>3015</v>
      </c>
      <c r="AX158" s="243">
        <v>2630</v>
      </c>
      <c r="AY158" s="243">
        <v>2589</v>
      </c>
      <c r="AZ158" s="243">
        <v>2682</v>
      </c>
      <c r="BA158" s="243">
        <v>3581</v>
      </c>
      <c r="BB158" s="243">
        <v>3690</v>
      </c>
      <c r="BC158" s="243">
        <v>3622</v>
      </c>
      <c r="BD158" s="243">
        <v>3200</v>
      </c>
      <c r="BE158" s="243">
        <v>3552</v>
      </c>
      <c r="BF158" s="243">
        <v>3942</v>
      </c>
      <c r="BG158" s="243">
        <v>3705</v>
      </c>
      <c r="BH158" s="243">
        <v>4193</v>
      </c>
      <c r="BI158" s="243">
        <v>3905</v>
      </c>
      <c r="BJ158" s="243">
        <v>3773</v>
      </c>
      <c r="BK158" s="243">
        <v>3956</v>
      </c>
      <c r="BL158" s="243">
        <v>3891</v>
      </c>
      <c r="BM158" s="243">
        <v>3521</v>
      </c>
      <c r="BN158" s="243">
        <v>3417</v>
      </c>
      <c r="BO158" s="243">
        <v>3723</v>
      </c>
      <c r="BP158" s="243">
        <v>2477</v>
      </c>
      <c r="BQ158" s="243">
        <v>2715</v>
      </c>
      <c r="BR158" s="243">
        <v>4949</v>
      </c>
      <c r="CX158" s="243">
        <v>10216</v>
      </c>
      <c r="CY158" s="243">
        <v>9939</v>
      </c>
      <c r="CZ158" s="243">
        <v>9435</v>
      </c>
      <c r="DA158" s="243">
        <v>8625</v>
      </c>
      <c r="DB158" s="243">
        <v>9602</v>
      </c>
      <c r="DC158" s="243">
        <v>9567</v>
      </c>
      <c r="DD158" s="243">
        <v>10078</v>
      </c>
      <c r="DE158" s="243">
        <v>13133</v>
      </c>
      <c r="DF158" s="243">
        <v>14153</v>
      </c>
      <c r="DG158" s="243">
        <v>14125</v>
      </c>
      <c r="DH158" s="243">
        <v>10544</v>
      </c>
      <c r="DI158" s="243">
        <v>10921</v>
      </c>
      <c r="DJ158" s="243">
        <v>11414</v>
      </c>
      <c r="EF158" s="243"/>
      <c r="EG158" s="243">
        <v>2623</v>
      </c>
      <c r="EJ158" s="243">
        <v>3690</v>
      </c>
    </row>
    <row r="159" spans="2:166" ht="12.75" customHeight="1" x14ac:dyDescent="0.2">
      <c r="B159" t="s">
        <v>1445</v>
      </c>
      <c r="AM159" s="243">
        <f>SUM(AM154:AM158)</f>
        <v>62133</v>
      </c>
      <c r="AN159" s="243"/>
      <c r="AO159" s="243"/>
      <c r="AP159" s="243">
        <v>70556</v>
      </c>
      <c r="AQ159" s="243">
        <v>73066</v>
      </c>
      <c r="AR159" s="243">
        <v>74683</v>
      </c>
      <c r="AS159" s="243">
        <v>78665</v>
      </c>
      <c r="AT159" s="243">
        <v>80954</v>
      </c>
      <c r="AU159" s="243">
        <v>85995</v>
      </c>
      <c r="AV159" s="243">
        <v>88113</v>
      </c>
      <c r="AW159" s="243">
        <f t="shared" ref="AW159:BB159" si="894">SUM(AW154:AW158)</f>
        <v>87724</v>
      </c>
      <c r="AX159" s="243">
        <f t="shared" si="894"/>
        <v>84912</v>
      </c>
      <c r="AY159" s="243">
        <f t="shared" si="894"/>
        <v>86100</v>
      </c>
      <c r="AZ159" s="243">
        <f t="shared" si="894"/>
        <v>87438</v>
      </c>
      <c r="BA159" s="243">
        <f t="shared" si="894"/>
        <v>91558</v>
      </c>
      <c r="BB159" s="243">
        <f t="shared" si="894"/>
        <v>94682</v>
      </c>
      <c r="BC159" s="243">
        <f t="shared" ref="BC159:BF159" si="895">SUM(BC154:BC158)</f>
        <v>93441</v>
      </c>
      <c r="BD159" s="243">
        <f t="shared" ref="BD159" si="896">SUM(BD154:BD158)</f>
        <v>92300</v>
      </c>
      <c r="BE159" s="243">
        <f t="shared" si="895"/>
        <v>98247</v>
      </c>
      <c r="BF159" s="243">
        <f t="shared" si="895"/>
        <v>102908</v>
      </c>
      <c r="BG159" s="243">
        <f t="shared" ref="BG159:BH159" si="897">SUM(BG154:BG158)</f>
        <v>108150</v>
      </c>
      <c r="BH159" s="243">
        <f t="shared" si="897"/>
        <v>112114</v>
      </c>
      <c r="BI159" s="243">
        <f t="shared" ref="BI159:BJ159" si="898">SUM(BI154:BI158)</f>
        <v>111821</v>
      </c>
      <c r="BJ159" s="243">
        <f t="shared" si="898"/>
        <v>113644</v>
      </c>
      <c r="BK159" s="243">
        <f t="shared" ref="BK159:BL159" si="899">SUM(BK154:BK158)</f>
        <v>116194</v>
      </c>
      <c r="BL159" s="243">
        <f t="shared" si="899"/>
        <v>115750</v>
      </c>
      <c r="BM159" s="243">
        <f t="shared" ref="BM159:BN159" si="900">SUM(BM154:BM158)</f>
        <v>118951</v>
      </c>
      <c r="BN159" s="243">
        <f t="shared" si="900"/>
        <v>121347</v>
      </c>
      <c r="BO159" s="243">
        <f t="shared" ref="BO159:BQ159" si="901">SUM(BO154:BO158)</f>
        <v>121536</v>
      </c>
      <c r="BP159" s="243">
        <f t="shared" si="901"/>
        <v>124325</v>
      </c>
      <c r="BQ159" s="243">
        <f t="shared" si="901"/>
        <v>126933</v>
      </c>
      <c r="BR159" s="243">
        <f t="shared" ref="BR159" si="902">SUM(BR154:BR158)</f>
        <v>132683</v>
      </c>
      <c r="CX159" s="243">
        <f t="shared" ref="CX159:DD159" si="903">SUM(CX154:CX158)</f>
        <v>182018</v>
      </c>
      <c r="CY159" s="243">
        <f t="shared" si="903"/>
        <v>178355</v>
      </c>
      <c r="CZ159" s="243">
        <f t="shared" si="903"/>
        <v>177724</v>
      </c>
      <c r="DA159" s="243">
        <f t="shared" si="903"/>
        <v>175124</v>
      </c>
      <c r="DB159" s="243">
        <f t="shared" si="903"/>
        <v>187378</v>
      </c>
      <c r="DC159" s="243">
        <f t="shared" si="903"/>
        <v>195969</v>
      </c>
      <c r="DD159" s="243">
        <f t="shared" si="903"/>
        <v>191686</v>
      </c>
      <c r="DE159" s="243">
        <f>SUM(DE149:DE158)</f>
        <v>166061</v>
      </c>
      <c r="DF159" s="243">
        <f>SUM(DF149:DF158)</f>
        <v>167558</v>
      </c>
      <c r="DG159" s="243">
        <f>SUM(DG149:DG158)</f>
        <v>171966</v>
      </c>
      <c r="DH159" s="243">
        <f>SUM(DH149:DH158)</f>
        <v>181088</v>
      </c>
      <c r="DI159" s="243">
        <f>SUM(DI149:DI158)</f>
        <v>178287</v>
      </c>
      <c r="DJ159" s="243">
        <f>SUM(DJ149:DJ158)</f>
        <v>180104</v>
      </c>
      <c r="EF159" s="243"/>
      <c r="EG159" s="243">
        <f>SUM(EG154:EG158)</f>
        <v>70556</v>
      </c>
      <c r="EJ159" s="243">
        <f>SUM(EJ154:EJ158)</f>
        <v>94682</v>
      </c>
    </row>
    <row r="160" spans="2:166" ht="12.75" customHeight="1" x14ac:dyDescent="0.2">
      <c r="AM160" s="243"/>
      <c r="AN160" s="243"/>
      <c r="AO160" s="243"/>
      <c r="AP160" s="243"/>
      <c r="AQ160" s="243"/>
      <c r="AR160" s="243"/>
      <c r="AS160" s="243"/>
      <c r="AT160" s="243"/>
      <c r="AU160" s="243"/>
      <c r="AV160" s="243"/>
      <c r="AW160" s="243"/>
      <c r="AX160" s="243"/>
      <c r="AY160" s="243"/>
      <c r="AZ160" s="243"/>
      <c r="BA160" s="243"/>
      <c r="BB160" s="243"/>
      <c r="BC160" s="243"/>
      <c r="BD160" s="243"/>
      <c r="BE160" s="243"/>
      <c r="BF160" s="243"/>
      <c r="BG160" s="243"/>
      <c r="BH160" s="243"/>
      <c r="BI160" s="243"/>
      <c r="BJ160" s="243"/>
      <c r="BK160" s="243"/>
      <c r="BL160" s="243"/>
      <c r="BM160" s="243"/>
      <c r="BN160" s="243"/>
      <c r="BO160" s="243"/>
      <c r="BP160" s="243"/>
      <c r="BQ160" s="243"/>
      <c r="BR160" s="243"/>
      <c r="CY160" s="243"/>
      <c r="DB160" s="243"/>
      <c r="DC160" s="243"/>
      <c r="DD160" s="243"/>
      <c r="DG160" s="243"/>
      <c r="DI160" s="243"/>
      <c r="EF160" s="243"/>
      <c r="EG160" s="243"/>
      <c r="EJ160" s="243"/>
    </row>
    <row r="161" spans="2:140" ht="12.75" customHeight="1" x14ac:dyDescent="0.2">
      <c r="B161" t="s">
        <v>380</v>
      </c>
      <c r="AM161" s="243">
        <v>828</v>
      </c>
      <c r="AN161" s="243"/>
      <c r="AO161" s="243"/>
      <c r="AP161" s="243">
        <v>4579</v>
      </c>
      <c r="AQ161" s="243">
        <v>4682</v>
      </c>
      <c r="AR161" s="243">
        <v>4470</v>
      </c>
      <c r="AS161" s="243">
        <v>3264</v>
      </c>
      <c r="AT161" s="243">
        <v>2463</v>
      </c>
      <c r="AU161" s="243">
        <v>4250</v>
      </c>
      <c r="AV161" s="243">
        <v>5156</v>
      </c>
      <c r="AW161" s="243">
        <v>6245</v>
      </c>
      <c r="AX161" s="243">
        <v>3732</v>
      </c>
      <c r="AY161" s="243">
        <v>6022</v>
      </c>
      <c r="AZ161" s="243">
        <v>5435</v>
      </c>
      <c r="BA161" s="243">
        <v>3341</v>
      </c>
      <c r="BB161" s="243">
        <v>6318</v>
      </c>
      <c r="BC161" s="243">
        <v>4044</v>
      </c>
      <c r="BD161" s="243">
        <v>3715</v>
      </c>
      <c r="BE161" s="243">
        <v>2843</v>
      </c>
      <c r="BF161" s="243">
        <v>7617</v>
      </c>
      <c r="BG161" s="243">
        <v>8575</v>
      </c>
      <c r="BH161" s="243">
        <v>5046</v>
      </c>
      <c r="BI161" s="243">
        <v>5326</v>
      </c>
      <c r="BJ161" s="243">
        <v>6658</v>
      </c>
      <c r="BK161" s="243">
        <v>6439</v>
      </c>
      <c r="BL161" s="243">
        <v>6040</v>
      </c>
      <c r="BM161" s="243">
        <v>5423</v>
      </c>
      <c r="BN161" s="243">
        <v>4676</v>
      </c>
      <c r="BO161" s="243">
        <v>4529</v>
      </c>
      <c r="BP161" s="243">
        <v>5339</v>
      </c>
      <c r="BQ161" s="243">
        <v>5359</v>
      </c>
      <c r="BR161" s="243">
        <v>4852</v>
      </c>
      <c r="CX161" s="243">
        <v>3766</v>
      </c>
      <c r="CY161" s="243">
        <v>4297</v>
      </c>
      <c r="CZ161" s="243">
        <v>4305</v>
      </c>
      <c r="DA161" s="243">
        <v>4424</v>
      </c>
      <c r="DB161" s="243">
        <v>12771</v>
      </c>
      <c r="DC161" s="243">
        <v>17979</v>
      </c>
      <c r="DD161" s="243">
        <v>11701</v>
      </c>
      <c r="DE161" s="243">
        <v>3870</v>
      </c>
      <c r="DF161" s="243">
        <v>3451</v>
      </c>
      <c r="DG161" s="243">
        <v>8550</v>
      </c>
      <c r="DH161" s="243">
        <v>9855</v>
      </c>
      <c r="DI161" s="243">
        <v>4462</v>
      </c>
      <c r="DJ161" s="243">
        <f>5983</f>
        <v>5983</v>
      </c>
      <c r="EF161" s="243"/>
      <c r="EG161" s="243">
        <v>4579</v>
      </c>
      <c r="EJ161" s="243">
        <v>6318</v>
      </c>
    </row>
    <row r="162" spans="2:140" ht="12.75" customHeight="1" x14ac:dyDescent="0.2">
      <c r="B162" t="s">
        <v>381</v>
      </c>
      <c r="AM162" s="243">
        <v>3939</v>
      </c>
      <c r="AN162" s="243"/>
      <c r="AO162" s="243"/>
      <c r="AP162" s="243">
        <v>5691</v>
      </c>
      <c r="AQ162" s="243">
        <v>5643</v>
      </c>
      <c r="AR162" s="243">
        <v>5458</v>
      </c>
      <c r="AS162" s="243">
        <v>5963</v>
      </c>
      <c r="AT162" s="243">
        <v>6909</v>
      </c>
      <c r="AU162" s="243">
        <v>7487</v>
      </c>
      <c r="AV162" s="243">
        <v>6623</v>
      </c>
      <c r="AW162" s="243">
        <v>6384</v>
      </c>
      <c r="AX162" s="243">
        <v>7503</v>
      </c>
      <c r="AY162" s="243">
        <v>6395</v>
      </c>
      <c r="AZ162" s="243">
        <v>5832</v>
      </c>
      <c r="BA162" s="243">
        <v>6419</v>
      </c>
      <c r="BB162" s="243">
        <v>5541</v>
      </c>
      <c r="BC162" s="243">
        <v>5126</v>
      </c>
      <c r="BD162" s="243">
        <v>4871</v>
      </c>
      <c r="BE162" s="243">
        <v>5477</v>
      </c>
      <c r="BF162" s="243">
        <v>5623</v>
      </c>
      <c r="BG162" s="243">
        <v>5701</v>
      </c>
      <c r="BH162" s="243">
        <v>5689</v>
      </c>
      <c r="BI162" s="243">
        <v>5730</v>
      </c>
      <c r="BJ162" s="243">
        <v>5725</v>
      </c>
      <c r="BK162" s="243">
        <v>5085</v>
      </c>
      <c r="BL162" s="243">
        <v>5145</v>
      </c>
      <c r="BM162" s="243">
        <v>5344</v>
      </c>
      <c r="BN162" s="243">
        <v>5831</v>
      </c>
      <c r="BO162" s="243">
        <v>5372</v>
      </c>
      <c r="BP162" s="243">
        <v>5687</v>
      </c>
      <c r="BQ162" s="243">
        <v>6055</v>
      </c>
      <c r="BR162" s="243">
        <v>6266</v>
      </c>
      <c r="CX162" s="243">
        <v>11055</v>
      </c>
      <c r="CY162" s="243">
        <v>9309</v>
      </c>
      <c r="CZ162" s="243">
        <v>9765</v>
      </c>
      <c r="DA162" s="243">
        <v>10153</v>
      </c>
      <c r="DB162" s="243">
        <v>11703</v>
      </c>
      <c r="DC162" s="243">
        <v>9909</v>
      </c>
      <c r="DD162" s="243">
        <v>10443</v>
      </c>
      <c r="DE162" s="243">
        <v>8355</v>
      </c>
      <c r="DF162" s="243">
        <v>9632</v>
      </c>
      <c r="DG162" s="243">
        <v>8174</v>
      </c>
      <c r="DH162" s="243">
        <v>8848</v>
      </c>
      <c r="DI162" s="243">
        <v>8954</v>
      </c>
      <c r="DJ162" s="243">
        <v>10311</v>
      </c>
      <c r="EF162" s="243"/>
      <c r="EG162" s="243">
        <v>5691</v>
      </c>
      <c r="EJ162" s="243">
        <v>5541</v>
      </c>
    </row>
    <row r="163" spans="2:140" ht="12.75" customHeight="1" x14ac:dyDescent="0.2">
      <c r="B163" t="s">
        <v>382</v>
      </c>
      <c r="AM163" s="243">
        <v>3520</v>
      </c>
      <c r="AN163" s="243"/>
      <c r="AO163" s="243"/>
      <c r="AP163" s="243">
        <v>4587</v>
      </c>
      <c r="AQ163" s="243">
        <v>4483</v>
      </c>
      <c r="AR163" s="243">
        <v>4585</v>
      </c>
      <c r="AS163" s="243">
        <v>5076</v>
      </c>
      <c r="AT163" s="243">
        <v>6412</v>
      </c>
      <c r="AU163" s="243">
        <v>5751</v>
      </c>
      <c r="AV163" s="243">
        <v>5631</v>
      </c>
      <c r="AW163" s="243">
        <v>5521</v>
      </c>
      <c r="AX163" s="243">
        <v>5531</v>
      </c>
      <c r="AY163" s="243">
        <v>4561</v>
      </c>
      <c r="AZ163" s="243">
        <v>4765</v>
      </c>
      <c r="BA163" s="243">
        <v>4862</v>
      </c>
      <c r="BB163" s="243">
        <v>5796</v>
      </c>
      <c r="BC163" s="243">
        <v>4415</v>
      </c>
      <c r="BD163" s="243">
        <v>4186</v>
      </c>
      <c r="BE163" s="243">
        <v>4333</v>
      </c>
      <c r="BF163" s="243">
        <v>4100</v>
      </c>
      <c r="BG163" s="243">
        <v>4093</v>
      </c>
      <c r="BH163" s="243">
        <v>4405</v>
      </c>
      <c r="BI163" s="243">
        <v>4136</v>
      </c>
      <c r="BJ163" s="243">
        <v>4608</v>
      </c>
      <c r="BK163" s="243">
        <v>4369</v>
      </c>
      <c r="BL163" s="243">
        <v>6533</v>
      </c>
      <c r="BM163" s="243">
        <v>6498</v>
      </c>
      <c r="BN163" s="243">
        <v>7299</v>
      </c>
      <c r="BO163" s="243">
        <v>6904</v>
      </c>
      <c r="BP163" s="243">
        <v>6646</v>
      </c>
      <c r="BQ163" s="243">
        <v>6921</v>
      </c>
      <c r="BR163" s="243">
        <v>7685</v>
      </c>
      <c r="CX163" s="243">
        <v>13612</v>
      </c>
      <c r="CY163" s="243">
        <v>13006</v>
      </c>
      <c r="CZ163" s="243">
        <v>12607</v>
      </c>
      <c r="DA163" s="243">
        <v>11953</v>
      </c>
      <c r="DB163" s="243">
        <v>11456</v>
      </c>
      <c r="DC163" s="243">
        <v>11204</v>
      </c>
      <c r="DD163" s="243">
        <v>10605</v>
      </c>
      <c r="DE163" s="243">
        <v>10101</v>
      </c>
      <c r="DF163" s="243">
        <v>10212</v>
      </c>
      <c r="DG163" s="243">
        <v>10323</v>
      </c>
      <c r="DH163" s="243">
        <v>10539</v>
      </c>
      <c r="DI163" s="243">
        <v>11450</v>
      </c>
      <c r="DJ163" s="243">
        <v>8549</v>
      </c>
      <c r="EF163" s="243"/>
      <c r="EG163" s="243">
        <v>4587</v>
      </c>
      <c r="EJ163" s="243">
        <v>5796</v>
      </c>
    </row>
    <row r="164" spans="2:140" ht="12.75" customHeight="1" x14ac:dyDescent="0.2">
      <c r="B164" t="s">
        <v>384</v>
      </c>
      <c r="AM164" s="243">
        <v>2026</v>
      </c>
      <c r="AN164" s="243"/>
      <c r="AO164" s="243"/>
      <c r="AP164" s="243">
        <v>2189</v>
      </c>
      <c r="AQ164" s="243">
        <v>2352</v>
      </c>
      <c r="AR164" s="243">
        <v>2447</v>
      </c>
      <c r="AS164" s="243">
        <v>2519</v>
      </c>
      <c r="AT164" s="243">
        <v>2318</v>
      </c>
      <c r="AU164" s="243">
        <v>2659</v>
      </c>
      <c r="AV164" s="243">
        <v>2693</v>
      </c>
      <c r="AW164" s="243">
        <v>2609</v>
      </c>
      <c r="AX164" s="243">
        <v>2237</v>
      </c>
      <c r="AY164" s="243">
        <v>2489</v>
      </c>
      <c r="AZ164" s="243">
        <v>2153</v>
      </c>
      <c r="BA164" s="243">
        <v>2123</v>
      </c>
      <c r="BB164" s="243">
        <v>2028</v>
      </c>
      <c r="BC164" s="243">
        <v>2487</v>
      </c>
      <c r="BD164" s="243">
        <v>2404</v>
      </c>
      <c r="BE164" s="243">
        <v>2666</v>
      </c>
      <c r="BF164" s="243">
        <v>2512</v>
      </c>
      <c r="BG164" s="243">
        <v>2858</v>
      </c>
      <c r="BH164" s="243">
        <v>2933</v>
      </c>
      <c r="BI164" s="243">
        <v>2895</v>
      </c>
      <c r="BJ164" s="243">
        <v>2637</v>
      </c>
      <c r="BK164" s="243">
        <v>2865</v>
      </c>
      <c r="BL164" s="243">
        <v>2960</v>
      </c>
      <c r="BM164" s="243">
        <v>3040</v>
      </c>
      <c r="BN164" s="243">
        <v>2969</v>
      </c>
      <c r="BO164" s="243">
        <v>2910</v>
      </c>
      <c r="BP164" s="243">
        <v>3138</v>
      </c>
      <c r="BQ164" s="243">
        <v>3465</v>
      </c>
      <c r="BR164" s="243">
        <v>3308</v>
      </c>
      <c r="CX164" s="243">
        <v>12095</v>
      </c>
      <c r="CY164" s="243">
        <v>12972</v>
      </c>
      <c r="CZ164" s="243">
        <v>13447</v>
      </c>
      <c r="DA164" s="243">
        <v>14021</v>
      </c>
      <c r="DB164" s="243">
        <v>14417</v>
      </c>
      <c r="DC164" s="243">
        <v>14784</v>
      </c>
      <c r="DD164" s="243">
        <v>15672</v>
      </c>
      <c r="DE164" s="243">
        <v>15808</v>
      </c>
      <c r="DF164" s="243">
        <v>16001</v>
      </c>
      <c r="DG164" s="243">
        <v>16182</v>
      </c>
      <c r="DH164" s="243">
        <v>17539</v>
      </c>
      <c r="DI164" s="243">
        <v>18439</v>
      </c>
      <c r="DJ164" s="243">
        <v>17580</v>
      </c>
      <c r="EF164" s="243"/>
      <c r="EG164" s="243">
        <v>2189</v>
      </c>
      <c r="EJ164" s="243">
        <v>2028</v>
      </c>
    </row>
    <row r="165" spans="2:140" ht="12.75" customHeight="1" x14ac:dyDescent="0.2">
      <c r="B165" t="s">
        <v>385</v>
      </c>
      <c r="AM165" s="243">
        <v>939</v>
      </c>
      <c r="AN165" s="243"/>
      <c r="AO165" s="243"/>
      <c r="AP165" s="243">
        <v>1391</v>
      </c>
      <c r="AQ165" s="243">
        <v>1125</v>
      </c>
      <c r="AR165" s="243">
        <v>1140</v>
      </c>
      <c r="AS165" s="243">
        <v>1474</v>
      </c>
      <c r="AT165" s="243">
        <v>1512</v>
      </c>
      <c r="AU165" s="243">
        <v>1222</v>
      </c>
      <c r="AV165" s="243">
        <v>1292</v>
      </c>
      <c r="AW165" s="243">
        <v>1513</v>
      </c>
      <c r="AX165" s="243">
        <v>1432</v>
      </c>
      <c r="AY165" s="243">
        <v>1153</v>
      </c>
      <c r="AZ165" s="243">
        <v>1191</v>
      </c>
      <c r="BA165" s="243">
        <v>1471</v>
      </c>
      <c r="BB165" s="243">
        <v>1606</v>
      </c>
      <c r="BC165" s="243">
        <v>1054</v>
      </c>
      <c r="BD165" s="243">
        <v>1197</v>
      </c>
      <c r="BE165" s="243">
        <v>1314</v>
      </c>
      <c r="BF165" s="243">
        <v>2642</v>
      </c>
      <c r="BG165" s="243">
        <v>1777</v>
      </c>
      <c r="BH165" s="243">
        <v>2104</v>
      </c>
      <c r="BI165" s="243">
        <v>2263</v>
      </c>
      <c r="BJ165" s="243">
        <v>2329</v>
      </c>
      <c r="BK165" s="243">
        <v>1526</v>
      </c>
      <c r="BL165" s="243">
        <v>1911</v>
      </c>
      <c r="BM165" s="243">
        <v>2128</v>
      </c>
      <c r="BN165" s="243">
        <v>2423</v>
      </c>
      <c r="BO165" s="243">
        <v>1631</v>
      </c>
      <c r="BP165" s="243">
        <v>2001</v>
      </c>
      <c r="BQ165" s="243">
        <v>2324</v>
      </c>
      <c r="BR165" s="243">
        <v>2794</v>
      </c>
      <c r="CX165" s="243">
        <v>3586</v>
      </c>
      <c r="CY165" s="243">
        <v>2098</v>
      </c>
      <c r="CZ165" s="243">
        <v>2717</v>
      </c>
      <c r="DA165" s="243">
        <v>3006</v>
      </c>
      <c r="DB165" s="243">
        <v>3328</v>
      </c>
      <c r="DC165" s="243">
        <v>2231</v>
      </c>
      <c r="DD165" s="243">
        <v>3062</v>
      </c>
      <c r="DE165" s="243">
        <v>3337</v>
      </c>
      <c r="DF165" s="243">
        <v>3993</v>
      </c>
      <c r="DG165" s="243">
        <v>2178</v>
      </c>
      <c r="DH165" s="243">
        <v>2843</v>
      </c>
      <c r="DI165" s="243">
        <v>3620</v>
      </c>
      <c r="DJ165" s="243">
        <v>4126</v>
      </c>
      <c r="EF165" s="243"/>
      <c r="EG165" s="243">
        <v>1391</v>
      </c>
      <c r="EJ165" s="243">
        <v>1606</v>
      </c>
    </row>
    <row r="166" spans="2:140" ht="12.75" customHeight="1" x14ac:dyDescent="0.2">
      <c r="B166" t="s">
        <v>386</v>
      </c>
      <c r="AM166" s="243">
        <v>1940</v>
      </c>
      <c r="AN166" s="243"/>
      <c r="AO166" s="243"/>
      <c r="AP166" s="243">
        <v>724</v>
      </c>
      <c r="AQ166" s="243">
        <v>1378</v>
      </c>
      <c r="AR166" s="243">
        <v>883</v>
      </c>
      <c r="AS166" s="243">
        <v>1032</v>
      </c>
      <c r="AT166" s="243">
        <v>253</v>
      </c>
      <c r="AU166" s="243">
        <v>702</v>
      </c>
      <c r="AV166" s="243">
        <v>385</v>
      </c>
      <c r="AW166" s="243">
        <v>458</v>
      </c>
      <c r="AX166" s="243">
        <v>417</v>
      </c>
      <c r="AY166" s="243">
        <v>705</v>
      </c>
      <c r="AZ166" s="243">
        <v>510</v>
      </c>
      <c r="BA166" s="243">
        <v>1029</v>
      </c>
      <c r="BB166" s="243">
        <v>442</v>
      </c>
      <c r="BC166" s="243">
        <v>1373</v>
      </c>
      <c r="BD166" s="243">
        <v>791</v>
      </c>
      <c r="BE166" s="243">
        <v>781</v>
      </c>
      <c r="BF166" s="243">
        <v>578</v>
      </c>
      <c r="BG166" s="243">
        <v>1007</v>
      </c>
      <c r="BH166" s="243">
        <v>808</v>
      </c>
      <c r="BI166" s="243">
        <v>1336</v>
      </c>
      <c r="BJ166" s="243">
        <v>854</v>
      </c>
      <c r="BK166" s="243">
        <v>914</v>
      </c>
      <c r="BL166" s="243">
        <v>1259</v>
      </c>
      <c r="BM166" s="243">
        <v>1502</v>
      </c>
      <c r="BN166" s="243">
        <v>1064</v>
      </c>
      <c r="BO166" s="243">
        <v>1178</v>
      </c>
      <c r="BP166" s="243">
        <v>956</v>
      </c>
      <c r="BQ166" s="243">
        <v>1711</v>
      </c>
      <c r="BR166" s="243">
        <v>770</v>
      </c>
      <c r="CX166" s="243">
        <v>1112</v>
      </c>
      <c r="CY166" s="243">
        <v>1708</v>
      </c>
      <c r="CZ166" s="243">
        <v>1980</v>
      </c>
      <c r="DA166" s="243">
        <v>1986</v>
      </c>
      <c r="DB166" s="243">
        <v>2127</v>
      </c>
      <c r="DC166" s="243">
        <v>4266</v>
      </c>
      <c r="DD166" s="243">
        <v>2687</v>
      </c>
      <c r="DE166" s="243">
        <v>2899</v>
      </c>
      <c r="DF166" s="243">
        <v>2993</v>
      </c>
      <c r="DG166" s="243">
        <v>3318</v>
      </c>
      <c r="DH166" s="243">
        <v>4309</v>
      </c>
      <c r="DI166" s="243">
        <v>4834</v>
      </c>
      <c r="DJ166" s="243">
        <v>3772</v>
      </c>
      <c r="EF166" s="243"/>
      <c r="EG166" s="243">
        <v>724</v>
      </c>
      <c r="EJ166" s="243">
        <v>442</v>
      </c>
    </row>
    <row r="167" spans="2:140" ht="12.75" customHeight="1" x14ac:dyDescent="0.2">
      <c r="B167" t="s">
        <v>376</v>
      </c>
      <c r="AM167" s="243">
        <f>SUM(AM161:AM166)</f>
        <v>13192</v>
      </c>
      <c r="AN167" s="243"/>
      <c r="AO167" s="243"/>
      <c r="AP167" s="243">
        <v>19161</v>
      </c>
      <c r="AQ167" s="243">
        <v>19663</v>
      </c>
      <c r="AR167" s="243">
        <v>18983</v>
      </c>
      <c r="AS167" s="243">
        <v>19328</v>
      </c>
      <c r="AT167" s="243">
        <v>19837</v>
      </c>
      <c r="AU167" s="243">
        <v>22071</v>
      </c>
      <c r="AV167" s="243">
        <v>21780</v>
      </c>
      <c r="AW167" s="243">
        <f t="shared" ref="AW167:BB167" si="904">SUM(AW161:AW166)</f>
        <v>22730</v>
      </c>
      <c r="AX167" s="243">
        <f t="shared" si="904"/>
        <v>20852</v>
      </c>
      <c r="AY167" s="243">
        <f t="shared" si="904"/>
        <v>21325</v>
      </c>
      <c r="AZ167" s="243">
        <f t="shared" si="904"/>
        <v>19886</v>
      </c>
      <c r="BA167" s="243">
        <f t="shared" si="904"/>
        <v>19245</v>
      </c>
      <c r="BB167" s="243">
        <f t="shared" si="904"/>
        <v>21731</v>
      </c>
      <c r="BC167" s="243">
        <f t="shared" ref="BC167:BF167" si="905">SUM(BC161:BC166)</f>
        <v>18499</v>
      </c>
      <c r="BD167" s="243">
        <f t="shared" ref="BD167" si="906">SUM(BD161:BD166)</f>
        <v>17164</v>
      </c>
      <c r="BE167" s="243">
        <f t="shared" si="905"/>
        <v>17414</v>
      </c>
      <c r="BF167" s="243">
        <f t="shared" si="905"/>
        <v>23072</v>
      </c>
      <c r="BG167" s="243">
        <f t="shared" ref="BG167" si="907">SUM(BG161:BG166)</f>
        <v>24011</v>
      </c>
      <c r="BH167" s="243">
        <f>SUM(BH161:BH166)</f>
        <v>20985</v>
      </c>
      <c r="BI167" s="243">
        <f t="shared" ref="BI167:BJ167" si="908">SUM(BI161:BI166)</f>
        <v>21686</v>
      </c>
      <c r="BJ167" s="243">
        <f t="shared" si="908"/>
        <v>22811</v>
      </c>
      <c r="BK167" s="243">
        <f t="shared" ref="BK167:BL167" si="909">SUM(BK161:BK166)</f>
        <v>21198</v>
      </c>
      <c r="BL167" s="243">
        <f t="shared" si="909"/>
        <v>23848</v>
      </c>
      <c r="BM167" s="243">
        <f t="shared" ref="BM167:BN167" si="910">SUM(BM161:BM166)</f>
        <v>23935</v>
      </c>
      <c r="BN167" s="243">
        <f t="shared" si="910"/>
        <v>24262</v>
      </c>
      <c r="BO167" s="243">
        <f t="shared" ref="BO167:BQ167" si="911">SUM(BO161:BO166)</f>
        <v>22524</v>
      </c>
      <c r="BP167" s="243">
        <f t="shared" si="911"/>
        <v>23767</v>
      </c>
      <c r="BQ167" s="243">
        <f t="shared" si="911"/>
        <v>25835</v>
      </c>
      <c r="BR167" s="243">
        <f t="shared" ref="BR167" si="912">SUM(BR161:BR166)</f>
        <v>25675</v>
      </c>
      <c r="CX167" s="243">
        <f t="shared" ref="CX167" si="913">SUM(CX161:CX166)</f>
        <v>45226</v>
      </c>
      <c r="CY167" s="243">
        <f t="shared" ref="CY167:DD167" si="914">SUM(CY161:CY166)</f>
        <v>43390</v>
      </c>
      <c r="CZ167" s="243">
        <f t="shared" si="914"/>
        <v>44821</v>
      </c>
      <c r="DA167" s="243">
        <f t="shared" si="914"/>
        <v>45543</v>
      </c>
      <c r="DB167" s="243">
        <f t="shared" si="914"/>
        <v>55802</v>
      </c>
      <c r="DC167" s="243">
        <f t="shared" si="914"/>
        <v>60373</v>
      </c>
      <c r="DD167" s="243">
        <f t="shared" si="914"/>
        <v>54170</v>
      </c>
      <c r="DE167" s="243"/>
      <c r="DF167" s="243"/>
      <c r="DG167" s="243"/>
      <c r="DH167" s="243"/>
      <c r="DI167" s="243"/>
      <c r="DJ167" s="243"/>
      <c r="EF167" s="243"/>
      <c r="EG167" s="243">
        <f>SUM(EG161:EG166)</f>
        <v>19161</v>
      </c>
      <c r="EJ167" s="243">
        <f>SUM(EJ161:EJ166)</f>
        <v>21731</v>
      </c>
    </row>
    <row r="168" spans="2:140" ht="12.75" customHeight="1" x14ac:dyDescent="0.2">
      <c r="B168" t="s">
        <v>727</v>
      </c>
      <c r="AM168" s="243">
        <v>1980</v>
      </c>
      <c r="AN168" s="243"/>
      <c r="AO168" s="243"/>
      <c r="AP168" s="243">
        <v>2014</v>
      </c>
      <c r="AQ168" s="243">
        <v>2012</v>
      </c>
      <c r="AR168" s="243">
        <v>2013</v>
      </c>
      <c r="AS168" s="243">
        <v>4633</v>
      </c>
      <c r="AT168" s="243">
        <v>7074</v>
      </c>
      <c r="AU168" s="243">
        <v>7166</v>
      </c>
      <c r="AV168" s="243">
        <v>8770</v>
      </c>
      <c r="AW168" s="243">
        <v>8395</v>
      </c>
      <c r="AX168" s="243">
        <v>8120</v>
      </c>
      <c r="AY168" s="243">
        <v>8052</v>
      </c>
      <c r="AZ168" s="243">
        <v>8179</v>
      </c>
      <c r="BA168" s="243">
        <v>8259</v>
      </c>
      <c r="BB168" s="243">
        <v>8223</v>
      </c>
      <c r="BC168" s="243">
        <v>8059</v>
      </c>
      <c r="BD168" s="243">
        <v>7937</v>
      </c>
      <c r="BE168" s="243">
        <v>9182</v>
      </c>
      <c r="BF168" s="243">
        <v>9156</v>
      </c>
      <c r="BG168" s="243">
        <v>9255</v>
      </c>
      <c r="BH168" s="243">
        <v>13680</v>
      </c>
      <c r="BI168" s="243">
        <v>13031</v>
      </c>
      <c r="BJ168" s="243">
        <v>12969</v>
      </c>
      <c r="BK168" s="243">
        <v>13010</v>
      </c>
      <c r="BL168" s="243">
        <v>11525</v>
      </c>
      <c r="BM168" s="243">
        <v>11428</v>
      </c>
      <c r="BN168" s="243">
        <v>11489</v>
      </c>
      <c r="BO168" s="243">
        <v>11363</v>
      </c>
      <c r="BP168" s="243">
        <v>9643</v>
      </c>
      <c r="BQ168" s="243">
        <v>9748</v>
      </c>
      <c r="BR168" s="243">
        <v>13328</v>
      </c>
      <c r="CX168" s="243">
        <v>29985</v>
      </c>
      <c r="CY168" s="243">
        <v>28851</v>
      </c>
      <c r="CZ168" s="243">
        <v>28292</v>
      </c>
      <c r="DA168" s="243">
        <v>27603</v>
      </c>
      <c r="DB168" s="243">
        <v>26888</v>
      </c>
      <c r="DC168" s="243">
        <v>34928</v>
      </c>
      <c r="DD168" s="243">
        <v>33901</v>
      </c>
      <c r="DE168" s="243">
        <v>26051</v>
      </c>
      <c r="DF168" s="243">
        <v>25881</v>
      </c>
      <c r="DG168" s="243">
        <v>25082</v>
      </c>
      <c r="DH168" s="243">
        <v>31636</v>
      </c>
      <c r="DI168" s="243">
        <v>31289</v>
      </c>
      <c r="DJ168" s="243">
        <v>30651</v>
      </c>
      <c r="EF168" s="243"/>
      <c r="EG168" s="243">
        <v>2014</v>
      </c>
      <c r="EJ168" s="243">
        <v>8223</v>
      </c>
    </row>
    <row r="169" spans="2:140" ht="12.75" customHeight="1" x14ac:dyDescent="0.2">
      <c r="B169" t="s">
        <v>374</v>
      </c>
      <c r="AM169" s="243">
        <v>294</v>
      </c>
      <c r="AN169" s="243"/>
      <c r="AO169" s="243"/>
      <c r="AP169" s="243">
        <v>1319</v>
      </c>
      <c r="AQ169" s="243">
        <v>1375</v>
      </c>
      <c r="AR169" s="243">
        <v>1361</v>
      </c>
      <c r="AS169" s="243">
        <v>1386</v>
      </c>
      <c r="AT169" s="243">
        <v>1493</v>
      </c>
      <c r="AU169" s="243">
        <v>1451</v>
      </c>
      <c r="AV169" s="243">
        <v>1454</v>
      </c>
      <c r="AW169" s="243">
        <v>1384</v>
      </c>
      <c r="AX169" s="243">
        <v>1432</v>
      </c>
      <c r="AY169" s="243">
        <v>1487</v>
      </c>
      <c r="AZ169" s="243">
        <v>1481</v>
      </c>
      <c r="BA169" s="243">
        <v>1505</v>
      </c>
      <c r="BB169" s="243">
        <v>1424</v>
      </c>
      <c r="BC169" s="243">
        <v>1672</v>
      </c>
      <c r="BD169" s="243">
        <v>1669</v>
      </c>
      <c r="BE169" s="243">
        <v>1725</v>
      </c>
      <c r="BF169" s="243">
        <v>1447</v>
      </c>
      <c r="BG169" s="243">
        <v>1895</v>
      </c>
      <c r="BH169" s="243">
        <v>1888</v>
      </c>
      <c r="BI169" s="243">
        <v>1889</v>
      </c>
      <c r="BJ169" s="243">
        <v>1800</v>
      </c>
      <c r="BK169" s="243">
        <v>1846</v>
      </c>
      <c r="BL169" s="243">
        <v>2276</v>
      </c>
      <c r="BM169" s="243">
        <v>2716</v>
      </c>
      <c r="BN169" s="243">
        <v>3136</v>
      </c>
      <c r="BO169" s="243">
        <v>3619</v>
      </c>
      <c r="BP169" s="243">
        <v>3685</v>
      </c>
      <c r="BQ169" s="243">
        <v>3613</v>
      </c>
      <c r="BR169" s="243">
        <v>3989</v>
      </c>
      <c r="CX169" s="243">
        <f>7487+5713</f>
        <v>13200</v>
      </c>
      <c r="CY169" s="243">
        <f>6424+5745</f>
        <v>12169</v>
      </c>
      <c r="CZ169" s="243">
        <f>5015+4162</f>
        <v>9177</v>
      </c>
      <c r="DA169" s="243">
        <v>4946</v>
      </c>
      <c r="DB169" s="243">
        <f>6374+4306</f>
        <v>10680</v>
      </c>
      <c r="DC169" s="243">
        <f>4417+4296</f>
        <v>8713</v>
      </c>
      <c r="DD169" s="243">
        <f>3627+2536</f>
        <v>6163</v>
      </c>
      <c r="DE169" s="243">
        <f>2623+2540</f>
        <v>5163</v>
      </c>
      <c r="DF169" s="243">
        <f>3193+2881</f>
        <v>6074</v>
      </c>
      <c r="DG169" s="243">
        <f>3172+2881</f>
        <v>6053</v>
      </c>
      <c r="DH169" s="243">
        <v>2635</v>
      </c>
      <c r="DI169" s="243">
        <f>2952+354</f>
        <v>3306</v>
      </c>
      <c r="DJ169" s="243">
        <f>2448+390</f>
        <v>2838</v>
      </c>
      <c r="EF169" s="243"/>
      <c r="EG169" s="243">
        <v>1319</v>
      </c>
      <c r="EJ169" s="243">
        <v>1424</v>
      </c>
    </row>
    <row r="170" spans="2:140" ht="12.75" customHeight="1" x14ac:dyDescent="0.2">
      <c r="B170" t="s">
        <v>728</v>
      </c>
      <c r="AM170" s="243">
        <v>3284</v>
      </c>
      <c r="AN170" s="243"/>
      <c r="AO170" s="243"/>
      <c r="AP170" s="243">
        <v>5584</v>
      </c>
      <c r="AQ170" s="243">
        <v>5660</v>
      </c>
      <c r="AR170" s="243">
        <v>5654</v>
      </c>
      <c r="AS170" s="243">
        <v>6082</v>
      </c>
      <c r="AT170" s="243">
        <v>5402</v>
      </c>
      <c r="AU170" s="243">
        <v>5548</v>
      </c>
      <c r="AV170" s="243">
        <v>5572</v>
      </c>
      <c r="AW170" s="243">
        <v>5533</v>
      </c>
      <c r="AX170" s="243">
        <v>7791</v>
      </c>
      <c r="AY170" s="243">
        <v>7297</v>
      </c>
      <c r="AZ170" s="243">
        <v>7370</v>
      </c>
      <c r="BA170" s="243">
        <v>7111</v>
      </c>
      <c r="BB170" s="243">
        <v>6769</v>
      </c>
      <c r="BC170" s="243">
        <v>6254</v>
      </c>
      <c r="BD170" s="243">
        <v>6320</v>
      </c>
      <c r="BE170" s="243">
        <v>6409</v>
      </c>
      <c r="BF170" s="243">
        <v>6087</v>
      </c>
      <c r="BG170" s="243">
        <v>6125</v>
      </c>
      <c r="BH170" s="243">
        <v>6202</v>
      </c>
      <c r="BI170" s="243">
        <v>6215</v>
      </c>
      <c r="BJ170" s="243">
        <v>8353</v>
      </c>
      <c r="BK170" s="243">
        <v>8236</v>
      </c>
      <c r="BL170" s="243">
        <v>8180</v>
      </c>
      <c r="BM170" s="243">
        <v>7904</v>
      </c>
      <c r="BN170" s="243">
        <v>9082</v>
      </c>
      <c r="BO170" s="243">
        <v>8978</v>
      </c>
      <c r="BP170" s="243">
        <v>8996</v>
      </c>
      <c r="BQ170" s="243">
        <v>9038</v>
      </c>
      <c r="BR170" s="243">
        <v>7784</v>
      </c>
      <c r="CX170" s="243">
        <v>8898</v>
      </c>
      <c r="CY170" s="243">
        <v>8739</v>
      </c>
      <c r="CZ170" s="243">
        <v>8553</v>
      </c>
      <c r="DA170" s="243">
        <v>8353</v>
      </c>
      <c r="DB170" s="243">
        <v>6767</v>
      </c>
      <c r="DC170" s="243">
        <v>6665</v>
      </c>
      <c r="DD170" s="243">
        <v>6461</v>
      </c>
      <c r="DE170" s="243">
        <v>5687</v>
      </c>
      <c r="DF170" s="243">
        <v>7149</v>
      </c>
      <c r="DG170" s="243">
        <v>7019</v>
      </c>
      <c r="DH170" s="243">
        <v>6919</v>
      </c>
      <c r="DI170" s="243">
        <v>6852</v>
      </c>
      <c r="DJ170" s="243">
        <v>7255</v>
      </c>
      <c r="EF170" s="243"/>
      <c r="EG170" s="243">
        <v>5584</v>
      </c>
      <c r="EJ170" s="243">
        <v>6769</v>
      </c>
    </row>
    <row r="171" spans="2:140" ht="12.75" customHeight="1" x14ac:dyDescent="0.2">
      <c r="B171" t="s">
        <v>379</v>
      </c>
      <c r="AM171" s="243">
        <v>2260</v>
      </c>
      <c r="AN171" s="243"/>
      <c r="AO171" s="243"/>
      <c r="AP171" s="243">
        <v>3160</v>
      </c>
      <c r="AQ171" s="243">
        <v>3428</v>
      </c>
      <c r="AR171" s="243">
        <v>3550</v>
      </c>
      <c r="AS171" s="243">
        <v>3663</v>
      </c>
      <c r="AT171" s="243">
        <v>3829</v>
      </c>
      <c r="AU171" s="243">
        <v>4134</v>
      </c>
      <c r="AV171" s="243">
        <v>4102</v>
      </c>
      <c r="AW171" s="243">
        <v>3948</v>
      </c>
      <c r="AX171" s="243">
        <v>4206</v>
      </c>
      <c r="AY171" s="243">
        <v>4148</v>
      </c>
      <c r="AZ171" s="243">
        <v>4275</v>
      </c>
      <c r="BA171" s="243">
        <v>5054</v>
      </c>
      <c r="BB171" s="243">
        <v>5947</v>
      </c>
      <c r="BC171" s="243">
        <v>6043</v>
      </c>
      <c r="BD171" s="243">
        <v>6359</v>
      </c>
      <c r="BE171" s="243">
        <v>6226</v>
      </c>
      <c r="BF171" s="243">
        <v>6567</v>
      </c>
      <c r="BG171" s="243">
        <v>7001</v>
      </c>
      <c r="BH171" s="243">
        <v>7227</v>
      </c>
      <c r="BI171" s="243">
        <v>7473</v>
      </c>
      <c r="BJ171" s="243">
        <v>10631</v>
      </c>
      <c r="BK171" s="243">
        <v>10538</v>
      </c>
      <c r="BL171" s="243">
        <v>9487</v>
      </c>
      <c r="BM171" s="243">
        <v>9207</v>
      </c>
      <c r="BN171" s="243">
        <v>8552</v>
      </c>
      <c r="BO171" s="243">
        <v>8197</v>
      </c>
      <c r="BP171" s="243">
        <v>8569</v>
      </c>
      <c r="BQ171" s="243">
        <v>8895</v>
      </c>
      <c r="BR171" s="243">
        <v>7854</v>
      </c>
      <c r="CX171" s="243">
        <v>10686</v>
      </c>
      <c r="CY171" s="243">
        <v>10497</v>
      </c>
      <c r="CZ171" s="243">
        <v>10524</v>
      </c>
      <c r="DA171" s="243">
        <f>4162+9918</f>
        <v>14080</v>
      </c>
      <c r="DB171" s="243">
        <v>10437</v>
      </c>
      <c r="DC171" s="243">
        <v>14421</v>
      </c>
      <c r="DD171" s="243">
        <v>14582</v>
      </c>
      <c r="DE171" s="243">
        <v>13562</v>
      </c>
      <c r="DF171" s="243">
        <v>13398</v>
      </c>
      <c r="DG171" s="243">
        <v>15067</v>
      </c>
      <c r="DH171" s="243">
        <f>341+14086</f>
        <v>14427</v>
      </c>
      <c r="DI171" s="243">
        <v>14923</v>
      </c>
      <c r="DJ171" s="243">
        <v>17549</v>
      </c>
      <c r="EF171" s="243"/>
      <c r="EG171" s="243">
        <v>3160</v>
      </c>
      <c r="EJ171" s="243">
        <v>5947</v>
      </c>
    </row>
    <row r="172" spans="2:140" ht="12.75" customHeight="1" x14ac:dyDescent="0.2">
      <c r="B172" t="s">
        <v>1444</v>
      </c>
      <c r="AM172" s="243">
        <f>SUM(AM167:AM171)</f>
        <v>21010</v>
      </c>
      <c r="AN172" s="243"/>
      <c r="AO172" s="243"/>
      <c r="AP172" s="243">
        <v>31238</v>
      </c>
      <c r="AQ172" s="243">
        <v>32138</v>
      </c>
      <c r="AR172" s="243">
        <v>31561</v>
      </c>
      <c r="AS172" s="243">
        <v>35092</v>
      </c>
      <c r="AT172" s="243">
        <v>37635</v>
      </c>
      <c r="AU172" s="243">
        <v>40370</v>
      </c>
      <c r="AV172" s="243">
        <v>41678</v>
      </c>
      <c r="AW172" s="243">
        <f t="shared" ref="AW172:BB172" si="915">SUM(AW167:AW171)</f>
        <v>41990</v>
      </c>
      <c r="AX172" s="243">
        <f t="shared" si="915"/>
        <v>42401</v>
      </c>
      <c r="AY172" s="243">
        <f t="shared" si="915"/>
        <v>42309</v>
      </c>
      <c r="AZ172" s="243">
        <f t="shared" si="915"/>
        <v>41191</v>
      </c>
      <c r="BA172" s="243">
        <f t="shared" si="915"/>
        <v>41174</v>
      </c>
      <c r="BB172" s="243">
        <f t="shared" si="915"/>
        <v>44094</v>
      </c>
      <c r="BC172" s="243">
        <f t="shared" ref="BC172:BF172" si="916">SUM(BC167:BC171)</f>
        <v>40527</v>
      </c>
      <c r="BD172" s="243">
        <f t="shared" ref="BD172" si="917">SUM(BD167:BD171)</f>
        <v>39449</v>
      </c>
      <c r="BE172" s="243">
        <f t="shared" si="916"/>
        <v>40956</v>
      </c>
      <c r="BF172" s="243">
        <f t="shared" si="916"/>
        <v>46329</v>
      </c>
      <c r="BG172" s="243">
        <f t="shared" ref="BG172" si="918">SUM(BG167:BG171)</f>
        <v>48287</v>
      </c>
      <c r="BH172" s="243">
        <f>SUM(BH167:BH171)</f>
        <v>49982</v>
      </c>
      <c r="BI172" s="243">
        <f t="shared" ref="BI172:BJ172" si="919">SUM(BI167:BI171)</f>
        <v>50294</v>
      </c>
      <c r="BJ172" s="243">
        <f t="shared" si="919"/>
        <v>56564</v>
      </c>
      <c r="BK172" s="243">
        <f t="shared" ref="BK172:BL172" si="920">SUM(BK167:BK171)</f>
        <v>54828</v>
      </c>
      <c r="BL172" s="243">
        <f t="shared" si="920"/>
        <v>55316</v>
      </c>
      <c r="BM172" s="243">
        <f t="shared" ref="BM172:BN172" si="921">SUM(BM167:BM171)</f>
        <v>55190</v>
      </c>
      <c r="BN172" s="243">
        <f t="shared" si="921"/>
        <v>56521</v>
      </c>
      <c r="BO172" s="243">
        <f t="shared" ref="BO172:BP172" si="922">SUM(BO167:BO171)</f>
        <v>54681</v>
      </c>
      <c r="BP172" s="243">
        <f t="shared" si="922"/>
        <v>54660</v>
      </c>
      <c r="BQ172" s="243">
        <f t="shared" ref="BQ172:BR172" si="923">SUM(BQ167:BQ171)</f>
        <v>57129</v>
      </c>
      <c r="BR172" s="243">
        <f t="shared" si="923"/>
        <v>58630</v>
      </c>
      <c r="CX172" s="243">
        <f t="shared" ref="CX172" si="924">SUM(CX167:CX171)</f>
        <v>107995</v>
      </c>
      <c r="CY172" s="243">
        <f t="shared" ref="CY172:DD172" si="925">SUM(CY167:CY171)</f>
        <v>103646</v>
      </c>
      <c r="CZ172" s="243">
        <f t="shared" si="925"/>
        <v>101367</v>
      </c>
      <c r="DA172" s="243">
        <f t="shared" si="925"/>
        <v>100525</v>
      </c>
      <c r="DB172" s="243">
        <f t="shared" si="925"/>
        <v>110574</v>
      </c>
      <c r="DC172" s="243">
        <f t="shared" si="925"/>
        <v>125100</v>
      </c>
      <c r="DD172" s="243">
        <f t="shared" si="925"/>
        <v>115277</v>
      </c>
      <c r="DE172" s="243">
        <f>SUM(DE161:DE171)</f>
        <v>94833</v>
      </c>
      <c r="DF172" s="243">
        <f>SUM(DF161:DF171)</f>
        <v>98784</v>
      </c>
      <c r="DG172" s="243">
        <f>SUM(DG161:DG171)</f>
        <v>101946</v>
      </c>
      <c r="DH172" s="243">
        <f>SUM(DH161:DH171)</f>
        <v>109550</v>
      </c>
      <c r="DI172" s="243">
        <f>SUM(DI161:DI171)</f>
        <v>108129</v>
      </c>
      <c r="DJ172" s="243">
        <f>SUM(DJ161:DJ171)</f>
        <v>108614</v>
      </c>
      <c r="EF172" s="243"/>
      <c r="EG172" s="243">
        <f>SUM(EG167:EG171)</f>
        <v>31238</v>
      </c>
      <c r="EJ172" s="243">
        <f>SUM(EJ167:EJ171)</f>
        <v>44094</v>
      </c>
    </row>
    <row r="173" spans="2:140" ht="12.75" customHeight="1" x14ac:dyDescent="0.2">
      <c r="B173" t="s">
        <v>1446</v>
      </c>
      <c r="AM173" s="243"/>
      <c r="AN173" s="243"/>
      <c r="AO173" s="243"/>
      <c r="AP173" s="243"/>
      <c r="AQ173" s="243"/>
      <c r="AR173" s="243"/>
      <c r="AS173" s="243"/>
      <c r="AT173" s="243"/>
      <c r="AU173" s="243"/>
      <c r="AV173" s="243"/>
      <c r="AW173" s="243"/>
      <c r="AX173" s="243"/>
      <c r="AY173" s="243"/>
      <c r="AZ173" s="243"/>
      <c r="BA173" s="243"/>
      <c r="BB173" s="243"/>
      <c r="BC173" s="243"/>
      <c r="BD173" s="243"/>
      <c r="BE173" s="243">
        <v>3120</v>
      </c>
      <c r="BF173" s="243">
        <v>3120</v>
      </c>
      <c r="BG173" s="243">
        <v>3120</v>
      </c>
      <c r="BH173" s="243">
        <v>3120</v>
      </c>
      <c r="BI173" s="243">
        <v>3120</v>
      </c>
      <c r="BJ173" s="243">
        <v>3120</v>
      </c>
      <c r="BK173" s="243">
        <v>3120</v>
      </c>
      <c r="BL173" s="243">
        <v>3120</v>
      </c>
      <c r="BM173" s="243">
        <v>3120</v>
      </c>
      <c r="BN173" s="243">
        <v>3120</v>
      </c>
      <c r="BO173" s="243">
        <v>3120</v>
      </c>
      <c r="BP173" s="243">
        <v>3120</v>
      </c>
      <c r="BQ173" s="243">
        <v>3120</v>
      </c>
      <c r="BR173" s="243">
        <v>3120</v>
      </c>
      <c r="CX173" s="243">
        <v>3120</v>
      </c>
      <c r="CY173" s="243">
        <v>3120</v>
      </c>
      <c r="CZ173" s="243">
        <v>3120</v>
      </c>
      <c r="DA173" s="243">
        <v>3120</v>
      </c>
      <c r="DB173" s="243">
        <v>3120</v>
      </c>
      <c r="DC173" s="243">
        <v>3120</v>
      </c>
      <c r="DD173" s="243">
        <v>3120</v>
      </c>
      <c r="DE173" s="243">
        <v>3120</v>
      </c>
      <c r="DF173" s="243">
        <v>3120</v>
      </c>
      <c r="DG173" s="243">
        <v>3120</v>
      </c>
      <c r="DH173" s="243">
        <v>3120</v>
      </c>
      <c r="DI173" s="243">
        <v>3120</v>
      </c>
      <c r="DJ173" s="243">
        <v>3120</v>
      </c>
      <c r="EF173" s="243"/>
      <c r="EG173" s="243"/>
      <c r="EJ173" s="243"/>
    </row>
    <row r="174" spans="2:140" ht="12.75" customHeight="1" x14ac:dyDescent="0.2">
      <c r="B174" t="s">
        <v>1447</v>
      </c>
      <c r="AM174" s="243"/>
      <c r="AN174" s="243"/>
      <c r="AO174" s="243"/>
      <c r="AP174" s="243"/>
      <c r="AQ174" s="243"/>
      <c r="AR174" s="243"/>
      <c r="AS174" s="243"/>
      <c r="AT174" s="243"/>
      <c r="AU174" s="243"/>
      <c r="AV174" s="243"/>
      <c r="AW174" s="243"/>
      <c r="AX174" s="243"/>
      <c r="AY174" s="243"/>
      <c r="AZ174" s="243"/>
      <c r="BA174" s="243"/>
      <c r="BB174" s="243"/>
      <c r="BC174" s="243"/>
      <c r="BD174" s="243"/>
      <c r="BE174" s="243">
        <v>-2924</v>
      </c>
      <c r="BF174" s="243">
        <v>-3531</v>
      </c>
      <c r="BG174" s="243">
        <v>-2020</v>
      </c>
      <c r="BH174" s="243">
        <v>-1192</v>
      </c>
      <c r="BI174" s="243">
        <v>-3068</v>
      </c>
      <c r="BJ174" s="243">
        <v>-5632</v>
      </c>
      <c r="BK174" s="243">
        <v>-4540</v>
      </c>
      <c r="BL174" s="243">
        <v>-6204</v>
      </c>
      <c r="BM174" s="243">
        <v>-4925</v>
      </c>
      <c r="BN174" s="243">
        <v>-5810</v>
      </c>
      <c r="BO174" s="243">
        <v>-6689</v>
      </c>
      <c r="BP174" s="243">
        <v>-6810</v>
      </c>
      <c r="BQ174" s="243">
        <v>-5346</v>
      </c>
      <c r="BR174" s="243">
        <v>-2860</v>
      </c>
      <c r="CX174" s="243">
        <v>-13058</v>
      </c>
      <c r="CY174" s="243">
        <v>-13757</v>
      </c>
      <c r="CZ174" s="243">
        <v>-13843</v>
      </c>
      <c r="DA174" s="243">
        <v>-15292</v>
      </c>
      <c r="DB174" s="243">
        <v>-12967</v>
      </c>
      <c r="DC174" s="243">
        <v>-12626</v>
      </c>
      <c r="DD174" s="243">
        <v>-13135</v>
      </c>
      <c r="DE174" s="243">
        <v>-8780</v>
      </c>
      <c r="DF174" s="243">
        <v>-12527</v>
      </c>
      <c r="DG174" s="243">
        <v>-10768</v>
      </c>
      <c r="DH174" s="243">
        <v>-11253</v>
      </c>
      <c r="DI174" s="243">
        <v>-12522</v>
      </c>
      <c r="DJ174" s="243">
        <v>-11741</v>
      </c>
      <c r="EF174" s="243"/>
      <c r="EG174" s="243"/>
      <c r="EJ174" s="243"/>
    </row>
    <row r="175" spans="2:140" ht="12.75" customHeight="1" x14ac:dyDescent="0.2">
      <c r="B175" t="s">
        <v>1448</v>
      </c>
      <c r="AM175" s="243"/>
      <c r="AN175" s="243"/>
      <c r="AO175" s="243"/>
      <c r="AP175" s="243"/>
      <c r="AQ175" s="243"/>
      <c r="AR175" s="243"/>
      <c r="AS175" s="243"/>
      <c r="AT175" s="243"/>
      <c r="AU175" s="243"/>
      <c r="AV175" s="243"/>
      <c r="AW175" s="243"/>
      <c r="AX175" s="243"/>
      <c r="AY175" s="243"/>
      <c r="AZ175" s="243"/>
      <c r="BA175" s="243"/>
      <c r="BB175" s="243"/>
      <c r="BC175" s="243"/>
      <c r="BD175" s="243"/>
      <c r="BE175" s="243">
        <v>77272</v>
      </c>
      <c r="BF175" s="243">
        <v>77773</v>
      </c>
      <c r="BG175" s="243">
        <v>79515</v>
      </c>
      <c r="BH175" s="243">
        <v>80836</v>
      </c>
      <c r="BI175" s="243">
        <v>82634</v>
      </c>
      <c r="BJ175" s="243">
        <v>81251</v>
      </c>
      <c r="BK175" s="243">
        <v>83103</v>
      </c>
      <c r="BL175" s="243">
        <v>83530</v>
      </c>
      <c r="BM175" s="243">
        <v>84880</v>
      </c>
      <c r="BN175" s="243">
        <v>85992</v>
      </c>
      <c r="BO175" s="243">
        <v>87242</v>
      </c>
      <c r="BP175" s="243">
        <v>89449</v>
      </c>
      <c r="BQ175" s="243">
        <v>87703</v>
      </c>
      <c r="BR175" s="243">
        <v>89493</v>
      </c>
      <c r="CX175" s="243">
        <v>123060</v>
      </c>
      <c r="CY175" s="243">
        <v>124380</v>
      </c>
      <c r="CZ175" s="243">
        <v>126216</v>
      </c>
      <c r="DA175" s="243">
        <v>127917</v>
      </c>
      <c r="DB175" s="243">
        <v>128345</v>
      </c>
      <c r="DC175" s="243">
        <v>124558</v>
      </c>
      <c r="DD175" s="243">
        <v>129381</v>
      </c>
      <c r="DE175" s="243">
        <v>152536</v>
      </c>
      <c r="DF175" s="243">
        <v>153843</v>
      </c>
      <c r="DG175" s="243">
        <v>153378</v>
      </c>
      <c r="DH175" s="243">
        <v>155360</v>
      </c>
      <c r="DI175" s="243">
        <v>155179</v>
      </c>
      <c r="DJ175" s="243">
        <v>155791</v>
      </c>
      <c r="EF175" s="243"/>
      <c r="EG175" s="243"/>
      <c r="EJ175" s="243"/>
    </row>
    <row r="176" spans="2:140" ht="12.75" customHeight="1" x14ac:dyDescent="0.2">
      <c r="B176" t="s">
        <v>1449</v>
      </c>
      <c r="AM176" s="243"/>
      <c r="AN176" s="243"/>
      <c r="AO176" s="243"/>
      <c r="AP176" s="243"/>
      <c r="AQ176" s="243"/>
      <c r="AR176" s="243"/>
      <c r="AS176" s="243"/>
      <c r="AT176" s="243"/>
      <c r="AU176" s="243"/>
      <c r="AV176" s="243"/>
      <c r="AW176" s="243"/>
      <c r="AX176" s="243"/>
      <c r="AY176" s="243"/>
      <c r="AZ176" s="243"/>
      <c r="BA176" s="243"/>
      <c r="BB176" s="243"/>
      <c r="BC176" s="243"/>
      <c r="BD176" s="243"/>
      <c r="BE176" s="243">
        <v>-20177</v>
      </c>
      <c r="BF176" s="243">
        <v>-20783</v>
      </c>
      <c r="BG176" s="243">
        <v>-20752</v>
      </c>
      <c r="BH176" s="243">
        <v>-20632</v>
      </c>
      <c r="BI176" s="243">
        <v>-21159</v>
      </c>
      <c r="BJ176" s="243">
        <v>-21659</v>
      </c>
      <c r="BK176" s="243">
        <v>-20317</v>
      </c>
      <c r="BL176" s="243">
        <v>-20012</v>
      </c>
      <c r="BM176" s="243">
        <v>-19314</v>
      </c>
      <c r="BN176" s="243">
        <v>-18476</v>
      </c>
      <c r="BO176" s="243">
        <v>-16818</v>
      </c>
      <c r="BP176" s="243">
        <v>-16094</v>
      </c>
      <c r="BQ176" s="243">
        <v>-15673</v>
      </c>
      <c r="BR176" s="243">
        <v>-15700</v>
      </c>
      <c r="CX176" s="243">
        <v>39099</v>
      </c>
      <c r="CY176" s="243">
        <v>39034</v>
      </c>
      <c r="CZ176" s="243">
        <v>39136</v>
      </c>
      <c r="DA176" s="243">
        <v>41146</v>
      </c>
      <c r="DB176" s="243">
        <v>41694</v>
      </c>
      <c r="DC176" s="243">
        <v>44183</v>
      </c>
      <c r="DD176" s="243">
        <v>44217</v>
      </c>
      <c r="DE176" s="243">
        <v>75648</v>
      </c>
      <c r="DF176" s="243">
        <v>75662</v>
      </c>
      <c r="DG176" s="243">
        <v>75710</v>
      </c>
      <c r="DH176" s="243">
        <v>75689</v>
      </c>
      <c r="DI176" s="243">
        <v>75619</v>
      </c>
      <c r="DJ176" s="243">
        <v>75680</v>
      </c>
      <c r="EF176" s="243"/>
      <c r="EG176" s="243"/>
      <c r="EJ176" s="243"/>
    </row>
    <row r="177" spans="2:169" ht="12.75" customHeight="1" x14ac:dyDescent="0.2">
      <c r="B177" t="s">
        <v>387</v>
      </c>
      <c r="AM177" s="243">
        <v>41123</v>
      </c>
      <c r="AN177" s="243"/>
      <c r="AO177" s="243"/>
      <c r="AP177" s="243">
        <v>39318</v>
      </c>
      <c r="AQ177" s="243">
        <v>40925</v>
      </c>
      <c r="AR177" s="243">
        <v>43122</v>
      </c>
      <c r="AS177" s="243">
        <v>43573</v>
      </c>
      <c r="AT177" s="243">
        <v>43319</v>
      </c>
      <c r="AU177" s="243">
        <v>45625</v>
      </c>
      <c r="AV177" s="243">
        <v>46435</v>
      </c>
      <c r="AW177" s="243">
        <v>45734</v>
      </c>
      <c r="AX177" s="243">
        <v>42511</v>
      </c>
      <c r="AY177" s="243">
        <v>43791</v>
      </c>
      <c r="AZ177" s="243">
        <v>46247</v>
      </c>
      <c r="BA177" s="243">
        <v>50384</v>
      </c>
      <c r="BB177" s="243">
        <v>50588</v>
      </c>
      <c r="BC177" s="243">
        <v>52914</v>
      </c>
      <c r="BD177" s="243">
        <v>52851</v>
      </c>
      <c r="BE177" s="243">
        <f t="shared" ref="BE177:BR177" si="926">SUM(BE173:BE176)</f>
        <v>57291</v>
      </c>
      <c r="BF177" s="243">
        <f t="shared" si="926"/>
        <v>56579</v>
      </c>
      <c r="BG177" s="243">
        <f t="shared" si="926"/>
        <v>59863</v>
      </c>
      <c r="BH177" s="243">
        <f t="shared" si="926"/>
        <v>62132</v>
      </c>
      <c r="BI177" s="243">
        <f t="shared" si="926"/>
        <v>61527</v>
      </c>
      <c r="BJ177" s="243">
        <f t="shared" si="926"/>
        <v>57080</v>
      </c>
      <c r="BK177" s="243">
        <f t="shared" si="926"/>
        <v>61366</v>
      </c>
      <c r="BL177" s="243">
        <f t="shared" si="926"/>
        <v>60434</v>
      </c>
      <c r="BM177" s="243">
        <f t="shared" si="926"/>
        <v>63761</v>
      </c>
      <c r="BN177" s="243">
        <f t="shared" si="926"/>
        <v>64826</v>
      </c>
      <c r="BO177" s="243">
        <f t="shared" si="926"/>
        <v>66855</v>
      </c>
      <c r="BP177" s="243">
        <f t="shared" si="926"/>
        <v>69665</v>
      </c>
      <c r="BQ177" s="243">
        <f t="shared" si="926"/>
        <v>69804</v>
      </c>
      <c r="BR177" s="243">
        <f t="shared" si="926"/>
        <v>74053</v>
      </c>
      <c r="CX177" s="243">
        <f t="shared" ref="CX177" si="927">+CX175-CX176+CX173+CX174</f>
        <v>74023</v>
      </c>
      <c r="CY177" s="243">
        <f>+CY175-CY176+CY173+CY174</f>
        <v>74709</v>
      </c>
      <c r="CZ177" s="243">
        <v>76357</v>
      </c>
      <c r="DA177" s="243">
        <v>74599</v>
      </c>
      <c r="DB177" s="243">
        <v>76804</v>
      </c>
      <c r="DC177" s="243">
        <v>70869</v>
      </c>
      <c r="DD177" s="243">
        <f>75149+1260</f>
        <v>76409</v>
      </c>
      <c r="DE177" s="243">
        <f>+DE173+DE174+DE175-DE176</f>
        <v>71228</v>
      </c>
      <c r="DF177" s="243">
        <f>+DF173+DF174+DF175-DF176</f>
        <v>68774</v>
      </c>
      <c r="DG177" s="243">
        <f>+DG173+DG174+DG175-DG176</f>
        <v>70020</v>
      </c>
      <c r="DH177" s="243">
        <f>+DH173+DH174+DH175-DH176</f>
        <v>71538</v>
      </c>
      <c r="DI177" s="243">
        <f>+DI173+DI174+DI175-DI176</f>
        <v>70158</v>
      </c>
      <c r="DJ177" s="243">
        <f>+DJ173+DJ174+DJ175-DJ176</f>
        <v>71490</v>
      </c>
      <c r="EF177" s="243"/>
      <c r="EG177" s="243">
        <f>EG159-EG172</f>
        <v>39318</v>
      </c>
      <c r="EJ177" s="243">
        <v>50558</v>
      </c>
    </row>
    <row r="178" spans="2:169" ht="12.75" customHeight="1" x14ac:dyDescent="0.2">
      <c r="B178" t="s">
        <v>363</v>
      </c>
      <c r="AM178" s="243">
        <f>AM177+AM172</f>
        <v>62133</v>
      </c>
      <c r="AN178" s="243"/>
      <c r="AO178" s="243"/>
      <c r="AP178" s="243">
        <v>70556</v>
      </c>
      <c r="AQ178" s="243">
        <v>73066</v>
      </c>
      <c r="AR178" s="243">
        <v>74683</v>
      </c>
      <c r="AS178" s="243">
        <v>78665</v>
      </c>
      <c r="AT178" s="243">
        <v>80954</v>
      </c>
      <c r="AU178" s="243">
        <v>85995</v>
      </c>
      <c r="AV178" s="243">
        <v>88113</v>
      </c>
      <c r="AW178" s="243">
        <f t="shared" ref="AW178:BB178" si="928">AW177+AW172</f>
        <v>87724</v>
      </c>
      <c r="AX178" s="243">
        <f t="shared" si="928"/>
        <v>84912</v>
      </c>
      <c r="AY178" s="243">
        <f t="shared" si="928"/>
        <v>86100</v>
      </c>
      <c r="AZ178" s="243">
        <f t="shared" si="928"/>
        <v>87438</v>
      </c>
      <c r="BA178" s="243">
        <f t="shared" si="928"/>
        <v>91558</v>
      </c>
      <c r="BB178" s="243">
        <f t="shared" si="928"/>
        <v>94682</v>
      </c>
      <c r="BC178" s="243">
        <f>BC177+BC172</f>
        <v>93441</v>
      </c>
      <c r="BD178" s="243">
        <f t="shared" ref="BD178" si="929">BD177+BD172</f>
        <v>92300</v>
      </c>
      <c r="BE178" s="243">
        <f t="shared" ref="BE178:BR178" si="930">BE177+BE172</f>
        <v>98247</v>
      </c>
      <c r="BF178" s="243">
        <f t="shared" si="930"/>
        <v>102908</v>
      </c>
      <c r="BG178" s="243">
        <f t="shared" si="930"/>
        <v>108150</v>
      </c>
      <c r="BH178" s="243">
        <f t="shared" si="930"/>
        <v>112114</v>
      </c>
      <c r="BI178" s="243">
        <f t="shared" si="930"/>
        <v>111821</v>
      </c>
      <c r="BJ178" s="243">
        <f t="shared" si="930"/>
        <v>113644</v>
      </c>
      <c r="BK178" s="243">
        <f t="shared" si="930"/>
        <v>116194</v>
      </c>
      <c r="BL178" s="243">
        <f t="shared" si="930"/>
        <v>115750</v>
      </c>
      <c r="BM178" s="243">
        <f t="shared" si="930"/>
        <v>118951</v>
      </c>
      <c r="BN178" s="243">
        <f t="shared" si="930"/>
        <v>121347</v>
      </c>
      <c r="BO178" s="243">
        <f t="shared" si="930"/>
        <v>121536</v>
      </c>
      <c r="BP178" s="243">
        <f t="shared" si="930"/>
        <v>124325</v>
      </c>
      <c r="BQ178" s="243">
        <f t="shared" si="930"/>
        <v>126933</v>
      </c>
      <c r="BR178" s="243">
        <f t="shared" si="930"/>
        <v>132683</v>
      </c>
      <c r="CX178" s="243">
        <f t="shared" ref="CX178" si="931">+CX177+CX172</f>
        <v>182018</v>
      </c>
      <c r="CY178" s="243">
        <f t="shared" ref="CY178:DJ178" si="932">+CY177+CY172</f>
        <v>178355</v>
      </c>
      <c r="CZ178" s="243">
        <f t="shared" si="932"/>
        <v>177724</v>
      </c>
      <c r="DA178" s="243">
        <f t="shared" si="932"/>
        <v>175124</v>
      </c>
      <c r="DB178" s="243">
        <f t="shared" si="932"/>
        <v>187378</v>
      </c>
      <c r="DC178" s="243">
        <f t="shared" si="932"/>
        <v>195969</v>
      </c>
      <c r="DD178" s="243">
        <f t="shared" si="932"/>
        <v>191686</v>
      </c>
      <c r="DE178" s="243">
        <f>+DE177+DE172</f>
        <v>166061</v>
      </c>
      <c r="DF178" s="243">
        <f t="shared" si="932"/>
        <v>167558</v>
      </c>
      <c r="DG178" s="243">
        <f t="shared" si="932"/>
        <v>171966</v>
      </c>
      <c r="DH178" s="243">
        <f t="shared" si="932"/>
        <v>181088</v>
      </c>
      <c r="DI178" s="243">
        <f t="shared" si="932"/>
        <v>178287</v>
      </c>
      <c r="DJ178" s="243">
        <f t="shared" si="932"/>
        <v>180104</v>
      </c>
      <c r="EF178" s="294"/>
      <c r="EG178" s="294">
        <f>EG75/EG177</f>
        <v>0.28315275446360444</v>
      </c>
      <c r="EJ178" s="294">
        <f>EJ75/EJ177</f>
        <v>0.33186637129633295</v>
      </c>
    </row>
    <row r="179" spans="2:169" ht="12.75" customHeight="1" x14ac:dyDescent="0.2">
      <c r="B179" t="s">
        <v>388</v>
      </c>
      <c r="AM179" s="294">
        <f>AM75/AM177*4</f>
        <v>0.32507355980837976</v>
      </c>
      <c r="AP179" s="294">
        <f t="shared" ref="AP179:BR179" si="933">AP75/AP177*4</f>
        <v>0.24263696017091407</v>
      </c>
      <c r="AQ179" s="294">
        <f t="shared" si="933"/>
        <v>0.33524740378741602</v>
      </c>
      <c r="AR179" s="294">
        <f t="shared" si="933"/>
        <v>0.28681415518760728</v>
      </c>
      <c r="AS179" s="294">
        <f t="shared" si="933"/>
        <v>0.28544447249443461</v>
      </c>
      <c r="AT179" s="294">
        <f t="shared" si="933"/>
        <v>0.26704429926821949</v>
      </c>
      <c r="AU179" s="294">
        <f t="shared" si="933"/>
        <v>0.31544109589041097</v>
      </c>
      <c r="AV179" s="294">
        <f t="shared" si="933"/>
        <v>0.2900398406374502</v>
      </c>
      <c r="AW179" s="294">
        <f t="shared" si="933"/>
        <v>0.28950015305899329</v>
      </c>
      <c r="AX179" s="294">
        <f t="shared" si="933"/>
        <v>0.2470889887323281</v>
      </c>
      <c r="AY179" s="294">
        <f t="shared" si="933"/>
        <v>0.32033979584846201</v>
      </c>
      <c r="AZ179" s="294">
        <f t="shared" si="933"/>
        <v>0.27746664648517744</v>
      </c>
      <c r="BA179" s="294">
        <f t="shared" si="933"/>
        <v>0.26556049539536358</v>
      </c>
      <c r="BB179" s="294">
        <f t="shared" si="933"/>
        <v>0.2280382699454416</v>
      </c>
      <c r="BC179" s="294">
        <f t="shared" si="933"/>
        <v>0.2733492081490721</v>
      </c>
      <c r="BD179" s="294">
        <f t="shared" si="933"/>
        <v>0.26043026622012827</v>
      </c>
      <c r="BE179" s="294">
        <f t="shared" si="933"/>
        <v>0.23857150337749386</v>
      </c>
      <c r="BF179" s="294">
        <f t="shared" si="933"/>
        <v>0.20247795118330122</v>
      </c>
      <c r="BG179" s="294">
        <f t="shared" si="933"/>
        <v>0.28525132385613816</v>
      </c>
      <c r="BH179" s="294">
        <f t="shared" si="933"/>
        <v>0.21663555011910127</v>
      </c>
      <c r="BI179" s="294">
        <f t="shared" si="933"/>
        <v>0.20816877143367951</v>
      </c>
      <c r="BJ179" s="294">
        <f t="shared" si="933"/>
        <v>0.39908899789768748</v>
      </c>
      <c r="BK179" s="294">
        <f t="shared" si="933"/>
        <v>0.254864257080468</v>
      </c>
      <c r="BL179" s="294">
        <f t="shared" si="933"/>
        <v>0.23966641294635471</v>
      </c>
      <c r="BM179" s="294">
        <f t="shared" si="933"/>
        <v>0.21624504007151707</v>
      </c>
      <c r="BN179" s="294">
        <f t="shared" si="933"/>
        <v>0.17616388486101256</v>
      </c>
      <c r="BO179" s="294">
        <f t="shared" si="933"/>
        <v>0.21563084286889536</v>
      </c>
      <c r="BP179" s="294">
        <f t="shared" si="933"/>
        <v>0.24947965262326849</v>
      </c>
      <c r="BQ179" s="294">
        <f t="shared" si="933"/>
        <v>0.22823906939430405</v>
      </c>
      <c r="BR179" s="294">
        <f t="shared" si="933"/>
        <v>0.19707803870201071</v>
      </c>
    </row>
    <row r="180" spans="2:169" ht="12.75" customHeight="1" x14ac:dyDescent="0.2">
      <c r="B180" t="s">
        <v>1439</v>
      </c>
      <c r="AM180" s="294"/>
      <c r="AP180" s="294"/>
      <c r="AQ180" s="294"/>
      <c r="AR180" s="294"/>
      <c r="AS180" s="294"/>
      <c r="AT180" s="294">
        <f t="shared" ref="AT180:BE180" si="934">AT177/AP177-1</f>
        <v>0.10176000813876596</v>
      </c>
      <c r="AU180" s="294">
        <f t="shared" si="934"/>
        <v>0.11484422724496035</v>
      </c>
      <c r="AV180" s="294">
        <f t="shared" si="934"/>
        <v>7.6828532999396959E-2</v>
      </c>
      <c r="AW180" s="294">
        <f t="shared" si="934"/>
        <v>4.9594932641773504E-2</v>
      </c>
      <c r="AX180" s="294">
        <f t="shared" si="934"/>
        <v>-1.8652323460837006E-2</v>
      </c>
      <c r="AY180" s="294">
        <f t="shared" si="934"/>
        <v>-4.0197260273972635E-2</v>
      </c>
      <c r="AZ180" s="294">
        <f t="shared" si="934"/>
        <v>-4.0486701841283557E-3</v>
      </c>
      <c r="BA180" s="294">
        <f t="shared" si="934"/>
        <v>0.10167490269821133</v>
      </c>
      <c r="BB180" s="294">
        <f t="shared" si="934"/>
        <v>0.18999788290089614</v>
      </c>
      <c r="BC180" s="294">
        <f t="shared" si="934"/>
        <v>0.20833047886552025</v>
      </c>
      <c r="BD180" s="294">
        <f t="shared" si="934"/>
        <v>0.14279845179146755</v>
      </c>
      <c r="BE180" s="294">
        <f t="shared" si="934"/>
        <v>0.13708717053032715</v>
      </c>
      <c r="BF180" s="294">
        <f t="shared" ref="BF180:BR180" si="935">BF177/BB177-1</f>
        <v>0.11842729501067439</v>
      </c>
      <c r="BG180" s="294">
        <f t="shared" si="935"/>
        <v>0.1313263030577918</v>
      </c>
      <c r="BH180" s="294">
        <f t="shared" si="935"/>
        <v>0.17560689485534797</v>
      </c>
      <c r="BI180" s="294">
        <f t="shared" si="935"/>
        <v>7.39383149185735E-2</v>
      </c>
      <c r="BJ180" s="294">
        <f t="shared" si="935"/>
        <v>8.8548754838366772E-3</v>
      </c>
      <c r="BK180" s="294">
        <f t="shared" si="935"/>
        <v>2.5107328399846418E-2</v>
      </c>
      <c r="BL180" s="294">
        <f t="shared" si="935"/>
        <v>-2.7328912637610281E-2</v>
      </c>
      <c r="BM180" s="294">
        <f t="shared" si="935"/>
        <v>3.630926260015932E-2</v>
      </c>
      <c r="BN180" s="294">
        <f t="shared" si="935"/>
        <v>0.13570427470217239</v>
      </c>
      <c r="BO180" s="294">
        <f t="shared" si="935"/>
        <v>8.9446925007333089E-2</v>
      </c>
      <c r="BP180" s="294">
        <f t="shared" si="935"/>
        <v>0.15274514346228951</v>
      </c>
      <c r="BQ180" s="294">
        <f t="shared" si="935"/>
        <v>9.4775803390787505E-2</v>
      </c>
      <c r="BR180" s="294">
        <f t="shared" si="935"/>
        <v>0.1423348656403296</v>
      </c>
      <c r="DB180" s="294">
        <f t="shared" ref="DB180:DH180" si="936">DB177/CX177-1</f>
        <v>3.75694041041299E-2</v>
      </c>
      <c r="DC180" s="294">
        <f t="shared" si="936"/>
        <v>-5.1399429787575834E-2</v>
      </c>
      <c r="DD180" s="294">
        <f t="shared" si="936"/>
        <v>6.8101156410027563E-4</v>
      </c>
      <c r="DE180" s="294">
        <f t="shared" si="936"/>
        <v>-4.5188273301250637E-2</v>
      </c>
      <c r="DF180" s="294">
        <f t="shared" si="936"/>
        <v>-0.1045518462580074</v>
      </c>
      <c r="DG180" s="294">
        <f t="shared" si="936"/>
        <v>-1.197985014604408E-2</v>
      </c>
      <c r="DH180" s="294">
        <f t="shared" si="936"/>
        <v>-6.3749034799565507E-2</v>
      </c>
      <c r="DI180" s="294">
        <f>DI177/DE177-1</f>
        <v>-1.5022182287864339E-2</v>
      </c>
      <c r="DJ180" s="294">
        <f>DJ177/DF177-1</f>
        <v>3.9491668363044186E-2</v>
      </c>
    </row>
    <row r="181" spans="2:169" ht="12.75" customHeight="1" x14ac:dyDescent="0.2">
      <c r="AM181" s="294"/>
      <c r="AP181" s="294"/>
      <c r="AQ181" s="294"/>
      <c r="AR181" s="294"/>
      <c r="AS181" s="294"/>
      <c r="AT181" s="294"/>
      <c r="AU181" s="294"/>
      <c r="AV181" s="294"/>
      <c r="AW181" s="294"/>
      <c r="AX181" s="294"/>
      <c r="AY181" s="294"/>
      <c r="AZ181" s="294"/>
      <c r="BA181" s="294"/>
      <c r="BB181" s="294"/>
      <c r="BC181" s="294"/>
      <c r="BD181" s="294"/>
      <c r="BE181" s="294"/>
      <c r="BF181" s="294"/>
      <c r="BG181" s="294"/>
      <c r="BH181" s="294"/>
      <c r="BI181" s="294"/>
      <c r="BN181" s="294"/>
      <c r="BO181" s="294"/>
      <c r="BP181" s="294"/>
      <c r="BQ181" s="294"/>
    </row>
    <row r="182" spans="2:169" ht="12.75" customHeight="1" x14ac:dyDescent="0.2">
      <c r="B182" t="s">
        <v>1562</v>
      </c>
      <c r="AM182" s="294"/>
      <c r="AP182" s="294"/>
      <c r="AQ182" s="294"/>
      <c r="AR182" s="294"/>
      <c r="AS182" s="294"/>
      <c r="AT182" s="294"/>
      <c r="AU182" s="294"/>
      <c r="AV182" s="294"/>
      <c r="AW182" s="294"/>
      <c r="AX182" s="294"/>
      <c r="AY182" s="294"/>
      <c r="AZ182" s="294"/>
      <c r="BA182" s="294"/>
      <c r="BB182" s="294"/>
      <c r="BC182" s="294"/>
      <c r="BD182" s="294"/>
      <c r="BE182" s="294"/>
      <c r="BF182" s="294"/>
      <c r="BG182" s="294"/>
      <c r="BH182" s="294"/>
      <c r="BI182" s="294"/>
      <c r="BJ182" s="243">
        <v>3119.8429999999998</v>
      </c>
      <c r="BK182" s="243">
        <v>3119.8429999999998</v>
      </c>
      <c r="BL182" s="243">
        <v>3119.8429999999998</v>
      </c>
      <c r="BM182" s="243">
        <v>3119.8429999999998</v>
      </c>
      <c r="BN182" s="243">
        <v>3119.8429999999998</v>
      </c>
      <c r="BO182" s="243">
        <v>3119.8429999999998</v>
      </c>
      <c r="BP182" s="243">
        <v>3119.8429999999998</v>
      </c>
      <c r="BQ182" s="243">
        <v>3119.8429999999998</v>
      </c>
      <c r="BR182" s="243">
        <v>3119.8429999999998</v>
      </c>
      <c r="DA182" s="243">
        <v>3119.8429999999998</v>
      </c>
      <c r="DB182" s="243">
        <v>3119.8429999999998</v>
      </c>
      <c r="DC182" s="243">
        <v>3119.8429999999998</v>
      </c>
      <c r="DD182" s="243">
        <v>3119.8429999999998</v>
      </c>
      <c r="DE182" s="243">
        <v>3119.8429999999998</v>
      </c>
      <c r="DF182" s="243">
        <v>3119.8429999999998</v>
      </c>
      <c r="DG182" s="243">
        <v>3119.8429999999998</v>
      </c>
      <c r="DH182" s="243">
        <v>3119.8429999999998</v>
      </c>
      <c r="DI182" s="243">
        <v>3119.8429999999998</v>
      </c>
      <c r="DJ182" s="243">
        <v>3119.8429999999998</v>
      </c>
    </row>
    <row r="183" spans="2:169" ht="12.75" customHeight="1" x14ac:dyDescent="0.2">
      <c r="B183" t="s">
        <v>1449</v>
      </c>
      <c r="AM183" s="294"/>
      <c r="AP183" s="294"/>
      <c r="AQ183" s="294"/>
      <c r="AR183" s="294"/>
      <c r="AS183" s="294"/>
      <c r="AT183" s="294"/>
      <c r="AU183" s="294"/>
      <c r="AV183" s="294"/>
      <c r="AW183" s="294"/>
      <c r="AX183" s="294"/>
      <c r="AY183" s="294"/>
      <c r="AZ183" s="294"/>
      <c r="BA183" s="294"/>
      <c r="BB183" s="294"/>
      <c r="BC183" s="294"/>
      <c r="BD183" s="294"/>
      <c r="BE183" s="294"/>
      <c r="BF183" s="294"/>
      <c r="BG183" s="294"/>
      <c r="BH183" s="294"/>
      <c r="BI183" s="294"/>
      <c r="BJ183" s="243">
        <v>395.48</v>
      </c>
      <c r="BK183" s="243">
        <v>374.12200000000001</v>
      </c>
      <c r="BL183" s="243">
        <v>369.28399999999999</v>
      </c>
      <c r="BM183" s="243">
        <v>357.28500000000003</v>
      </c>
      <c r="BN183" s="243">
        <v>341.35399999999998</v>
      </c>
      <c r="BO183" s="243">
        <v>316.67899999999997</v>
      </c>
      <c r="BP183" s="243">
        <v>305.65499999999997</v>
      </c>
      <c r="BQ183" s="243">
        <v>299.18400000000003</v>
      </c>
      <c r="BR183" s="243">
        <v>299.21499999999997</v>
      </c>
      <c r="DA183" s="335">
        <v>502.96100000000001</v>
      </c>
      <c r="DB183" s="335">
        <v>506.24599999999998</v>
      </c>
      <c r="DC183" s="335">
        <v>521.51900000000001</v>
      </c>
      <c r="DD183" s="243">
        <v>521.70000000000005</v>
      </c>
      <c r="DE183" s="243">
        <v>712.66499999999996</v>
      </c>
      <c r="DF183" s="243">
        <v>712.76499999999999</v>
      </c>
      <c r="DG183" s="243">
        <v>713.12</v>
      </c>
      <c r="DH183" s="76">
        <v>712.99699999999996</v>
      </c>
      <c r="DI183" s="243">
        <v>712.54499999999996</v>
      </c>
      <c r="DJ183" s="243">
        <v>712.92100000000005</v>
      </c>
    </row>
    <row r="184" spans="2:169" ht="12.75" customHeight="1" x14ac:dyDescent="0.2">
      <c r="B184" t="s">
        <v>1563</v>
      </c>
      <c r="AM184" s="294"/>
      <c r="AP184" s="294"/>
      <c r="AQ184" s="294"/>
      <c r="AR184" s="294"/>
      <c r="AS184" s="294"/>
      <c r="AT184" s="294"/>
      <c r="AU184" s="294"/>
      <c r="AV184" s="294"/>
      <c r="AW184" s="294"/>
      <c r="AX184" s="294"/>
      <c r="AY184" s="294"/>
      <c r="AZ184" s="294"/>
      <c r="BA184" s="294"/>
      <c r="BB184" s="294"/>
      <c r="BC184" s="294"/>
      <c r="BD184" s="294"/>
      <c r="BE184" s="294"/>
      <c r="BF184" s="294"/>
      <c r="BG184" s="294"/>
      <c r="BH184" s="294"/>
      <c r="BI184" s="294"/>
      <c r="BJ184" s="243">
        <f t="shared" ref="BJ184:BR184" si="937">+BJ182-BJ183</f>
        <v>2724.3629999999998</v>
      </c>
      <c r="BK184" s="243">
        <f t="shared" si="937"/>
        <v>2745.721</v>
      </c>
      <c r="BL184" s="243">
        <f t="shared" si="937"/>
        <v>2750.5589999999997</v>
      </c>
      <c r="BM184" s="243">
        <f t="shared" si="937"/>
        <v>2762.558</v>
      </c>
      <c r="BN184" s="243">
        <f t="shared" si="937"/>
        <v>2778.489</v>
      </c>
      <c r="BO184" s="243">
        <f t="shared" si="937"/>
        <v>2803.1639999999998</v>
      </c>
      <c r="BP184" s="243">
        <f t="shared" si="937"/>
        <v>2814.1880000000001</v>
      </c>
      <c r="BQ184" s="243">
        <f t="shared" si="937"/>
        <v>2820.6589999999997</v>
      </c>
      <c r="BR184" s="243">
        <f t="shared" si="937"/>
        <v>2820.6279999999997</v>
      </c>
      <c r="DA184" s="243">
        <f t="shared" ref="DA184:DJ184" si="938">DA182-DA183</f>
        <v>2616.8819999999996</v>
      </c>
      <c r="DB184" s="243">
        <f t="shared" si="938"/>
        <v>2613.5969999999998</v>
      </c>
      <c r="DC184" s="243">
        <f t="shared" si="938"/>
        <v>2598.3239999999996</v>
      </c>
      <c r="DD184" s="243">
        <f t="shared" si="938"/>
        <v>2598.143</v>
      </c>
      <c r="DE184" s="243">
        <f t="shared" si="938"/>
        <v>2407.1779999999999</v>
      </c>
      <c r="DF184" s="243">
        <f t="shared" si="938"/>
        <v>2407.078</v>
      </c>
      <c r="DG184" s="243">
        <f t="shared" si="938"/>
        <v>2406.723</v>
      </c>
      <c r="DH184" s="243">
        <f t="shared" si="938"/>
        <v>2406.846</v>
      </c>
      <c r="DI184" s="243">
        <f t="shared" si="938"/>
        <v>2407.2979999999998</v>
      </c>
      <c r="DJ184" s="243">
        <f t="shared" si="938"/>
        <v>2406.9219999999996</v>
      </c>
    </row>
    <row r="185" spans="2:169" ht="12.75" customHeight="1" x14ac:dyDescent="0.2">
      <c r="AM185" s="243"/>
    </row>
    <row r="186" spans="2:169" ht="12.75" customHeight="1" x14ac:dyDescent="0.2">
      <c r="B186" t="s">
        <v>1488</v>
      </c>
      <c r="AM186" s="243"/>
      <c r="BD186" s="243">
        <f t="shared" ref="BD186:BG186" si="939">SUM(BA187:BD187)</f>
        <v>17908</v>
      </c>
      <c r="BE186" s="243">
        <f t="shared" si="939"/>
        <v>17848</v>
      </c>
      <c r="BF186" s="243">
        <f t="shared" si="939"/>
        <v>16385</v>
      </c>
      <c r="BG186" s="243">
        <f t="shared" si="939"/>
        <v>15011</v>
      </c>
      <c r="BH186" s="243">
        <f>SUM(BE187:BH187)</f>
        <v>15083</v>
      </c>
      <c r="BI186" s="243">
        <f>SUM(BF187:BI187)</f>
        <v>14671</v>
      </c>
      <c r="BJ186" s="243">
        <f t="shared" ref="BJ186:BR186" si="940">SUM(BG187:BJ187)</f>
        <v>10847</v>
      </c>
      <c r="BK186" s="243">
        <f t="shared" si="940"/>
        <v>8531</v>
      </c>
      <c r="BL186" s="243">
        <f t="shared" si="940"/>
        <v>4622</v>
      </c>
      <c r="BM186" s="243">
        <f t="shared" si="940"/>
        <v>0</v>
      </c>
      <c r="BN186" s="243">
        <f t="shared" si="940"/>
        <v>0</v>
      </c>
      <c r="BO186" s="243">
        <f t="shared" si="940"/>
        <v>2277</v>
      </c>
      <c r="BP186" s="243">
        <f t="shared" si="940"/>
        <v>7328</v>
      </c>
      <c r="BQ186" s="243">
        <f t="shared" si="940"/>
        <v>13275</v>
      </c>
      <c r="BR186" s="243">
        <f t="shared" si="940"/>
        <v>17414</v>
      </c>
    </row>
    <row r="187" spans="2:169" ht="12.75" customHeight="1" x14ac:dyDescent="0.2">
      <c r="B187" t="s">
        <v>389</v>
      </c>
      <c r="AI187" s="243">
        <f>SUM(AI189:AI203)</f>
        <v>2635</v>
      </c>
      <c r="AM187" s="243">
        <f>SUM(AM189:AM203)</f>
        <v>3474</v>
      </c>
      <c r="AQ187" s="243">
        <v>3837</v>
      </c>
      <c r="AR187" s="243">
        <f>6734-AQ187</f>
        <v>2897</v>
      </c>
      <c r="AS187" s="243">
        <f>10925-AR187-AQ187</f>
        <v>4191</v>
      </c>
      <c r="AT187" s="243">
        <f>15249-AS187-AR187-AQ187</f>
        <v>4324</v>
      </c>
      <c r="AU187" s="243">
        <v>3236</v>
      </c>
      <c r="AV187" s="243">
        <f>6078-AU187</f>
        <v>2842</v>
      </c>
      <c r="AW187" s="243">
        <f>10971-AV187-AU187</f>
        <v>4893</v>
      </c>
      <c r="AX187" s="243">
        <f>14972-AW187-AV187-AU187</f>
        <v>4001</v>
      </c>
      <c r="AY187" s="243">
        <v>2827</v>
      </c>
      <c r="AZ187" s="243">
        <v>3363</v>
      </c>
      <c r="BA187" s="243">
        <v>5094</v>
      </c>
      <c r="BB187" s="243">
        <v>5287</v>
      </c>
      <c r="BC187" s="243">
        <v>3690</v>
      </c>
      <c r="BD187" s="243">
        <v>3837</v>
      </c>
      <c r="BE187" s="243">
        <v>5034</v>
      </c>
      <c r="BF187" s="243">
        <f>16385-BE187-BD187-BC187</f>
        <v>3824</v>
      </c>
      <c r="BG187" s="243">
        <v>2316</v>
      </c>
      <c r="BH187" s="243">
        <f>6225-BG187</f>
        <v>3909</v>
      </c>
      <c r="BI187" s="243">
        <f>10847-BH187-BG187</f>
        <v>4622</v>
      </c>
      <c r="BO187" s="243">
        <v>2277</v>
      </c>
      <c r="BP187" s="243">
        <f>7328-BO187</f>
        <v>5051</v>
      </c>
      <c r="BQ187" s="243">
        <f>13275-BP187-BO187</f>
        <v>5947</v>
      </c>
      <c r="BR187" s="243">
        <f>17414-BQ187-BP187-BO187</f>
        <v>4139</v>
      </c>
      <c r="DO187" s="300"/>
    </row>
    <row r="188" spans="2:169" ht="12.75" customHeight="1" x14ac:dyDescent="0.2">
      <c r="B188" t="s">
        <v>370</v>
      </c>
      <c r="AI188" s="243">
        <f>AI187+AI206</f>
        <v>2238</v>
      </c>
      <c r="AM188" s="243">
        <f>AM187+AM206</f>
        <v>3028</v>
      </c>
      <c r="AQ188" s="243">
        <f t="shared" ref="AQ188:AW188" si="941">AQ187+AQ206</f>
        <v>3391</v>
      </c>
      <c r="AR188" s="243">
        <f t="shared" si="941"/>
        <v>2298</v>
      </c>
      <c r="AS188" s="243">
        <f t="shared" si="941"/>
        <v>3532</v>
      </c>
      <c r="AT188" s="243">
        <f t="shared" si="941"/>
        <v>3086</v>
      </c>
      <c r="AU188" s="243">
        <f t="shared" si="941"/>
        <v>2757</v>
      </c>
      <c r="AV188" s="243">
        <f t="shared" si="941"/>
        <v>2155</v>
      </c>
      <c r="AW188" s="243">
        <f t="shared" si="941"/>
        <v>4121</v>
      </c>
      <c r="AX188" s="243">
        <f>AX187+AX206</f>
        <v>2873</v>
      </c>
      <c r="AY188" s="243">
        <f t="shared" ref="AY188:BB188" si="942">AY187+AY206</f>
        <v>2392</v>
      </c>
      <c r="AZ188" s="243">
        <f t="shared" si="942"/>
        <v>2796</v>
      </c>
      <c r="BA188" s="243">
        <f t="shared" si="942"/>
        <v>4575</v>
      </c>
      <c r="BB188" s="243">
        <f t="shared" si="942"/>
        <v>4443</v>
      </c>
      <c r="BC188" s="243">
        <f>BC187+BC206</f>
        <v>3293</v>
      </c>
      <c r="BD188" s="243">
        <f t="shared" ref="BD188:BE188" si="943">BD187+BD206</f>
        <v>3337</v>
      </c>
      <c r="BE188" s="243">
        <f t="shared" si="943"/>
        <v>4506</v>
      </c>
      <c r="BF188" s="243">
        <f>BF187+BF206</f>
        <v>2865</v>
      </c>
      <c r="BG188" s="243">
        <f>BG187+BG206</f>
        <v>2001</v>
      </c>
      <c r="BH188" s="243">
        <f t="shared" ref="BH188:BR188" si="944">BH187+BH206</f>
        <v>3313</v>
      </c>
      <c r="BI188" s="243">
        <f t="shared" si="944"/>
        <v>4489</v>
      </c>
      <c r="BJ188" s="243">
        <f t="shared" si="944"/>
        <v>0</v>
      </c>
      <c r="BK188" s="243">
        <f t="shared" si="944"/>
        <v>0</v>
      </c>
      <c r="BL188" s="243">
        <f t="shared" si="944"/>
        <v>0</v>
      </c>
      <c r="BM188" s="243">
        <f t="shared" si="944"/>
        <v>0</v>
      </c>
      <c r="BN188" s="243">
        <f t="shared" si="944"/>
        <v>0</v>
      </c>
      <c r="BO188" s="243">
        <f t="shared" si="944"/>
        <v>1691</v>
      </c>
      <c r="BP188" s="243">
        <f t="shared" si="944"/>
        <v>4280</v>
      </c>
      <c r="BQ188" s="243">
        <f t="shared" si="944"/>
        <v>5138</v>
      </c>
      <c r="BR188" s="243">
        <f t="shared" si="944"/>
        <v>2710</v>
      </c>
      <c r="DO188" s="300"/>
    </row>
    <row r="189" spans="2:169" ht="12.75" customHeight="1" x14ac:dyDescent="0.2">
      <c r="B189" t="s">
        <v>1318</v>
      </c>
      <c r="AI189" s="243"/>
      <c r="AM189" s="243"/>
      <c r="AP189" s="243"/>
      <c r="AQ189" s="243">
        <f t="shared" ref="AQ189:AZ189" si="945">+AQ145-AP145</f>
        <v>1004</v>
      </c>
      <c r="AR189" s="243">
        <f t="shared" si="945"/>
        <v>994</v>
      </c>
      <c r="AS189" s="243">
        <f t="shared" si="945"/>
        <v>926</v>
      </c>
      <c r="AT189" s="243">
        <f t="shared" si="945"/>
        <v>-651</v>
      </c>
      <c r="AU189" s="243">
        <f t="shared" si="945"/>
        <v>-49</v>
      </c>
      <c r="AV189" s="243">
        <f t="shared" si="945"/>
        <v>-596</v>
      </c>
      <c r="AW189" s="243">
        <f t="shared" si="945"/>
        <v>1026</v>
      </c>
      <c r="AX189" s="243">
        <f t="shared" si="945"/>
        <v>800</v>
      </c>
      <c r="AY189" s="243">
        <f t="shared" si="945"/>
        <v>-1085</v>
      </c>
      <c r="AZ189" s="243">
        <f t="shared" si="945"/>
        <v>1244</v>
      </c>
      <c r="BA189" s="243">
        <f t="shared" ref="BA189:BI189" si="946">+BA145-AZ145</f>
        <v>1636</v>
      </c>
      <c r="BB189" s="243">
        <f t="shared" si="946"/>
        <v>2128</v>
      </c>
      <c r="BC189" s="243">
        <f t="shared" si="946"/>
        <v>1023</v>
      </c>
      <c r="BD189" s="243">
        <f t="shared" si="946"/>
        <v>1342</v>
      </c>
      <c r="BE189" s="243">
        <f t="shared" si="946"/>
        <v>2852</v>
      </c>
      <c r="BF189" s="243">
        <f t="shared" si="946"/>
        <v>784</v>
      </c>
      <c r="BG189" s="243">
        <f t="shared" si="946"/>
        <v>-1848</v>
      </c>
      <c r="BH189" s="243">
        <f t="shared" si="946"/>
        <v>1919</v>
      </c>
      <c r="BI189" s="243">
        <f t="shared" si="946"/>
        <v>1614</v>
      </c>
      <c r="BJ189" s="243">
        <f t="shared" ref="BJ189" si="947">+BJ145-BI145</f>
        <v>64</v>
      </c>
      <c r="BK189" s="243">
        <f t="shared" ref="BK189" si="948">+BK145-BJ145</f>
        <v>1764</v>
      </c>
      <c r="BL189" s="243">
        <f t="shared" ref="BL189" si="949">+BL145-BK145</f>
        <v>-15048</v>
      </c>
      <c r="BM189" s="243">
        <f t="shared" ref="BM189" si="950">+BM145-BL145</f>
        <v>3570</v>
      </c>
      <c r="BN189" s="243">
        <f t="shared" ref="BN189" si="951">+BN145-BM145</f>
        <v>2004</v>
      </c>
      <c r="BO189" s="243">
        <f t="shared" ref="BO189" si="952">+BO145-BN145</f>
        <v>852</v>
      </c>
      <c r="BP189" s="243">
        <f t="shared" ref="BP189" si="953">+BP145-BO145</f>
        <v>4371</v>
      </c>
      <c r="BQ189" s="243">
        <f t="shared" ref="BQ189" si="954">+BQ145-BP145</f>
        <v>-26</v>
      </c>
      <c r="BR189" s="243">
        <f t="shared" ref="BR189" si="955">+BR145-BQ145</f>
        <v>905</v>
      </c>
    </row>
    <row r="190" spans="2:169" ht="12.75" customHeight="1" x14ac:dyDescent="0.2">
      <c r="AM190" s="243"/>
      <c r="AQ190" s="243"/>
      <c r="AR190" s="243"/>
      <c r="AS190" s="243"/>
      <c r="AT190" s="243"/>
      <c r="AU190" s="243"/>
      <c r="AV190" s="243"/>
    </row>
    <row r="191" spans="2:169" s="1" customFormat="1" ht="12.75" customHeight="1" x14ac:dyDescent="0.2">
      <c r="B191" s="1" t="s">
        <v>1319</v>
      </c>
      <c r="C191" s="166"/>
      <c r="D191" s="166"/>
      <c r="E191" s="166"/>
      <c r="F191" s="166"/>
      <c r="G191" s="166"/>
      <c r="H191" s="166"/>
      <c r="I191" s="166"/>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278">
        <v>2839</v>
      </c>
      <c r="AJ191" s="166"/>
      <c r="AK191" s="166"/>
      <c r="AL191" s="166"/>
      <c r="AM191" s="278">
        <v>3305</v>
      </c>
      <c r="AN191" s="166"/>
      <c r="AO191" s="166"/>
      <c r="AP191" s="166"/>
      <c r="AQ191" s="278">
        <f t="shared" ref="AQ191:BR191" si="956">AQ75</f>
        <v>3430</v>
      </c>
      <c r="AR191" s="278">
        <f t="shared" si="956"/>
        <v>3092</v>
      </c>
      <c r="AS191" s="278">
        <f t="shared" si="956"/>
        <v>3109.4179999999997</v>
      </c>
      <c r="AT191" s="278">
        <f t="shared" si="956"/>
        <v>2892.0230000000001</v>
      </c>
      <c r="AU191" s="278">
        <f t="shared" si="956"/>
        <v>3598</v>
      </c>
      <c r="AV191" s="278">
        <f t="shared" si="956"/>
        <v>3367</v>
      </c>
      <c r="AW191" s="278">
        <f t="shared" si="956"/>
        <v>3310</v>
      </c>
      <c r="AX191" s="278">
        <f t="shared" si="956"/>
        <v>2626</v>
      </c>
      <c r="AY191" s="278">
        <f t="shared" si="956"/>
        <v>3507</v>
      </c>
      <c r="AZ191" s="278">
        <f t="shared" si="956"/>
        <v>3208</v>
      </c>
      <c r="BA191" s="278">
        <f t="shared" si="956"/>
        <v>3345</v>
      </c>
      <c r="BB191" s="278">
        <f t="shared" si="956"/>
        <v>2884</v>
      </c>
      <c r="BC191" s="278">
        <f t="shared" si="956"/>
        <v>3616</v>
      </c>
      <c r="BD191" s="278">
        <f t="shared" si="956"/>
        <v>3441</v>
      </c>
      <c r="BE191" s="278">
        <f t="shared" si="956"/>
        <v>3417</v>
      </c>
      <c r="BF191" s="278">
        <f t="shared" si="956"/>
        <v>2864</v>
      </c>
      <c r="BG191" s="278">
        <f t="shared" si="956"/>
        <v>4269</v>
      </c>
      <c r="BH191" s="278">
        <f t="shared" si="956"/>
        <v>3365</v>
      </c>
      <c r="BI191" s="278">
        <f t="shared" si="956"/>
        <v>3202</v>
      </c>
      <c r="BJ191" s="278">
        <f t="shared" si="956"/>
        <v>5695</v>
      </c>
      <c r="BK191" s="278">
        <f t="shared" si="956"/>
        <v>3910</v>
      </c>
      <c r="BL191" s="278">
        <f t="shared" si="956"/>
        <v>3621</v>
      </c>
      <c r="BM191" s="278">
        <f t="shared" si="956"/>
        <v>3447</v>
      </c>
      <c r="BN191" s="278">
        <f t="shared" si="956"/>
        <v>2855</v>
      </c>
      <c r="BO191" s="278">
        <f t="shared" si="956"/>
        <v>3604</v>
      </c>
      <c r="BP191" s="278">
        <f t="shared" si="956"/>
        <v>4345</v>
      </c>
      <c r="BQ191" s="278">
        <f t="shared" si="956"/>
        <v>3983</v>
      </c>
      <c r="BR191" s="278">
        <f t="shared" si="956"/>
        <v>3648.5549999999998</v>
      </c>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c r="CS191" s="166"/>
      <c r="CT191" s="166"/>
      <c r="CU191" s="166"/>
      <c r="CV191" s="166"/>
      <c r="CW191" s="166"/>
      <c r="CX191" s="166"/>
      <c r="CY191" s="278">
        <f>+CY75</f>
        <v>5927</v>
      </c>
      <c r="CZ191" s="278">
        <f t="shared" ref="CZ191:DN191" si="957">+CZ75</f>
        <v>7021</v>
      </c>
      <c r="DA191" s="278">
        <f t="shared" si="957"/>
        <v>5189</v>
      </c>
      <c r="DB191" s="278">
        <f t="shared" si="957"/>
        <v>6391</v>
      </c>
      <c r="DC191" s="278">
        <f t="shared" si="957"/>
        <v>5036</v>
      </c>
      <c r="DD191" s="278">
        <f t="shared" si="957"/>
        <v>5383</v>
      </c>
      <c r="DE191" s="278">
        <f t="shared" si="957"/>
        <v>6776.5</v>
      </c>
      <c r="DF191" s="278">
        <f t="shared" si="957"/>
        <v>5772</v>
      </c>
      <c r="DG191" s="278">
        <f t="shared" si="957"/>
        <v>6579</v>
      </c>
      <c r="DH191" s="278">
        <f t="shared" si="957"/>
        <v>4873</v>
      </c>
      <c r="DI191" s="278">
        <f t="shared" si="957"/>
        <v>5875.5999999999985</v>
      </c>
      <c r="DJ191" s="278">
        <f t="shared" si="957"/>
        <v>4803</v>
      </c>
      <c r="DK191" s="278">
        <f t="shared" si="957"/>
        <v>16275.8025</v>
      </c>
      <c r="DL191" s="278">
        <f t="shared" si="957"/>
        <v>16733.489999999998</v>
      </c>
      <c r="DM191" s="278">
        <f t="shared" si="957"/>
        <v>16760.328000000001</v>
      </c>
      <c r="DN191" s="278">
        <f t="shared" si="957"/>
        <v>16576.401375000001</v>
      </c>
      <c r="DO191" s="301"/>
      <c r="DP191" s="166"/>
      <c r="DQ191" s="166"/>
      <c r="DR191" s="166"/>
      <c r="DS191" s="166"/>
      <c r="DT191" s="166"/>
      <c r="DU191" s="166"/>
      <c r="DV191" s="166"/>
      <c r="DW191" s="166"/>
      <c r="DX191" s="166"/>
      <c r="DY191" s="166"/>
      <c r="DZ191" s="166"/>
      <c r="EA191" s="166"/>
      <c r="EB191" s="166"/>
      <c r="EC191" s="166"/>
      <c r="ED191" s="166"/>
      <c r="EE191" s="166"/>
      <c r="EF191" s="166"/>
      <c r="EG191" s="166"/>
      <c r="EH191" s="166"/>
      <c r="EI191" s="166"/>
      <c r="EJ191" s="166"/>
      <c r="EK191" s="166"/>
      <c r="EL191" s="166"/>
      <c r="EM191" s="166"/>
      <c r="EN191" s="166"/>
      <c r="EO191" s="166"/>
      <c r="EP191" s="166"/>
      <c r="EQ191" s="166"/>
      <c r="ER191" s="166"/>
      <c r="ES191" s="166"/>
      <c r="ET191" s="166"/>
      <c r="EU191" s="166"/>
      <c r="FM191" s="301"/>
    </row>
    <row r="192" spans="2:169" s="1" customFormat="1" ht="12.75" customHeight="1" x14ac:dyDescent="0.2">
      <c r="B192" s="1" t="s">
        <v>343</v>
      </c>
      <c r="C192" s="166"/>
      <c r="D192" s="166"/>
      <c r="E192" s="166"/>
      <c r="F192" s="166"/>
      <c r="G192" s="166"/>
      <c r="H192" s="166"/>
      <c r="I192" s="166"/>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278"/>
      <c r="AJ192" s="166"/>
      <c r="AK192" s="166"/>
      <c r="AL192" s="166"/>
      <c r="AM192" s="278"/>
      <c r="AN192" s="166"/>
      <c r="AO192" s="166"/>
      <c r="AP192" s="166"/>
      <c r="AQ192" s="278"/>
      <c r="AR192" s="278"/>
      <c r="AS192" s="278"/>
      <c r="AT192" s="278"/>
      <c r="AU192" s="278"/>
      <c r="AV192" s="278"/>
      <c r="AW192" s="278"/>
      <c r="AX192" s="278"/>
      <c r="AY192" s="278">
        <v>3507</v>
      </c>
      <c r="AZ192" s="278">
        <f>6715-AY192</f>
        <v>3208</v>
      </c>
      <c r="BA192" s="278">
        <f>10060-AZ192-AY192</f>
        <v>3345</v>
      </c>
      <c r="BB192" s="278">
        <f>12266-BA192-AZ192-AY192</f>
        <v>2206</v>
      </c>
      <c r="BC192" s="278">
        <v>4526</v>
      </c>
      <c r="BD192" s="278">
        <f>7975-BC192</f>
        <v>3449</v>
      </c>
      <c r="BE192" s="278">
        <f>11392-BD192-BC192</f>
        <v>3417</v>
      </c>
      <c r="BF192" s="278">
        <f>13334-BE192-BD192-BC192</f>
        <v>1942</v>
      </c>
      <c r="BG192" s="278">
        <v>3476</v>
      </c>
      <c r="BH192" s="278">
        <f>6252-BG192</f>
        <v>2776</v>
      </c>
      <c r="BI192" s="278">
        <f>9454-BH192-BG192</f>
        <v>3202</v>
      </c>
      <c r="BJ192" s="166"/>
      <c r="BK192" s="166"/>
      <c r="BL192" s="166"/>
      <c r="BM192" s="166"/>
      <c r="BN192" s="166"/>
      <c r="BO192" s="278">
        <v>3497</v>
      </c>
      <c r="BP192" s="278">
        <f>7330-BO192</f>
        <v>3833</v>
      </c>
      <c r="BQ192" s="278">
        <f>10312-BP192-BO192</f>
        <v>2982</v>
      </c>
      <c r="BR192" s="278">
        <f>13831-BQ192-BP192-BO192</f>
        <v>3519</v>
      </c>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c r="CS192" s="166"/>
      <c r="CT192" s="166"/>
      <c r="CU192" s="166"/>
      <c r="CV192" s="166"/>
      <c r="CW192" s="166"/>
      <c r="CX192" s="166"/>
      <c r="CY192" s="278">
        <v>5149</v>
      </c>
      <c r="CZ192" s="278">
        <f>9963-CY192</f>
        <v>4814</v>
      </c>
      <c r="DA192" s="278">
        <f>14421-CZ192-CY192</f>
        <v>4458</v>
      </c>
      <c r="DB192" s="278">
        <f>17941-DA192-CZ192-CY192</f>
        <v>3520</v>
      </c>
      <c r="DC192" s="278">
        <v>-68</v>
      </c>
      <c r="DD192" s="278">
        <f>5076-DC192</f>
        <v>5144</v>
      </c>
      <c r="DE192" s="278">
        <f>31104-DD192-DC192</f>
        <v>26028</v>
      </c>
      <c r="DF192" s="278">
        <f>35153-DE192-DD192-DC192</f>
        <v>4049</v>
      </c>
      <c r="DG192" s="278">
        <v>3255</v>
      </c>
      <c r="DH192" s="278">
        <f>7941-DG192</f>
        <v>4686</v>
      </c>
      <c r="DI192" s="278">
        <f>10635-DH192-DG192</f>
        <v>2694</v>
      </c>
      <c r="DJ192" s="278">
        <f>14066-DI192-DH192-DG192</f>
        <v>3431</v>
      </c>
      <c r="DK192" s="166"/>
      <c r="DL192" s="166"/>
      <c r="DM192" s="166"/>
      <c r="DN192" s="166"/>
      <c r="DO192" s="301"/>
      <c r="DP192" s="166"/>
      <c r="DQ192" s="166"/>
      <c r="DR192" s="166"/>
      <c r="DS192" s="166"/>
      <c r="DT192" s="166"/>
      <c r="DU192" s="166"/>
      <c r="DV192" s="166"/>
      <c r="DW192" s="166"/>
      <c r="DX192" s="166"/>
      <c r="DY192" s="166"/>
      <c r="DZ192" s="166"/>
      <c r="EA192" s="166"/>
      <c r="EB192" s="166"/>
      <c r="EC192" s="166"/>
      <c r="ED192" s="166"/>
      <c r="EE192" s="166"/>
      <c r="EF192" s="166"/>
      <c r="EG192" s="166"/>
      <c r="EH192" s="166"/>
      <c r="EI192" s="166"/>
      <c r="EJ192" s="166"/>
      <c r="EK192" s="166"/>
      <c r="EL192" s="166"/>
      <c r="EM192" s="166"/>
      <c r="EN192" s="166"/>
      <c r="EO192" s="166"/>
      <c r="EP192" s="166"/>
      <c r="EQ192" s="166"/>
      <c r="ER192" s="166"/>
      <c r="ES192" s="166"/>
      <c r="ET192" s="166"/>
      <c r="EU192" s="166"/>
      <c r="FM192" s="301"/>
    </row>
    <row r="193" spans="2:151" ht="12.75" customHeight="1" x14ac:dyDescent="0.2">
      <c r="B193" t="s">
        <v>390</v>
      </c>
      <c r="AI193" s="76">
        <v>515</v>
      </c>
      <c r="AM193" s="76">
        <v>521</v>
      </c>
      <c r="AQ193" s="243">
        <v>622</v>
      </c>
      <c r="AR193" s="243">
        <f>1305-AQ193</f>
        <v>683</v>
      </c>
      <c r="AS193" s="243">
        <f>1902-AR193-AQ193</f>
        <v>597</v>
      </c>
      <c r="AT193" s="243">
        <f>2777-AS193-AR193-AQ193</f>
        <v>875</v>
      </c>
      <c r="AU193" s="243">
        <v>666</v>
      </c>
      <c r="AV193" s="243">
        <f>1349-AU193</f>
        <v>683</v>
      </c>
      <c r="AW193" s="243">
        <f>2117-AV193-AU193</f>
        <v>768</v>
      </c>
      <c r="AX193" s="243">
        <f>2832-AW193-AV193-AU193</f>
        <v>715</v>
      </c>
      <c r="AY193" s="243">
        <v>676</v>
      </c>
      <c r="AZ193" s="243">
        <f>1355-AY193</f>
        <v>679</v>
      </c>
      <c r="BA193" s="243">
        <f>2030-AZ193-AY193</f>
        <v>675</v>
      </c>
      <c r="BB193" s="243">
        <f>2774-BA193-AZ193-AY193</f>
        <v>744</v>
      </c>
      <c r="BC193" s="243">
        <v>734</v>
      </c>
      <c r="BD193" s="243">
        <f>1445-BC193</f>
        <v>711</v>
      </c>
      <c r="BE193" s="243">
        <f>2170-BD193-BC193</f>
        <v>725</v>
      </c>
      <c r="BF193" s="243">
        <f>2939-BE193-BD193-BC193</f>
        <v>769</v>
      </c>
      <c r="BG193" s="243">
        <v>755</v>
      </c>
      <c r="BH193" s="243">
        <f>1532-BG193</f>
        <v>777</v>
      </c>
      <c r="BI193" s="243">
        <f>2315-BH193-BG193</f>
        <v>783</v>
      </c>
      <c r="BO193" s="243">
        <v>1036</v>
      </c>
      <c r="BP193" s="243">
        <f>2026-BO193</f>
        <v>990</v>
      </c>
      <c r="BQ193" s="243">
        <f>3002-BP193-BO193</f>
        <v>976</v>
      </c>
      <c r="BR193" s="243">
        <f>4104-BQ193-BP193-BO193</f>
        <v>1102</v>
      </c>
      <c r="CY193" s="243">
        <v>1769</v>
      </c>
      <c r="CZ193" s="243">
        <f>3513-CY193</f>
        <v>1744</v>
      </c>
      <c r="DA193" s="243">
        <f>5198-CZ193-CY193</f>
        <v>1685</v>
      </c>
      <c r="DB193" s="243">
        <f>6970-DA193-CZ193-CY193</f>
        <v>1772</v>
      </c>
      <c r="DC193" s="243">
        <v>1880</v>
      </c>
      <c r="DD193" s="243">
        <f>3814-DC193</f>
        <v>1934</v>
      </c>
      <c r="DE193" s="243">
        <f>5643-DD193-DC193</f>
        <v>1829</v>
      </c>
      <c r="DF193" s="243">
        <f>7486-DE193-DD193-DC193</f>
        <v>1843</v>
      </c>
      <c r="DG193" s="243">
        <v>1815</v>
      </c>
      <c r="DH193" s="243">
        <f>3597-DG193</f>
        <v>1782</v>
      </c>
      <c r="DI193" s="243">
        <f>5443-DH193-DG193</f>
        <v>1846</v>
      </c>
      <c r="DJ193" s="243">
        <f>7339-DI193-DH193-DG193</f>
        <v>1896</v>
      </c>
    </row>
    <row r="194" spans="2:151" ht="12.75" customHeight="1" x14ac:dyDescent="0.2">
      <c r="B194" t="s">
        <v>391</v>
      </c>
      <c r="AI194" s="76">
        <v>135</v>
      </c>
      <c r="AM194" s="243">
        <v>153</v>
      </c>
      <c r="AQ194" s="243">
        <v>164</v>
      </c>
      <c r="AR194" s="243">
        <f>360-AQ194</f>
        <v>196</v>
      </c>
      <c r="AS194" s="243">
        <f>537-AR194-AQ194</f>
        <v>177</v>
      </c>
      <c r="AT194" s="243">
        <f>698-AS194-AR194-AQ194</f>
        <v>161</v>
      </c>
      <c r="AU194" s="243">
        <v>163</v>
      </c>
      <c r="AV194" s="243">
        <f>356-AU194</f>
        <v>193</v>
      </c>
      <c r="AW194" s="243">
        <f>524-AV194-AU194</f>
        <v>168</v>
      </c>
      <c r="AX194" s="243">
        <f>627-AW194-AV194-AU194</f>
        <v>103</v>
      </c>
      <c r="AY194" s="243">
        <v>159</v>
      </c>
      <c r="AZ194" s="243">
        <f>341-AY194</f>
        <v>182</v>
      </c>
      <c r="BA194" s="243">
        <f>499-AZ194-AY194</f>
        <v>158</v>
      </c>
      <c r="BB194" s="243">
        <f>628-BA194-AZ194-AY194</f>
        <v>129</v>
      </c>
      <c r="BC194" s="243">
        <v>157</v>
      </c>
      <c r="BD194" s="243">
        <f>305-BC194</f>
        <v>148</v>
      </c>
      <c r="BE194" s="243">
        <f>474-BD194-BC194</f>
        <v>169</v>
      </c>
      <c r="BF194" s="243">
        <f>614-BE194-BD194-BC194</f>
        <v>140</v>
      </c>
      <c r="BG194" s="243">
        <v>152</v>
      </c>
      <c r="BH194" s="243">
        <f>339-BG194</f>
        <v>187</v>
      </c>
      <c r="BI194" s="243">
        <f>484-BH194-BG194</f>
        <v>145</v>
      </c>
      <c r="BO194" s="243">
        <v>194</v>
      </c>
      <c r="BP194" s="243">
        <f>423-BO194</f>
        <v>229</v>
      </c>
      <c r="BQ194" s="243">
        <f>584-BP194-BO194</f>
        <v>161</v>
      </c>
      <c r="BR194" s="243">
        <f>728-BQ194-BP194-BO194</f>
        <v>144</v>
      </c>
      <c r="CY194" s="243">
        <v>278</v>
      </c>
      <c r="CZ194" s="243">
        <f>644-CY194</f>
        <v>366</v>
      </c>
      <c r="DA194" s="243">
        <f>925-CZ194-CY194</f>
        <v>281</v>
      </c>
      <c r="DB194" s="243">
        <f>1138-DA194-CZ194-CY194</f>
        <v>213</v>
      </c>
      <c r="DC194" s="243">
        <v>306</v>
      </c>
      <c r="DD194" s="243">
        <f>688-DC194</f>
        <v>382</v>
      </c>
      <c r="DE194" s="243">
        <f>984-DD194-DC194</f>
        <v>296</v>
      </c>
      <c r="DF194" s="243">
        <f>1162-DE194-DD194-DC194</f>
        <v>178</v>
      </c>
      <c r="DG194" s="243">
        <v>302</v>
      </c>
      <c r="DH194" s="243">
        <f>643-DG194</f>
        <v>341</v>
      </c>
      <c r="DI194" s="243">
        <f>938-DH194-DG194</f>
        <v>295</v>
      </c>
      <c r="DJ194" s="243">
        <f>1176-DI194-DH194-DG194</f>
        <v>238</v>
      </c>
    </row>
    <row r="195" spans="2:151" ht="12.75" customHeight="1" x14ac:dyDescent="0.2">
      <c r="B195" t="s">
        <v>392</v>
      </c>
      <c r="AI195" s="76">
        <v>0</v>
      </c>
      <c r="AM195" s="243">
        <v>37</v>
      </c>
      <c r="AQ195" s="243">
        <v>807</v>
      </c>
      <c r="AR195" s="243">
        <f>807-AQ195</f>
        <v>0</v>
      </c>
      <c r="AS195" s="243">
        <f>807-AR195-AQ195</f>
        <v>0</v>
      </c>
      <c r="AT195" s="243">
        <f>807-AS195-AR195-AQ195</f>
        <v>0</v>
      </c>
      <c r="AU195" s="243">
        <v>0</v>
      </c>
      <c r="AV195" s="243">
        <f>40-AU195</f>
        <v>40</v>
      </c>
      <c r="AW195" s="243">
        <v>0</v>
      </c>
      <c r="AX195" s="243">
        <f>181-AW195-AV195-AU195</f>
        <v>141</v>
      </c>
      <c r="AY195" s="243">
        <v>0</v>
      </c>
      <c r="AZ195" s="243">
        <v>0</v>
      </c>
      <c r="BA195" s="76">
        <v>0</v>
      </c>
      <c r="BB195" s="76">
        <v>0</v>
      </c>
      <c r="BC195" s="76">
        <v>960</v>
      </c>
      <c r="BD195" s="76">
        <f>0-BC195</f>
        <v>-960</v>
      </c>
      <c r="BE195" s="76">
        <f>0-BD195-BC195</f>
        <v>0</v>
      </c>
      <c r="BF195" s="76">
        <f>0-BE195-BD195-BC195</f>
        <v>0</v>
      </c>
      <c r="BG195" s="76">
        <v>0</v>
      </c>
      <c r="BH195" s="76">
        <v>0</v>
      </c>
      <c r="BI195" s="76">
        <v>0</v>
      </c>
      <c r="BO195" s="76">
        <f>108+69</f>
        <v>177</v>
      </c>
      <c r="BP195" s="76">
        <f>108+69-BO195-401</f>
        <v>-401</v>
      </c>
      <c r="BQ195" s="76">
        <f>108+247-380-BP195-BO195</f>
        <v>199</v>
      </c>
      <c r="BR195" s="76">
        <f>108+739-417-BQ195-BP195-BO195</f>
        <v>455</v>
      </c>
      <c r="CY195" s="243">
        <v>610</v>
      </c>
      <c r="CZ195" s="243">
        <f>747-CY195</f>
        <v>137</v>
      </c>
      <c r="DA195" s="243">
        <f>787-CZ195-CY195</f>
        <v>40</v>
      </c>
      <c r="DB195" s="243">
        <f>1216-DA195-CZ195-CY195</f>
        <v>429</v>
      </c>
      <c r="DC195" s="243">
        <v>426</v>
      </c>
      <c r="DD195" s="243">
        <f>388-DC195</f>
        <v>-38</v>
      </c>
      <c r="DE195" s="243">
        <f>820-DD195-DC195</f>
        <v>432</v>
      </c>
      <c r="DF195" s="243">
        <f>1295-DE195-DD195-DC195+483</f>
        <v>958</v>
      </c>
      <c r="DG195" s="243">
        <v>185</v>
      </c>
      <c r="DH195" s="243">
        <f>379-DG195</f>
        <v>194</v>
      </c>
      <c r="DI195" s="243">
        <f>379+1252-DH195-DG195</f>
        <v>1252</v>
      </c>
      <c r="DJ195" s="243">
        <f>1841-DI195-DH195-DG195+405</f>
        <v>615</v>
      </c>
    </row>
    <row r="196" spans="2:151" ht="12.75" customHeight="1" x14ac:dyDescent="0.2">
      <c r="B196" t="s">
        <v>1885</v>
      </c>
      <c r="AM196" s="243"/>
      <c r="AQ196" s="243"/>
      <c r="AR196" s="243"/>
      <c r="AS196" s="243"/>
      <c r="AT196" s="243"/>
      <c r="AU196" s="243"/>
      <c r="AV196" s="243"/>
      <c r="AW196" s="243"/>
      <c r="AX196" s="243"/>
      <c r="AY196" s="243"/>
      <c r="AZ196" s="243"/>
      <c r="CY196" s="243">
        <v>-168</v>
      </c>
      <c r="CZ196" s="243">
        <f>-213-CY196</f>
        <v>-45</v>
      </c>
      <c r="DA196" s="243">
        <f>-213-CZ196-CY196</f>
        <v>0</v>
      </c>
      <c r="DB196" s="243">
        <f>-380-DA196-CZ196-CY196</f>
        <v>-167</v>
      </c>
      <c r="DC196" s="243">
        <v>-8</v>
      </c>
      <c r="DD196" s="243">
        <f>-47-DC196</f>
        <v>-39</v>
      </c>
      <c r="DE196" s="243">
        <f>-20984-DD196-DC196-117</f>
        <v>-21054</v>
      </c>
      <c r="DF196" s="243">
        <f>-20984-117-DE196-DD196-DC196</f>
        <v>0</v>
      </c>
      <c r="DG196" s="243">
        <v>0</v>
      </c>
      <c r="DH196" s="243">
        <f>-223-DG196</f>
        <v>-223</v>
      </c>
      <c r="DI196" s="243">
        <f>-225-DH196-DG196</f>
        <v>-2</v>
      </c>
      <c r="DJ196" s="243">
        <f>-226-DI196-DH196-DG196</f>
        <v>-1</v>
      </c>
    </row>
    <row r="197" spans="2:151" ht="12.75" customHeight="1" x14ac:dyDescent="0.2">
      <c r="B197" t="s">
        <v>393</v>
      </c>
      <c r="AI197" s="76">
        <v>53</v>
      </c>
      <c r="AM197" s="243">
        <v>-153</v>
      </c>
      <c r="AQ197" s="243">
        <v>-5</v>
      </c>
      <c r="AR197" s="243">
        <f>-405-AQ197</f>
        <v>-400</v>
      </c>
      <c r="AS197" s="243">
        <f>-900-AR197-AQ197</f>
        <v>-495</v>
      </c>
      <c r="AT197" s="243">
        <f>-1762-AS197-AR197-AQ197</f>
        <v>-862</v>
      </c>
      <c r="AU197" s="243">
        <v>-27</v>
      </c>
      <c r="AV197" s="243">
        <f>-322-AU197</f>
        <v>-295</v>
      </c>
      <c r="AW197" s="243">
        <f>-354-AU197-AV197</f>
        <v>-32</v>
      </c>
      <c r="AX197" s="243">
        <f>22-AW197-AV197-AU197</f>
        <v>376</v>
      </c>
      <c r="AY197" s="243">
        <v>1212</v>
      </c>
      <c r="AZ197" s="243">
        <f>645-AY197</f>
        <v>-567</v>
      </c>
      <c r="BA197" s="243">
        <f>541-AZ197-AY197</f>
        <v>-104</v>
      </c>
      <c r="BB197" s="243">
        <f>-436-BA197-AZ197-AY197</f>
        <v>-977</v>
      </c>
      <c r="BC197" s="243">
        <v>78</v>
      </c>
      <c r="BD197" s="243">
        <f>604-BC197</f>
        <v>526</v>
      </c>
      <c r="BE197" s="243">
        <f>644-BD197-BC197</f>
        <v>40</v>
      </c>
      <c r="BF197" s="243">
        <f>356-BE197-BD197-BC197</f>
        <v>-288</v>
      </c>
      <c r="BG197" s="243">
        <v>-4</v>
      </c>
      <c r="BH197" s="243">
        <f>-504-BG197</f>
        <v>-500</v>
      </c>
      <c r="BI197" s="243">
        <f>-849-BH197-BG197</f>
        <v>-345</v>
      </c>
      <c r="BO197" s="243">
        <v>365</v>
      </c>
      <c r="BP197" s="243">
        <f>92-BO197</f>
        <v>-273</v>
      </c>
      <c r="BQ197" s="243">
        <f>-224-BP197-BO197</f>
        <v>-316</v>
      </c>
      <c r="BR197" s="243">
        <f>-607-BQ197-BP197-BO197</f>
        <v>-383</v>
      </c>
      <c r="CY197" s="243">
        <v>-926</v>
      </c>
      <c r="CZ197" s="243">
        <f>-2349-CY197</f>
        <v>-1423</v>
      </c>
      <c r="DA197" s="243">
        <f>-2488-CZ197-CY197</f>
        <v>-139</v>
      </c>
      <c r="DB197" s="243">
        <f>-1663-DA197-CZ197-CY197</f>
        <v>825</v>
      </c>
      <c r="DC197" s="243">
        <v>-1543</v>
      </c>
      <c r="DD197" s="243">
        <f>-2342-DC197</f>
        <v>-799</v>
      </c>
      <c r="DE197" s="243">
        <f>-1782-DD197-DC197</f>
        <v>560</v>
      </c>
      <c r="DF197" s="243">
        <f>-4194-DE197-DD197-DC197</f>
        <v>-2412</v>
      </c>
      <c r="DG197" s="243">
        <v>-1562</v>
      </c>
      <c r="DH197" s="243">
        <f>-2257-DG197</f>
        <v>-695</v>
      </c>
      <c r="DI197" s="243">
        <f>-2167-DH197-DG197</f>
        <v>90</v>
      </c>
      <c r="DJ197" s="243">
        <f>-2183-DI197-DH197-DG197</f>
        <v>-16</v>
      </c>
    </row>
    <row r="198" spans="2:151" ht="12.75" customHeight="1" x14ac:dyDescent="0.2">
      <c r="B198" t="s">
        <v>394</v>
      </c>
      <c r="AI198" s="76">
        <v>22</v>
      </c>
      <c r="AM198" s="243">
        <v>-4</v>
      </c>
      <c r="AQ198" s="243">
        <v>3</v>
      </c>
      <c r="AR198" s="243">
        <f>1-AQ198</f>
        <v>-2</v>
      </c>
      <c r="AS198" s="243">
        <f>13-AR198-AQ198</f>
        <v>12</v>
      </c>
      <c r="AT198" s="243">
        <f>22-AS198-AR198-AQ198</f>
        <v>9</v>
      </c>
      <c r="AU198" s="243">
        <v>12</v>
      </c>
      <c r="AV198" s="243">
        <f>15-AU198</f>
        <v>3</v>
      </c>
      <c r="AW198" s="243">
        <f>62-AV198-AU198</f>
        <v>47</v>
      </c>
      <c r="AX198" s="243">
        <f>86-AW198-AV198-AU198</f>
        <v>24</v>
      </c>
      <c r="AY198" s="243">
        <v>22</v>
      </c>
      <c r="AZ198" s="243">
        <f>52-AY198</f>
        <v>30</v>
      </c>
      <c r="BA198" s="243">
        <f>39-AZ198-AY198</f>
        <v>-13</v>
      </c>
      <c r="BB198" s="243">
        <f>58-BA198-AZ198-AY198</f>
        <v>19</v>
      </c>
      <c r="BC198" s="243">
        <v>-529</v>
      </c>
      <c r="BD198" s="243">
        <f>46-BC198</f>
        <v>575</v>
      </c>
      <c r="BE198" s="243">
        <f>30-BD198-BC198</f>
        <v>-16</v>
      </c>
      <c r="BF198" s="243">
        <f>12-BE198-BD198-BC198</f>
        <v>-18</v>
      </c>
      <c r="BG198" s="243">
        <v>-16</v>
      </c>
      <c r="BH198" s="243">
        <f>-33-BG198</f>
        <v>-17</v>
      </c>
      <c r="BI198" s="243">
        <f>-21-BH198-BG198</f>
        <v>12</v>
      </c>
      <c r="BO198" s="243">
        <v>-11</v>
      </c>
      <c r="BP198" s="243">
        <f>-29-BO198</f>
        <v>-18</v>
      </c>
      <c r="BQ198" s="243">
        <f>-32-BP198-BO198</f>
        <v>-3</v>
      </c>
      <c r="BR198" s="243">
        <f>-131-BQ198-BP198-BO198</f>
        <v>-99</v>
      </c>
      <c r="CY198" s="243">
        <v>6</v>
      </c>
      <c r="CZ198" s="243">
        <f>-3-CY198</f>
        <v>-9</v>
      </c>
      <c r="DA198" s="243">
        <f>-14-CZ198-CY198</f>
        <v>-11</v>
      </c>
      <c r="DB198" s="243">
        <f>-17-DA198-CZ198-CY198</f>
        <v>-3</v>
      </c>
      <c r="DC198" s="243">
        <v>1</v>
      </c>
      <c r="DD198" s="243">
        <f>0-DC198</f>
        <v>-1</v>
      </c>
      <c r="DE198" s="243">
        <f>0-DD198-DC198</f>
        <v>0</v>
      </c>
      <c r="DF198" s="76">
        <v>0</v>
      </c>
      <c r="DG198" s="243">
        <v>0</v>
      </c>
      <c r="DH198" s="76">
        <v>0</v>
      </c>
      <c r="DI198" s="243">
        <f>-11-DH198-DG198</f>
        <v>-11</v>
      </c>
      <c r="DJ198" s="243">
        <f>11-DI198-DH198-DG198</f>
        <v>22</v>
      </c>
    </row>
    <row r="199" spans="2:151" ht="12.75" customHeight="1" x14ac:dyDescent="0.2">
      <c r="B199" t="s">
        <v>395</v>
      </c>
      <c r="AI199" s="76">
        <v>-639</v>
      </c>
      <c r="AM199" s="243">
        <v>-568</v>
      </c>
      <c r="AQ199" s="243">
        <v>-562</v>
      </c>
      <c r="AR199" s="243">
        <f>-659-AQ199</f>
        <v>-97</v>
      </c>
      <c r="AS199" s="243">
        <f>-407-AR199-AQ199</f>
        <v>252</v>
      </c>
      <c r="AT199" s="243">
        <f>-416-AS199-AR199-AQ199</f>
        <v>-9</v>
      </c>
      <c r="AU199" s="243">
        <v>-517</v>
      </c>
      <c r="AV199" s="243">
        <f>-732-AU199</f>
        <v>-215</v>
      </c>
      <c r="AW199" s="243">
        <f>-790-AU199-AV199</f>
        <v>-58</v>
      </c>
      <c r="AX199" s="243">
        <f>-736-AW199-AV199-AU199</f>
        <v>54</v>
      </c>
      <c r="AY199" s="243">
        <v>-86</v>
      </c>
      <c r="AZ199" s="243">
        <f>-225-AY199</f>
        <v>-139</v>
      </c>
      <c r="BA199" s="243">
        <f>-61-AZ199-AY199</f>
        <v>164</v>
      </c>
      <c r="BB199" s="243">
        <f>453-BA199-AZ199-AY199</f>
        <v>514</v>
      </c>
      <c r="BC199" s="243">
        <v>-193</v>
      </c>
      <c r="BD199" s="243">
        <f>-555-BC199</f>
        <v>-362</v>
      </c>
      <c r="BE199" s="243">
        <f>-585-BD199-BC199</f>
        <v>-30</v>
      </c>
      <c r="BF199" s="243">
        <f>-207-BE199-BD199-BC199</f>
        <v>378</v>
      </c>
      <c r="BG199" s="243">
        <v>-609</v>
      </c>
      <c r="BH199" s="243">
        <f>-576-BG199</f>
        <v>33</v>
      </c>
      <c r="BI199" s="243">
        <f>-489-BH199-BG199</f>
        <v>87</v>
      </c>
      <c r="BO199" s="243">
        <v>-434</v>
      </c>
      <c r="BP199" s="243">
        <f>-647-BO199</f>
        <v>-213</v>
      </c>
      <c r="BQ199" s="243">
        <f>-971-BP199-BO199</f>
        <v>-324</v>
      </c>
      <c r="BR199" s="243">
        <f>-632-BQ199-BP199-BO199</f>
        <v>339</v>
      </c>
      <c r="CY199" s="243">
        <v>-427</v>
      </c>
      <c r="CZ199" s="243">
        <f>-1386-CY199</f>
        <v>-959</v>
      </c>
      <c r="DA199" s="243">
        <f>-1591-CZ199-CY199</f>
        <v>-205</v>
      </c>
      <c r="DB199" s="243">
        <f>-1290-DA199-CZ199-CY199</f>
        <v>301</v>
      </c>
      <c r="DC199" s="243">
        <v>-54</v>
      </c>
      <c r="DD199" s="243">
        <f>-599-DC199</f>
        <v>-545</v>
      </c>
      <c r="DE199" s="243">
        <f>-851-DD199-DC199</f>
        <v>-252</v>
      </c>
      <c r="DF199" s="243">
        <f>-624-DE199-DD199-DC199</f>
        <v>227</v>
      </c>
      <c r="DG199" s="243">
        <v>-279</v>
      </c>
      <c r="DH199" s="243">
        <f>-1163-DG199</f>
        <v>-884</v>
      </c>
      <c r="DI199" s="243">
        <f>-1259-DH199-DG199</f>
        <v>-96</v>
      </c>
      <c r="DJ199" s="243">
        <f>-406-DI199-DH199-DG199</f>
        <v>853</v>
      </c>
    </row>
    <row r="200" spans="2:151" ht="12.75" customHeight="1" x14ac:dyDescent="0.2">
      <c r="B200" t="s">
        <v>463</v>
      </c>
      <c r="AI200" s="76">
        <v>-140</v>
      </c>
      <c r="AM200" s="243">
        <v>-219</v>
      </c>
      <c r="AQ200" s="243">
        <v>-120</v>
      </c>
      <c r="AR200" s="243">
        <f>-190-AQ200</f>
        <v>-70</v>
      </c>
      <c r="AS200" s="243">
        <f>-309-AR200-AQ200</f>
        <v>-119</v>
      </c>
      <c r="AT200" s="243">
        <f>14-AS200-AR200-AQ200</f>
        <v>323</v>
      </c>
      <c r="AU200" s="243">
        <v>-259</v>
      </c>
      <c r="AV200" s="243">
        <f>-379-AU200</f>
        <v>-120</v>
      </c>
      <c r="AW200" s="243">
        <f>-348-AV200-AU200</f>
        <v>31</v>
      </c>
      <c r="AX200" s="243">
        <f>-101-AW200-AV200-AU200</f>
        <v>247</v>
      </c>
      <c r="AY200" s="243">
        <v>-336</v>
      </c>
      <c r="AZ200" s="243">
        <f>-339-AY200</f>
        <v>-3</v>
      </c>
      <c r="BA200" s="243">
        <f>-250-AZ200-AY200</f>
        <v>89</v>
      </c>
      <c r="BB200" s="243">
        <f>95-BA200-AZ200-AY200</f>
        <v>345</v>
      </c>
      <c r="BC200" s="243">
        <v>-1651</v>
      </c>
      <c r="BD200" s="243">
        <f>-88-BC200</f>
        <v>1563</v>
      </c>
      <c r="BE200" s="243">
        <f>-197-BD200-BC200</f>
        <v>-109</v>
      </c>
      <c r="BF200" s="243">
        <f>-196-BE200-BD200-BC200</f>
        <v>1</v>
      </c>
      <c r="BG200" s="243">
        <v>-452</v>
      </c>
      <c r="BH200" s="243">
        <f>-620-BG200</f>
        <v>-168</v>
      </c>
      <c r="BI200" s="243">
        <f>-787-BH200-BG200</f>
        <v>-167</v>
      </c>
      <c r="BO200" s="243">
        <v>-288</v>
      </c>
      <c r="BP200" s="243">
        <f>-547-BO200</f>
        <v>-259</v>
      </c>
      <c r="BQ200" s="243">
        <f>-799-BP200-BO200</f>
        <v>-252</v>
      </c>
      <c r="BR200" s="243">
        <f>-622-BQ200-BP200-BO200</f>
        <v>177</v>
      </c>
      <c r="CY200" s="243">
        <v>-600</v>
      </c>
      <c r="CZ200" s="243">
        <f>-1257-CY200</f>
        <v>-657</v>
      </c>
      <c r="DA200" s="243">
        <f>-1877-CZ200-CY200</f>
        <v>-620</v>
      </c>
      <c r="DB200" s="243">
        <f>-2527-DA200-CZ200-CY200</f>
        <v>-650</v>
      </c>
      <c r="DC200" s="243">
        <v>-524</v>
      </c>
      <c r="DD200" s="243">
        <f>-741-DC200</f>
        <v>-217</v>
      </c>
      <c r="DE200" s="243">
        <f>-1447-DD200-DC200</f>
        <v>-706</v>
      </c>
      <c r="DF200" s="243">
        <f>-1323-DE200-DD200-DC200</f>
        <v>124</v>
      </c>
      <c r="DG200" s="243">
        <v>-348</v>
      </c>
      <c r="DH200" s="243">
        <f>-739-DG200</f>
        <v>-391</v>
      </c>
      <c r="DI200" s="243">
        <f>-1038-DH200-DG200</f>
        <v>-299</v>
      </c>
      <c r="DJ200" s="243">
        <f>-1128-DI200-DH200-DG200</f>
        <v>-90</v>
      </c>
    </row>
    <row r="201" spans="2:151" ht="12.75" customHeight="1" x14ac:dyDescent="0.2">
      <c r="B201" t="s">
        <v>464</v>
      </c>
      <c r="AI201" s="76">
        <v>-1509</v>
      </c>
      <c r="AM201" s="243">
        <v>-633</v>
      </c>
      <c r="AQ201" s="243">
        <v>-229</v>
      </c>
      <c r="AR201" s="243">
        <f>-306-AQ201</f>
        <v>-77</v>
      </c>
      <c r="AS201" s="243">
        <f>933-AR201-AQ201</f>
        <v>1239</v>
      </c>
      <c r="AT201" s="243">
        <f>2642-AS201-AR201-AQ201</f>
        <v>1709</v>
      </c>
      <c r="AU201" s="243">
        <v>-273</v>
      </c>
      <c r="AV201" s="243">
        <f>-1160-AU201</f>
        <v>-887</v>
      </c>
      <c r="AW201" s="243">
        <f>-1103-AV201-AU201</f>
        <v>57</v>
      </c>
      <c r="AX201" s="243">
        <f>-272-AW201-AV201-AU201</f>
        <v>831</v>
      </c>
      <c r="AY201" s="243">
        <v>-2155</v>
      </c>
      <c r="AZ201" s="243">
        <f>-1897-AY201</f>
        <v>258</v>
      </c>
      <c r="BA201" s="243">
        <f>-1830-AZ201-AY201</f>
        <v>67</v>
      </c>
      <c r="BB201" s="243">
        <f>-507-BA201-AZ201-AY201</f>
        <v>1323</v>
      </c>
      <c r="BC201" s="243">
        <v>-1088</v>
      </c>
      <c r="BD201" s="243">
        <f>-1719-BC201</f>
        <v>-631</v>
      </c>
      <c r="BE201" s="243">
        <f>-1552-BD201-BC201</f>
        <v>167</v>
      </c>
      <c r="BF201" s="243">
        <f>20-BE201-BD201-BC201</f>
        <v>1572</v>
      </c>
      <c r="BG201" s="243">
        <v>-1127</v>
      </c>
      <c r="BH201" s="243">
        <f>-444-BG201</f>
        <v>683</v>
      </c>
      <c r="BI201" s="243">
        <f>-100-BH201-BG201</f>
        <v>344</v>
      </c>
      <c r="BO201" s="243">
        <v>-1459</v>
      </c>
      <c r="BP201" s="243">
        <f>-715-BO201</f>
        <v>744</v>
      </c>
      <c r="BQ201" s="243">
        <f>589-BP201-BO201</f>
        <v>1304</v>
      </c>
      <c r="BR201" s="243">
        <f>1821-BQ201-BP201-BO201</f>
        <v>1232</v>
      </c>
      <c r="CY201" s="243">
        <v>-2817</v>
      </c>
      <c r="CZ201" s="243">
        <f>-1170-CY201</f>
        <v>1647</v>
      </c>
      <c r="DA201" s="243">
        <f>141-CZ201-CY201</f>
        <v>1311</v>
      </c>
      <c r="DB201" s="243">
        <f>1098-DA201-CZ201-CY201</f>
        <v>957</v>
      </c>
      <c r="DC201" s="243">
        <v>-2572</v>
      </c>
      <c r="DD201" s="243">
        <f>-1061-DC201</f>
        <v>1511</v>
      </c>
      <c r="DE201" s="243">
        <f>664-DD201-DC201</f>
        <v>1725</v>
      </c>
      <c r="DF201" s="243">
        <f>2346-DE201-DD201-DC201</f>
        <v>1682</v>
      </c>
      <c r="DG201" s="243">
        <v>-2483</v>
      </c>
      <c r="DH201" s="243">
        <f>449-DG201</f>
        <v>2932</v>
      </c>
      <c r="DI201" s="243">
        <f>2713-DH201-DG201</f>
        <v>2264</v>
      </c>
      <c r="DJ201" s="243">
        <f>1621-DI201-DH201-DG201</f>
        <v>-1092</v>
      </c>
    </row>
    <row r="202" spans="2:151" ht="12.75" customHeight="1" x14ac:dyDescent="0.2">
      <c r="B202" t="s">
        <v>465</v>
      </c>
      <c r="AI202" s="76">
        <v>235</v>
      </c>
      <c r="AM202" s="243">
        <v>-207</v>
      </c>
      <c r="AQ202" s="243">
        <v>-373</v>
      </c>
      <c r="AR202" s="243">
        <f>-424-AQ202</f>
        <v>-51</v>
      </c>
      <c r="AS202" s="243">
        <f>-1007-AR202-AQ202</f>
        <v>-583</v>
      </c>
      <c r="AT202" s="243">
        <f>-1351-AS202-AR202-AQ202</f>
        <v>-344</v>
      </c>
      <c r="AU202" s="243">
        <v>-1112</v>
      </c>
      <c r="AV202" s="243">
        <f>-756-AU202</f>
        <v>356</v>
      </c>
      <c r="AW202" s="243">
        <f>-2-AV202-AU202</f>
        <v>754</v>
      </c>
      <c r="AX202" s="243">
        <f>-1600-AW202-AV202-AU202</f>
        <v>-1598</v>
      </c>
      <c r="AY202" s="243">
        <v>-39</v>
      </c>
      <c r="AZ202" s="243">
        <f>-28-AY202</f>
        <v>11</v>
      </c>
      <c r="BA202" s="243">
        <f>-35-AZ202-AY202</f>
        <v>-7</v>
      </c>
      <c r="BB202" s="243">
        <f>1209-BA202-AZ202-AY202</f>
        <v>1244</v>
      </c>
      <c r="BC202" s="243">
        <v>696</v>
      </c>
      <c r="BD202" s="243">
        <f>-704-BC202</f>
        <v>-1400</v>
      </c>
      <c r="BE202" s="243">
        <f>-310-BD202-BC202</f>
        <v>394</v>
      </c>
      <c r="BF202" s="243">
        <f>-574-BE202-BD202-BC202</f>
        <v>-264</v>
      </c>
      <c r="BG202" s="243">
        <v>-970</v>
      </c>
      <c r="BH202" s="243">
        <f>-920-BG202</f>
        <v>50</v>
      </c>
      <c r="BI202" s="243">
        <f>-906-BH202-BG202</f>
        <v>14</v>
      </c>
      <c r="BO202" s="243">
        <v>-608</v>
      </c>
      <c r="BP202" s="243">
        <f>-437-BO202</f>
        <v>171</v>
      </c>
      <c r="BQ202" s="243">
        <f>-403-BP202-BO202</f>
        <v>34</v>
      </c>
      <c r="BR202" s="243">
        <f>-1806-BQ202-BP202-BO202</f>
        <v>-1403</v>
      </c>
      <c r="CY202" s="243">
        <v>995</v>
      </c>
      <c r="CZ202" s="243">
        <f>3527-CY202</f>
        <v>2532</v>
      </c>
      <c r="DA202" s="243">
        <f>4563-CZ202-CY202</f>
        <v>1036</v>
      </c>
      <c r="DB202" s="243">
        <f>687-DA202-CZ202-CY202</f>
        <v>-3876</v>
      </c>
      <c r="DC202" s="243">
        <v>-915</v>
      </c>
      <c r="DD202" s="243">
        <f>-1144-DC202</f>
        <v>-229</v>
      </c>
      <c r="DE202" s="243">
        <f>-1366-DD202-DC202</f>
        <v>-222</v>
      </c>
      <c r="DF202" s="243">
        <f>-3480-DE202-DD202-DC202</f>
        <v>-2114</v>
      </c>
      <c r="DG202" s="243">
        <v>3199</v>
      </c>
      <c r="DH202" s="243">
        <f>3731-DG202</f>
        <v>532</v>
      </c>
      <c r="DI202" s="243">
        <f>949-DH202-DG202</f>
        <v>-2782</v>
      </c>
      <c r="DJ202" s="243">
        <f>1717-DI202-DH202-DG202</f>
        <v>768</v>
      </c>
    </row>
    <row r="203" spans="2:151" ht="12.75" customHeight="1" x14ac:dyDescent="0.2">
      <c r="B203" t="s">
        <v>466</v>
      </c>
      <c r="AI203" s="76">
        <v>1124</v>
      </c>
      <c r="AM203" s="243">
        <v>1242</v>
      </c>
      <c r="AQ203" s="243">
        <v>957</v>
      </c>
      <c r="AR203" s="243">
        <f>591-AQ203</f>
        <v>-366</v>
      </c>
      <c r="AS203" s="243">
        <f>1154-AR203-AQ203</f>
        <v>563</v>
      </c>
      <c r="AT203" s="243">
        <f>564-AS203-AR203-AQ203</f>
        <v>-590</v>
      </c>
      <c r="AU203" s="243">
        <v>985</v>
      </c>
      <c r="AV203" s="243">
        <f>742-AU203</f>
        <v>-243</v>
      </c>
      <c r="AW203" s="243">
        <f>590-AV203-AU203</f>
        <v>-152</v>
      </c>
      <c r="AX203" s="243">
        <f>984-AW203-AV203-AU203</f>
        <v>394</v>
      </c>
      <c r="AY203" s="243">
        <v>-133</v>
      </c>
      <c r="AZ203" s="243">
        <f>-429-AY203</f>
        <v>-296</v>
      </c>
      <c r="BA203" s="243">
        <f>291-AZ203-AY203</f>
        <v>720</v>
      </c>
      <c r="BB203" s="243">
        <f>31-BA203-AZ203-AY203</f>
        <v>-260</v>
      </c>
      <c r="BC203" s="243">
        <v>0</v>
      </c>
      <c r="BD203" s="243">
        <f>218-BC203</f>
        <v>218</v>
      </c>
      <c r="BE203" s="243">
        <f>495-BD203-BC203</f>
        <v>277</v>
      </c>
      <c r="BF203" s="243">
        <f>87-BE203-BD203-BC203</f>
        <v>-408</v>
      </c>
      <c r="BG203" s="243">
        <v>1111</v>
      </c>
      <c r="BH203" s="243">
        <f>1199-BG203</f>
        <v>88</v>
      </c>
      <c r="BI203" s="243">
        <f>1746-BH203-BG203</f>
        <v>547</v>
      </c>
      <c r="BO203" s="243">
        <v>-192</v>
      </c>
      <c r="BP203" s="243">
        <f>56-BO203</f>
        <v>248</v>
      </c>
      <c r="BQ203" s="243">
        <f>1242-BP203-BO203</f>
        <v>1186</v>
      </c>
      <c r="BR203" s="243">
        <f>298-BQ203-BP203-BO203</f>
        <v>-944</v>
      </c>
      <c r="CY203" s="243">
        <v>110</v>
      </c>
      <c r="CZ203" s="243">
        <f>-2456-CY203</f>
        <v>-2566</v>
      </c>
      <c r="DA203" s="243">
        <f>-4008-CZ203-CY203</f>
        <v>-1552</v>
      </c>
      <c r="DB203" s="243">
        <f>-1979-DA203-CZ203-CY203</f>
        <v>2029</v>
      </c>
      <c r="DC203" s="243">
        <v>6328</v>
      </c>
      <c r="DD203" s="243">
        <f>3407-DC203</f>
        <v>-2921</v>
      </c>
      <c r="DE203" s="243">
        <f>2260-DD203-DC203</f>
        <v>-1147</v>
      </c>
      <c r="DF203" s="243">
        <f>5588-DE203-DD203-DC203</f>
        <v>3328</v>
      </c>
      <c r="DG203" s="243">
        <v>-427</v>
      </c>
      <c r="DH203" s="243">
        <f>-3068-DG203</f>
        <v>-2641</v>
      </c>
      <c r="DI203" s="243">
        <f>-326-DH203-DG203</f>
        <v>2742</v>
      </c>
      <c r="DJ203" s="243">
        <f>33-DI203-DH203-DG203</f>
        <v>359</v>
      </c>
    </row>
    <row r="204" spans="2:151" s="1" customFormat="1" ht="12.75" customHeight="1" x14ac:dyDescent="0.2">
      <c r="B204" s="1" t="s">
        <v>389</v>
      </c>
      <c r="C204" s="166"/>
      <c r="D204" s="166"/>
      <c r="E204" s="166"/>
      <c r="F204" s="166"/>
      <c r="G204" s="166"/>
      <c r="H204" s="166"/>
      <c r="I204" s="166"/>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278"/>
      <c r="AN204" s="166"/>
      <c r="AO204" s="166"/>
      <c r="AP204" s="166"/>
      <c r="AQ204" s="278"/>
      <c r="AR204" s="278"/>
      <c r="AS204" s="278"/>
      <c r="AT204" s="278"/>
      <c r="AU204" s="278"/>
      <c r="AV204" s="278"/>
      <c r="AW204" s="278"/>
      <c r="AX204" s="278"/>
      <c r="AY204" s="278">
        <f t="shared" ref="AY204:BI204" si="958">SUM(AY192:AY203)</f>
        <v>2827</v>
      </c>
      <c r="AZ204" s="278">
        <f t="shared" si="958"/>
        <v>3363</v>
      </c>
      <c r="BA204" s="278">
        <f t="shared" si="958"/>
        <v>5094</v>
      </c>
      <c r="BB204" s="278">
        <f t="shared" si="958"/>
        <v>5287</v>
      </c>
      <c r="BC204" s="278">
        <f t="shared" si="958"/>
        <v>3690</v>
      </c>
      <c r="BD204" s="278">
        <f t="shared" si="958"/>
        <v>3837</v>
      </c>
      <c r="BE204" s="278">
        <f t="shared" si="958"/>
        <v>5034</v>
      </c>
      <c r="BF204" s="278">
        <f t="shared" si="958"/>
        <v>3824</v>
      </c>
      <c r="BG204" s="278">
        <f t="shared" si="958"/>
        <v>2316</v>
      </c>
      <c r="BH204" s="278">
        <f t="shared" si="958"/>
        <v>3909</v>
      </c>
      <c r="BI204" s="278">
        <f t="shared" si="958"/>
        <v>4622</v>
      </c>
      <c r="BJ204" s="278"/>
      <c r="BK204" s="166"/>
      <c r="BL204" s="166"/>
      <c r="BM204" s="166"/>
      <c r="BN204" s="166"/>
      <c r="BO204" s="278">
        <f t="shared" ref="BO204:BP204" si="959">SUM(BO192:BO203)</f>
        <v>2277</v>
      </c>
      <c r="BP204" s="278">
        <f t="shared" si="959"/>
        <v>5051</v>
      </c>
      <c r="BQ204" s="278">
        <f t="shared" ref="BQ204:BR204" si="960">SUM(BQ192:BQ203)</f>
        <v>5947</v>
      </c>
      <c r="BR204" s="278">
        <f t="shared" si="960"/>
        <v>4139</v>
      </c>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c r="CS204" s="166"/>
      <c r="CT204" s="166"/>
      <c r="CU204" s="166"/>
      <c r="CV204" s="166"/>
      <c r="CW204" s="166"/>
      <c r="CX204" s="166"/>
      <c r="CY204" s="278">
        <f>SUM(CY192:CY203)</f>
        <v>3979</v>
      </c>
      <c r="CZ204" s="278">
        <f t="shared" ref="CZ204:DN204" si="961">SUM(CZ192:CZ203)</f>
        <v>5581</v>
      </c>
      <c r="DA204" s="278">
        <f t="shared" si="961"/>
        <v>6284</v>
      </c>
      <c r="DB204" s="278">
        <f t="shared" si="961"/>
        <v>5350</v>
      </c>
      <c r="DC204" s="278">
        <f t="shared" si="961"/>
        <v>3257</v>
      </c>
      <c r="DD204" s="278">
        <f t="shared" si="961"/>
        <v>4182</v>
      </c>
      <c r="DE204" s="278">
        <f t="shared" si="961"/>
        <v>7489</v>
      </c>
      <c r="DF204" s="278">
        <f t="shared" si="961"/>
        <v>7863</v>
      </c>
      <c r="DG204" s="278">
        <f t="shared" si="961"/>
        <v>3657</v>
      </c>
      <c r="DH204" s="278">
        <f t="shared" si="961"/>
        <v>5633</v>
      </c>
      <c r="DI204" s="278">
        <f t="shared" si="961"/>
        <v>7993</v>
      </c>
      <c r="DJ204" s="278">
        <f t="shared" si="961"/>
        <v>6983</v>
      </c>
      <c r="DK204" s="278">
        <f t="shared" si="961"/>
        <v>0</v>
      </c>
      <c r="DL204" s="278">
        <f t="shared" si="961"/>
        <v>0</v>
      </c>
      <c r="DM204" s="278">
        <f t="shared" si="961"/>
        <v>0</v>
      </c>
      <c r="DN204" s="278">
        <f t="shared" si="961"/>
        <v>0</v>
      </c>
      <c r="DP204" s="166"/>
      <c r="DQ204" s="166"/>
      <c r="DR204" s="166"/>
      <c r="DS204" s="166"/>
      <c r="DT204" s="166"/>
      <c r="DU204" s="166"/>
      <c r="DV204" s="166"/>
      <c r="DW204" s="166"/>
      <c r="DX204" s="166"/>
      <c r="DY204" s="166"/>
      <c r="DZ204" s="166"/>
      <c r="EA204" s="166"/>
      <c r="EB204" s="166"/>
      <c r="EC204" s="166"/>
      <c r="ED204" s="166"/>
      <c r="EE204" s="166"/>
      <c r="EF204" s="166"/>
      <c r="EG204" s="166"/>
      <c r="EH204" s="166"/>
      <c r="EI204" s="166"/>
      <c r="EJ204" s="166"/>
      <c r="EK204" s="166"/>
      <c r="EL204" s="166"/>
      <c r="EM204" s="166"/>
      <c r="EN204" s="166"/>
      <c r="EO204" s="166"/>
      <c r="EP204" s="166"/>
      <c r="EQ204" s="166"/>
      <c r="ER204" s="166"/>
      <c r="ES204" s="166"/>
      <c r="ET204" s="166"/>
      <c r="EU204" s="166"/>
    </row>
    <row r="205" spans="2:151" s="1" customFormat="1" ht="12.75" customHeight="1" x14ac:dyDescent="0.2">
      <c r="C205" s="166"/>
      <c r="D205" s="166"/>
      <c r="E205" s="166"/>
      <c r="F205" s="166"/>
      <c r="G205" s="166"/>
      <c r="H205" s="166"/>
      <c r="I205" s="166"/>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278"/>
      <c r="AN205" s="166"/>
      <c r="AO205" s="166"/>
      <c r="AP205" s="166"/>
      <c r="AQ205" s="278"/>
      <c r="AR205" s="278"/>
      <c r="AS205" s="278"/>
      <c r="AT205" s="278"/>
      <c r="AU205" s="278"/>
      <c r="AV205" s="278"/>
      <c r="AW205" s="278"/>
      <c r="AX205" s="278"/>
      <c r="AY205" s="278"/>
      <c r="AZ205" s="278"/>
      <c r="BA205" s="278"/>
      <c r="BB205" s="278"/>
      <c r="BC205" s="278"/>
      <c r="BD205" s="278"/>
      <c r="BE205" s="278"/>
      <c r="BF205" s="278"/>
      <c r="BG205" s="278"/>
      <c r="BH205" s="278"/>
      <c r="BI205" s="278"/>
      <c r="BJ205" s="278"/>
      <c r="BK205" s="166"/>
      <c r="BL205" s="166"/>
      <c r="BM205" s="166"/>
      <c r="BN205" s="166"/>
      <c r="BO205" s="278"/>
      <c r="BP205" s="278"/>
      <c r="BQ205" s="278"/>
      <c r="BR205" s="278"/>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c r="CS205" s="166"/>
      <c r="CT205" s="166"/>
      <c r="CU205" s="166"/>
      <c r="CV205" s="166"/>
      <c r="CW205" s="166"/>
      <c r="CX205" s="166"/>
      <c r="CY205" s="278"/>
      <c r="CZ205" s="166"/>
      <c r="DA205" s="166"/>
      <c r="DB205" s="166"/>
      <c r="DC205" s="166"/>
      <c r="DD205" s="166"/>
      <c r="DE205" s="166"/>
      <c r="DF205" s="166"/>
      <c r="DG205" s="166"/>
      <c r="DH205" s="166"/>
      <c r="DI205" s="166"/>
      <c r="DJ205" s="166"/>
      <c r="DK205" s="166"/>
      <c r="DL205" s="166"/>
      <c r="DM205" s="166"/>
      <c r="DN205" s="166"/>
      <c r="DP205" s="166"/>
      <c r="DQ205" s="166"/>
      <c r="DR205" s="166"/>
      <c r="DS205" s="166"/>
      <c r="DT205" s="166"/>
      <c r="DU205" s="166"/>
      <c r="DV205" s="166"/>
      <c r="DW205" s="166"/>
      <c r="DX205" s="166"/>
      <c r="DY205" s="166"/>
      <c r="DZ205" s="166"/>
      <c r="EA205" s="166"/>
      <c r="EB205" s="166"/>
      <c r="EC205" s="166"/>
      <c r="ED205" s="166"/>
      <c r="EE205" s="166"/>
      <c r="EF205" s="166"/>
      <c r="EG205" s="166"/>
      <c r="EH205" s="166"/>
      <c r="EI205" s="166"/>
      <c r="EJ205" s="166"/>
      <c r="EK205" s="166"/>
      <c r="EL205" s="166"/>
      <c r="EM205" s="166"/>
      <c r="EN205" s="166"/>
      <c r="EO205" s="166"/>
      <c r="EP205" s="166"/>
      <c r="EQ205" s="166"/>
      <c r="ER205" s="166"/>
      <c r="ES205" s="166"/>
      <c r="ET205" s="166"/>
      <c r="EU205" s="166"/>
    </row>
    <row r="206" spans="2:151" s="79" customFormat="1" ht="12.75" customHeight="1" x14ac:dyDescent="0.2">
      <c r="B206" s="79" t="s">
        <v>467</v>
      </c>
      <c r="C206" s="243"/>
      <c r="D206" s="243"/>
      <c r="E206" s="243"/>
      <c r="F206" s="243"/>
      <c r="G206" s="243"/>
      <c r="H206" s="243"/>
      <c r="I206" s="243"/>
      <c r="J206" s="243"/>
      <c r="K206" s="243"/>
      <c r="L206" s="243"/>
      <c r="M206" s="243"/>
      <c r="N206" s="243"/>
      <c r="O206" s="243"/>
      <c r="P206" s="243"/>
      <c r="Q206" s="243"/>
      <c r="R206" s="243"/>
      <c r="S206" s="243"/>
      <c r="T206" s="243"/>
      <c r="U206" s="243"/>
      <c r="V206" s="243"/>
      <c r="W206" s="243"/>
      <c r="X206" s="243"/>
      <c r="Y206" s="243"/>
      <c r="Z206" s="243"/>
      <c r="AA206" s="243"/>
      <c r="AB206" s="243"/>
      <c r="AC206" s="243"/>
      <c r="AD206" s="243"/>
      <c r="AE206" s="243"/>
      <c r="AF206" s="243"/>
      <c r="AG206" s="243"/>
      <c r="AH206" s="243"/>
      <c r="AI206" s="243">
        <v>-397</v>
      </c>
      <c r="AJ206" s="243"/>
      <c r="AK206" s="243"/>
      <c r="AL206" s="243"/>
      <c r="AM206" s="243">
        <v>-446</v>
      </c>
      <c r="AN206" s="243"/>
      <c r="AO206" s="243"/>
      <c r="AP206" s="243"/>
      <c r="AQ206" s="243">
        <v>-446</v>
      </c>
      <c r="AR206" s="243">
        <f>-1045-AQ206</f>
        <v>-599</v>
      </c>
      <c r="AS206" s="243">
        <f>-1704-AR206-AQ206</f>
        <v>-659</v>
      </c>
      <c r="AT206" s="243">
        <f>-2942-AS206-AR206-AQ206</f>
        <v>-1238</v>
      </c>
      <c r="AU206" s="243">
        <v>-479</v>
      </c>
      <c r="AV206" s="243">
        <f>-1166-AU206</f>
        <v>-687</v>
      </c>
      <c r="AW206" s="243">
        <f>-1938-AV206-AU206</f>
        <v>-772</v>
      </c>
      <c r="AX206" s="243">
        <f>-3066-AW206-AV206-AU206</f>
        <v>-1128</v>
      </c>
      <c r="AY206" s="243">
        <v>-435</v>
      </c>
      <c r="AZ206" s="243">
        <f>-1002-AY206</f>
        <v>-567</v>
      </c>
      <c r="BA206" s="243">
        <f>-1521-AZ206-AY206</f>
        <v>-519</v>
      </c>
      <c r="BB206" s="243">
        <f>-2365-BA206-AZ206-AY206</f>
        <v>-844</v>
      </c>
      <c r="BC206" s="243">
        <v>-397</v>
      </c>
      <c r="BD206" s="243">
        <f>-897-BC206</f>
        <v>-500</v>
      </c>
      <c r="BE206" s="243">
        <f>-1425-BD206-BC206</f>
        <v>-528</v>
      </c>
      <c r="BF206" s="243">
        <f>-2384-BE206-BD206-BC206</f>
        <v>-959</v>
      </c>
      <c r="BG206" s="243">
        <f>-436+121</f>
        <v>-315</v>
      </c>
      <c r="BH206" s="243">
        <f>-1054-BG206+143</f>
        <v>-596</v>
      </c>
      <c r="BI206" s="243">
        <f>-1765-BH206-BG206+721</f>
        <v>-133</v>
      </c>
      <c r="BJ206" s="243"/>
      <c r="BK206" s="243"/>
      <c r="BL206" s="243"/>
      <c r="BM206" s="243"/>
      <c r="BN206" s="243"/>
      <c r="BO206" s="243">
        <v>-586</v>
      </c>
      <c r="BP206" s="243">
        <f>-1357-BO206</f>
        <v>-771</v>
      </c>
      <c r="BQ206" s="243">
        <f>-2166-BP206-BO206</f>
        <v>-809</v>
      </c>
      <c r="BR206" s="243">
        <f>-3595-BQ206-BP206-BO206</f>
        <v>-1429</v>
      </c>
      <c r="BS206" s="243"/>
      <c r="BT206" s="243"/>
      <c r="BU206" s="243"/>
      <c r="BV206" s="243"/>
      <c r="BW206" s="243"/>
      <c r="BX206" s="243"/>
      <c r="BY206" s="243"/>
      <c r="BZ206" s="243"/>
      <c r="CA206" s="243"/>
      <c r="CB206" s="243"/>
      <c r="CC206" s="243"/>
      <c r="CD206" s="243"/>
      <c r="CE206" s="243"/>
      <c r="CF206" s="243"/>
      <c r="CG206" s="243"/>
      <c r="CH206" s="243"/>
      <c r="CI206" s="243"/>
      <c r="CJ206" s="243"/>
      <c r="CK206" s="243"/>
      <c r="CL206" s="243"/>
      <c r="CM206" s="243"/>
      <c r="CN206" s="243"/>
      <c r="CO206" s="243"/>
      <c r="CP206" s="243"/>
      <c r="CQ206" s="243"/>
      <c r="CR206" s="243"/>
      <c r="CS206" s="243"/>
      <c r="CT206" s="243"/>
      <c r="CU206" s="243"/>
      <c r="CV206" s="243"/>
      <c r="CW206" s="243"/>
      <c r="CX206" s="243"/>
      <c r="CY206" s="243">
        <v>-607</v>
      </c>
      <c r="CZ206" s="243">
        <f>-1470-CY206</f>
        <v>-863</v>
      </c>
      <c r="DA206" s="243">
        <f>-2422-CZ206-CY206</f>
        <v>-952</v>
      </c>
      <c r="DB206" s="243">
        <f>-4009+543-DA206-CZ206-CY206</f>
        <v>-1044</v>
      </c>
      <c r="DC206" s="243">
        <v>-863</v>
      </c>
      <c r="DD206" s="243">
        <f>-1987-DC206</f>
        <v>-1124</v>
      </c>
      <c r="DE206" s="243">
        <f>-2954-DD206-DC206</f>
        <v>-967</v>
      </c>
      <c r="DF206" s="243">
        <f>-4543-DE206-DD206-DC206</f>
        <v>-1589</v>
      </c>
      <c r="DG206" s="243">
        <v>-807</v>
      </c>
      <c r="DH206" s="243">
        <f>-1783-DG206</f>
        <v>-976</v>
      </c>
      <c r="DI206" s="243">
        <f>-2812-DH206-DG206</f>
        <v>-1029</v>
      </c>
      <c r="DJ206" s="243">
        <f>-4424-DI206-DH206-DG206</f>
        <v>-1612</v>
      </c>
      <c r="DK206" s="243"/>
      <c r="DL206" s="243"/>
      <c r="DM206" s="243"/>
      <c r="DN206" s="243"/>
      <c r="DP206" s="243"/>
      <c r="DQ206" s="243"/>
      <c r="DR206" s="243"/>
      <c r="DS206" s="243"/>
      <c r="DT206" s="243"/>
      <c r="DU206" s="243"/>
      <c r="DV206" s="243"/>
      <c r="DW206" s="243"/>
      <c r="DX206" s="243"/>
      <c r="DY206" s="243"/>
      <c r="DZ206" s="243"/>
      <c r="EA206" s="243"/>
      <c r="EB206" s="243"/>
      <c r="EC206" s="243"/>
      <c r="ED206" s="243"/>
      <c r="EE206" s="243"/>
      <c r="EF206" s="243"/>
      <c r="EG206" s="243"/>
      <c r="EH206" s="243"/>
      <c r="EI206" s="243"/>
      <c r="EJ206" s="243"/>
      <c r="EK206" s="243"/>
      <c r="EL206" s="243"/>
      <c r="EM206" s="243"/>
      <c r="EN206" s="243"/>
      <c r="EO206" s="243"/>
      <c r="EP206" s="243"/>
      <c r="EQ206" s="243"/>
      <c r="ER206" s="243"/>
      <c r="ES206" s="243"/>
      <c r="ET206" s="243"/>
      <c r="EU206" s="243"/>
    </row>
    <row r="207" spans="2:151" s="79" customFormat="1" ht="12.75" customHeight="1" x14ac:dyDescent="0.2">
      <c r="B207" s="79" t="s">
        <v>1941</v>
      </c>
      <c r="C207" s="243"/>
      <c r="D207" s="243"/>
      <c r="E207" s="243"/>
      <c r="F207" s="243"/>
      <c r="G207" s="243"/>
      <c r="H207" s="243"/>
      <c r="I207" s="243"/>
      <c r="J207" s="243"/>
      <c r="K207" s="243"/>
      <c r="L207" s="243"/>
      <c r="M207" s="243"/>
      <c r="N207" s="243"/>
      <c r="O207" s="243"/>
      <c r="P207" s="243"/>
      <c r="Q207" s="243"/>
      <c r="R207" s="243"/>
      <c r="S207" s="243"/>
      <c r="T207" s="243"/>
      <c r="U207" s="243"/>
      <c r="V207" s="243"/>
      <c r="W207" s="243"/>
      <c r="X207" s="243"/>
      <c r="Y207" s="243"/>
      <c r="Z207" s="243"/>
      <c r="AA207" s="243"/>
      <c r="AB207" s="243"/>
      <c r="AC207" s="243"/>
      <c r="AD207" s="243"/>
      <c r="AE207" s="243"/>
      <c r="AF207" s="243"/>
      <c r="AG207" s="243"/>
      <c r="AH207" s="243"/>
      <c r="AI207" s="243"/>
      <c r="AJ207" s="243"/>
      <c r="AK207" s="243"/>
      <c r="AL207" s="243"/>
      <c r="AM207" s="243"/>
      <c r="AN207" s="243"/>
      <c r="AO207" s="243"/>
      <c r="AP207" s="243"/>
      <c r="AQ207" s="243"/>
      <c r="AR207" s="243"/>
      <c r="AS207" s="243"/>
      <c r="AT207" s="243"/>
      <c r="AU207" s="243"/>
      <c r="AV207" s="243"/>
      <c r="AW207" s="243"/>
      <c r="AX207" s="243"/>
      <c r="AY207" s="243"/>
      <c r="AZ207" s="243"/>
      <c r="BA207" s="243"/>
      <c r="BB207" s="243"/>
      <c r="BC207" s="243"/>
      <c r="BD207" s="243"/>
      <c r="BE207" s="243"/>
      <c r="BF207" s="243"/>
      <c r="BG207" s="243"/>
      <c r="BH207" s="243"/>
      <c r="BI207" s="243"/>
      <c r="BJ207" s="243"/>
      <c r="BK207" s="243"/>
      <c r="BL207" s="243"/>
      <c r="BM207" s="243"/>
      <c r="BN207" s="243"/>
      <c r="BO207" s="243"/>
      <c r="BP207" s="243"/>
      <c r="BQ207" s="243"/>
      <c r="BR207" s="243"/>
      <c r="BS207" s="243"/>
      <c r="BT207" s="243"/>
      <c r="BU207" s="243"/>
      <c r="BV207" s="243"/>
      <c r="BW207" s="243"/>
      <c r="BX207" s="243"/>
      <c r="BY207" s="243"/>
      <c r="BZ207" s="243"/>
      <c r="CA207" s="243"/>
      <c r="CB207" s="243"/>
      <c r="CC207" s="243"/>
      <c r="CD207" s="243"/>
      <c r="CE207" s="243"/>
      <c r="CF207" s="243"/>
      <c r="CG207" s="243"/>
      <c r="CH207" s="243"/>
      <c r="CI207" s="243"/>
      <c r="CJ207" s="243"/>
      <c r="CK207" s="243"/>
      <c r="CL207" s="243"/>
      <c r="CM207" s="243"/>
      <c r="CN207" s="243"/>
      <c r="CO207" s="243"/>
      <c r="CP207" s="243"/>
      <c r="CQ207" s="243"/>
      <c r="CR207" s="243"/>
      <c r="CS207" s="243"/>
      <c r="CT207" s="243"/>
      <c r="CU207" s="243"/>
      <c r="CV207" s="243"/>
      <c r="CW207" s="243"/>
      <c r="CX207" s="243"/>
      <c r="CY207" s="243">
        <v>0</v>
      </c>
      <c r="CZ207" s="243">
        <v>314</v>
      </c>
      <c r="DA207" s="243">
        <f>322-CZ207-CY207</f>
        <v>8</v>
      </c>
      <c r="DB207" s="243"/>
      <c r="DC207" s="243">
        <f>40</f>
        <v>40</v>
      </c>
      <c r="DD207" s="243">
        <f t="shared" ref="DD207" si="962">116-DC207</f>
        <v>76</v>
      </c>
      <c r="DE207" s="243">
        <f>237-DD207-DC207</f>
        <v>121</v>
      </c>
      <c r="DF207" s="243">
        <f>358-DE207-DD207-DC207</f>
        <v>121</v>
      </c>
      <c r="DG207" s="243">
        <v>210</v>
      </c>
      <c r="DH207" s="243">
        <f>573-DG207</f>
        <v>363</v>
      </c>
      <c r="DI207" s="243">
        <f>623-DH207-DG207</f>
        <v>50</v>
      </c>
      <c r="DJ207" s="243">
        <f>675-DI207-DH207-DG207</f>
        <v>52</v>
      </c>
      <c r="DK207" s="243"/>
      <c r="DL207" s="243"/>
      <c r="DM207" s="243"/>
      <c r="DN207" s="243"/>
      <c r="DP207" s="243"/>
      <c r="DQ207" s="243"/>
      <c r="DR207" s="243"/>
      <c r="DS207" s="243"/>
      <c r="DT207" s="243"/>
      <c r="DU207" s="243"/>
      <c r="DV207" s="243"/>
      <c r="DW207" s="243"/>
      <c r="DX207" s="243"/>
      <c r="DY207" s="243"/>
      <c r="DZ207" s="243"/>
      <c r="EA207" s="243"/>
      <c r="EB207" s="243"/>
      <c r="EC207" s="243"/>
      <c r="ED207" s="243"/>
      <c r="EE207" s="243"/>
      <c r="EF207" s="243"/>
      <c r="EG207" s="243"/>
      <c r="EH207" s="243"/>
      <c r="EI207" s="243"/>
      <c r="EJ207" s="243"/>
      <c r="EK207" s="243"/>
      <c r="EL207" s="243"/>
      <c r="EM207" s="243"/>
      <c r="EN207" s="243"/>
      <c r="EO207" s="243"/>
      <c r="EP207" s="243"/>
      <c r="EQ207" s="243"/>
      <c r="ER207" s="243"/>
      <c r="ES207" s="243"/>
      <c r="ET207" s="243"/>
      <c r="EU207" s="243"/>
    </row>
    <row r="208" spans="2:151" s="79" customFormat="1" ht="12.75" customHeight="1" x14ac:dyDescent="0.2">
      <c r="B208" s="79" t="s">
        <v>247</v>
      </c>
      <c r="C208" s="243"/>
      <c r="D208" s="243"/>
      <c r="E208" s="243"/>
      <c r="F208" s="243"/>
      <c r="G208" s="243"/>
      <c r="H208" s="243"/>
      <c r="I208" s="243"/>
      <c r="J208" s="243"/>
      <c r="K208" s="243"/>
      <c r="L208" s="243"/>
      <c r="M208" s="243"/>
      <c r="N208" s="243"/>
      <c r="O208" s="243"/>
      <c r="P208" s="243"/>
      <c r="Q208" s="243"/>
      <c r="R208" s="243"/>
      <c r="S208" s="243"/>
      <c r="T208" s="243"/>
      <c r="U208" s="243"/>
      <c r="V208" s="243"/>
      <c r="W208" s="243"/>
      <c r="X208" s="243"/>
      <c r="Y208" s="243"/>
      <c r="Z208" s="243"/>
      <c r="AA208" s="243"/>
      <c r="AB208" s="243"/>
      <c r="AC208" s="243"/>
      <c r="AD208" s="243"/>
      <c r="AE208" s="243"/>
      <c r="AF208" s="243"/>
      <c r="AG208" s="243"/>
      <c r="AH208" s="243"/>
      <c r="AI208" s="243"/>
      <c r="AJ208" s="243"/>
      <c r="AK208" s="243"/>
      <c r="AL208" s="243"/>
      <c r="AM208" s="243"/>
      <c r="AN208" s="243"/>
      <c r="AO208" s="243"/>
      <c r="AP208" s="243"/>
      <c r="AQ208" s="243">
        <v>-1368</v>
      </c>
      <c r="AR208" s="243">
        <v>0</v>
      </c>
      <c r="AS208" s="243">
        <f>-1378-AR208-AQ208</f>
        <v>-10</v>
      </c>
      <c r="AT208" s="243">
        <f>-1388-AS208-AR208-AQ208</f>
        <v>-10</v>
      </c>
      <c r="AU208" s="243">
        <f>34-8</f>
        <v>26</v>
      </c>
      <c r="AV208" s="243">
        <f>47-46-AU208</f>
        <v>-25</v>
      </c>
      <c r="AW208" s="243">
        <f>-400+56-AU208-AV208</f>
        <v>-345</v>
      </c>
      <c r="AX208" s="243">
        <f>-1214+785-AW208-AV208-AU208</f>
        <v>-85</v>
      </c>
      <c r="AY208" s="243">
        <v>-1291</v>
      </c>
      <c r="AZ208" s="243">
        <f>-1291-AY208</f>
        <v>0</v>
      </c>
      <c r="BA208" s="243">
        <f>-2337-AZ208-AY208</f>
        <v>-1046</v>
      </c>
      <c r="BB208" s="243">
        <f>-2470-BA208-AZ208-AY208</f>
        <v>-133</v>
      </c>
      <c r="BC208" s="243">
        <v>-772</v>
      </c>
      <c r="BD208" s="243">
        <f>-6695-BC208</f>
        <v>-5923</v>
      </c>
      <c r="BE208" s="243">
        <f>-1269-BD208-BC208</f>
        <v>5426</v>
      </c>
      <c r="BF208" s="243">
        <f>-1269-BE208-BD208-BC208</f>
        <v>0</v>
      </c>
      <c r="BG208" s="243">
        <v>-2049</v>
      </c>
      <c r="BH208" s="243">
        <f>-2049-BG208</f>
        <v>0</v>
      </c>
      <c r="BI208" s="243">
        <f>-2469-BH208-BG208</f>
        <v>-420</v>
      </c>
      <c r="BJ208" s="243"/>
      <c r="BK208" s="243"/>
      <c r="BL208" s="243"/>
      <c r="BM208" s="243"/>
      <c r="BN208" s="243"/>
      <c r="BO208" s="243">
        <v>-168</v>
      </c>
      <c r="BP208" s="243">
        <f>-174-BO208</f>
        <v>-6</v>
      </c>
      <c r="BQ208" s="243">
        <f>-819-BP208-BO208</f>
        <v>-645</v>
      </c>
      <c r="BR208" s="243">
        <f>-835-BQ208-BP208-BO208</f>
        <v>-16</v>
      </c>
      <c r="BS208" s="243"/>
      <c r="BT208" s="243"/>
      <c r="BU208" s="243"/>
      <c r="BV208" s="243"/>
      <c r="BW208" s="243"/>
      <c r="BX208" s="243"/>
      <c r="BY208" s="243"/>
      <c r="BZ208" s="243"/>
      <c r="CA208" s="243"/>
      <c r="CB208" s="243"/>
      <c r="CC208" s="243"/>
      <c r="CD208" s="243"/>
      <c r="CE208" s="243"/>
      <c r="CF208" s="243"/>
      <c r="CG208" s="243"/>
      <c r="CH208" s="243"/>
      <c r="CI208" s="243"/>
      <c r="CJ208" s="243"/>
      <c r="CK208" s="243"/>
      <c r="CL208" s="243"/>
      <c r="CM208" s="243"/>
      <c r="CN208" s="243"/>
      <c r="CO208" s="243"/>
      <c r="CP208" s="243"/>
      <c r="CQ208" s="243"/>
      <c r="CR208" s="243"/>
      <c r="CS208" s="243"/>
      <c r="CT208" s="243"/>
      <c r="CU208" s="243"/>
      <c r="CV208" s="243"/>
      <c r="CW208" s="243"/>
      <c r="CX208" s="243"/>
      <c r="CY208" s="243">
        <f>248-252</f>
        <v>-4</v>
      </c>
      <c r="CZ208" s="243">
        <f>-523-CY208</f>
        <v>-519</v>
      </c>
      <c r="DA208" s="243">
        <f>-522-CZ208-CY208</f>
        <v>1</v>
      </c>
      <c r="DB208" s="243">
        <f>-17652-DA208-CZ208-CY208</f>
        <v>-17130</v>
      </c>
      <c r="DC208" s="243">
        <v>0</v>
      </c>
      <c r="DD208" s="243">
        <v>0</v>
      </c>
      <c r="DE208" s="243">
        <f>0-DD208-DC208</f>
        <v>0</v>
      </c>
      <c r="DF208" s="243">
        <f>-470-DE208-DD208-DC208</f>
        <v>-470</v>
      </c>
      <c r="DG208" s="243">
        <v>-1811</v>
      </c>
      <c r="DH208" s="243">
        <f>-14807-DG208</f>
        <v>-12996</v>
      </c>
      <c r="DI208" s="243">
        <f>-15145-DH208-DG208-1250</f>
        <v>-1588</v>
      </c>
      <c r="DJ208" s="243">
        <f>-15146-DI208-DH208-DG208-1783</f>
        <v>-534</v>
      </c>
      <c r="DK208" s="243"/>
      <c r="DL208" s="243"/>
      <c r="DM208" s="243"/>
      <c r="DN208" s="243"/>
      <c r="DP208" s="243"/>
      <c r="DQ208" s="243"/>
      <c r="DR208" s="243"/>
      <c r="DS208" s="243"/>
      <c r="DT208" s="243"/>
      <c r="DU208" s="243"/>
      <c r="DV208" s="243"/>
      <c r="DW208" s="243"/>
      <c r="DX208" s="243"/>
      <c r="DY208" s="243"/>
      <c r="DZ208" s="243"/>
      <c r="EA208" s="243"/>
      <c r="EB208" s="243"/>
      <c r="EC208" s="243"/>
      <c r="ED208" s="243"/>
      <c r="EE208" s="243"/>
      <c r="EF208" s="243"/>
      <c r="EG208" s="243"/>
      <c r="EH208" s="243"/>
      <c r="EI208" s="243"/>
      <c r="EJ208" s="243"/>
      <c r="EK208" s="243"/>
      <c r="EL208" s="243"/>
      <c r="EM208" s="243"/>
      <c r="EN208" s="243"/>
      <c r="EO208" s="243"/>
      <c r="EP208" s="243"/>
      <c r="EQ208" s="243"/>
      <c r="ER208" s="243"/>
      <c r="ES208" s="243"/>
      <c r="ET208" s="243"/>
      <c r="EU208" s="243"/>
    </row>
    <row r="209" spans="2:151" s="79" customFormat="1" ht="12.75" customHeight="1" x14ac:dyDescent="0.2">
      <c r="B209" s="79" t="s">
        <v>1886</v>
      </c>
      <c r="C209" s="243"/>
      <c r="D209" s="243"/>
      <c r="E209" s="243"/>
      <c r="F209" s="243"/>
      <c r="G209" s="243"/>
      <c r="H209" s="243"/>
      <c r="I209" s="243"/>
      <c r="J209" s="243"/>
      <c r="K209" s="243"/>
      <c r="L209" s="243"/>
      <c r="M209" s="243"/>
      <c r="N209" s="243"/>
      <c r="O209" s="243"/>
      <c r="P209" s="243"/>
      <c r="Q209" s="243"/>
      <c r="R209" s="243"/>
      <c r="S209" s="243"/>
      <c r="T209" s="243"/>
      <c r="U209" s="243"/>
      <c r="V209" s="243"/>
      <c r="W209" s="243"/>
      <c r="X209" s="243"/>
      <c r="Y209" s="243"/>
      <c r="Z209" s="243"/>
      <c r="AA209" s="243"/>
      <c r="AB209" s="243"/>
      <c r="AC209" s="243"/>
      <c r="AD209" s="243"/>
      <c r="AE209" s="243"/>
      <c r="AF209" s="243"/>
      <c r="AG209" s="243"/>
      <c r="AH209" s="243"/>
      <c r="AI209" s="243"/>
      <c r="AJ209" s="243"/>
      <c r="AK209" s="243"/>
      <c r="AL209" s="243"/>
      <c r="AM209" s="243"/>
      <c r="AN209" s="243"/>
      <c r="AO209" s="243"/>
      <c r="AP209" s="243"/>
      <c r="AQ209" s="243"/>
      <c r="AR209" s="243"/>
      <c r="AS209" s="243"/>
      <c r="AT209" s="243"/>
      <c r="AU209" s="243"/>
      <c r="AV209" s="243"/>
      <c r="AW209" s="243"/>
      <c r="AX209" s="243"/>
      <c r="AY209" s="243"/>
      <c r="AZ209" s="243"/>
      <c r="BA209" s="243"/>
      <c r="BB209" s="243"/>
      <c r="BC209" s="243"/>
      <c r="BD209" s="243"/>
      <c r="BE209" s="243"/>
      <c r="BF209" s="243"/>
      <c r="BG209" s="243"/>
      <c r="BH209" s="243"/>
      <c r="BI209" s="243"/>
      <c r="BJ209" s="243"/>
      <c r="BK209" s="243"/>
      <c r="BL209" s="243"/>
      <c r="BM209" s="243"/>
      <c r="BN209" s="243"/>
      <c r="BO209" s="243"/>
      <c r="BP209" s="243"/>
      <c r="BQ209" s="243"/>
      <c r="BR209" s="243"/>
      <c r="BS209" s="243"/>
      <c r="BT209" s="243"/>
      <c r="BU209" s="243"/>
      <c r="BV209" s="243"/>
      <c r="BW209" s="243"/>
      <c r="BX209" s="243"/>
      <c r="BY209" s="243"/>
      <c r="BZ209" s="243"/>
      <c r="CA209" s="243"/>
      <c r="CB209" s="243"/>
      <c r="CC209" s="243"/>
      <c r="CD209" s="243"/>
      <c r="CE209" s="243"/>
      <c r="CF209" s="243"/>
      <c r="CG209" s="243"/>
      <c r="CH209" s="243"/>
      <c r="CI209" s="243"/>
      <c r="CJ209" s="243"/>
      <c r="CK209" s="243"/>
      <c r="CL209" s="243"/>
      <c r="CM209" s="243"/>
      <c r="CN209" s="243"/>
      <c r="CO209" s="243"/>
      <c r="CP209" s="243"/>
      <c r="CQ209" s="243"/>
      <c r="CR209" s="243"/>
      <c r="CS209" s="243"/>
      <c r="CT209" s="243"/>
      <c r="CU209" s="243"/>
      <c r="CV209" s="243"/>
      <c r="CW209" s="243"/>
      <c r="CX209" s="243"/>
      <c r="CY209" s="243">
        <f>-9018+6303</f>
        <v>-2715</v>
      </c>
      <c r="CZ209" s="243">
        <f>-22048+17634-CY209</f>
        <v>-1699</v>
      </c>
      <c r="DA209" s="243">
        <f>-31163+26324-CZ209-CY209</f>
        <v>-425</v>
      </c>
      <c r="DB209" s="243">
        <f>-32384+41609-DA209-CZ209-CY209</f>
        <v>14064</v>
      </c>
      <c r="DC209" s="243">
        <f>-3774+7766</f>
        <v>3992</v>
      </c>
      <c r="DD209" s="243">
        <f>-9688-DC209+11877</f>
        <v>-1803</v>
      </c>
      <c r="DE209" s="243">
        <f>-9981+15787-DD209-DC209</f>
        <v>3617</v>
      </c>
      <c r="DF209" s="243">
        <f>-10906+19390-DE209-DD209-DC209</f>
        <v>2678</v>
      </c>
      <c r="DG209" s="243">
        <f>-630+979</f>
        <v>349</v>
      </c>
      <c r="DH209" s="243">
        <f>-1184+1706-DG209</f>
        <v>173</v>
      </c>
      <c r="DI209" s="243">
        <f>-1464+2172-DH209-DG209</f>
        <v>186</v>
      </c>
      <c r="DJ209" s="243">
        <f>-1726+2462-DI209-DH209-DG209</f>
        <v>28</v>
      </c>
      <c r="DK209" s="243"/>
      <c r="DL209" s="243"/>
      <c r="DM209" s="243"/>
      <c r="DN209" s="243"/>
      <c r="DP209" s="243"/>
      <c r="DQ209" s="243"/>
      <c r="DR209" s="243"/>
      <c r="DS209" s="243"/>
      <c r="DT209" s="243"/>
      <c r="DU209" s="243"/>
      <c r="DV209" s="243"/>
      <c r="DW209" s="243"/>
      <c r="DX209" s="243"/>
      <c r="DY209" s="243"/>
      <c r="DZ209" s="243"/>
      <c r="EA209" s="243"/>
      <c r="EB209" s="243"/>
      <c r="EC209" s="243"/>
      <c r="ED209" s="243"/>
      <c r="EE209" s="243"/>
      <c r="EF209" s="243"/>
      <c r="EG209" s="243"/>
      <c r="EH209" s="243"/>
      <c r="EI209" s="243"/>
      <c r="EJ209" s="243"/>
      <c r="EK209" s="243"/>
      <c r="EL209" s="243"/>
      <c r="EM209" s="243"/>
      <c r="EN209" s="243"/>
      <c r="EO209" s="243"/>
      <c r="EP209" s="243"/>
      <c r="EQ209" s="243"/>
      <c r="ER209" s="243"/>
      <c r="ES209" s="243"/>
      <c r="ET209" s="243"/>
      <c r="EU209" s="243"/>
    </row>
    <row r="210" spans="2:151" ht="12.75" customHeight="1" x14ac:dyDescent="0.2">
      <c r="B210" s="79" t="s">
        <v>1887</v>
      </c>
      <c r="AQ210" s="243"/>
      <c r="AR210" s="243"/>
      <c r="AS210" s="243"/>
      <c r="AT210" s="243"/>
      <c r="AU210" s="243"/>
      <c r="AV210" s="243"/>
      <c r="AW210" s="243"/>
      <c r="AX210" s="243"/>
      <c r="AY210" s="243"/>
      <c r="AZ210" s="243"/>
      <c r="BA210" s="243"/>
      <c r="BB210" s="243"/>
      <c r="BC210" s="243"/>
      <c r="BD210" s="243"/>
      <c r="BE210" s="243"/>
      <c r="BF210" s="243"/>
      <c r="BG210" s="243"/>
      <c r="BH210" s="243"/>
      <c r="BI210" s="243"/>
      <c r="BO210" s="243"/>
      <c r="BP210" s="243"/>
      <c r="BQ210" s="243"/>
      <c r="BR210" s="243"/>
      <c r="CY210" s="76">
        <v>-249</v>
      </c>
      <c r="CZ210" s="76">
        <f>-10-CY210</f>
        <v>239</v>
      </c>
      <c r="DA210" s="76">
        <f>-305-CZ210-CY210</f>
        <v>-295</v>
      </c>
      <c r="DB210" s="76">
        <f>-249-DA210-CZ210-CY210</f>
        <v>56</v>
      </c>
      <c r="DC210" s="76">
        <v>158</v>
      </c>
      <c r="DD210" s="243">
        <f>-798-DC210</f>
        <v>-956</v>
      </c>
      <c r="DE210" s="243">
        <f>-917-DD210-DC210</f>
        <v>-119</v>
      </c>
      <c r="DF210" s="243">
        <f>-2963-DE210-DD210-DC210</f>
        <v>-2046</v>
      </c>
      <c r="DG210" s="243">
        <v>1600</v>
      </c>
      <c r="DH210" s="243">
        <f>1430-DG210</f>
        <v>-170</v>
      </c>
      <c r="DI210" s="243">
        <f>699-DH210-DG210</f>
        <v>-731</v>
      </c>
      <c r="DJ210" s="243">
        <f>1517-DI210-DH210-DG210</f>
        <v>818</v>
      </c>
    </row>
    <row r="211" spans="2:151" ht="12.75" customHeight="1" x14ac:dyDescent="0.2">
      <c r="B211" s="79" t="s">
        <v>1888</v>
      </c>
      <c r="AQ211" s="243"/>
      <c r="AR211" s="243"/>
      <c r="AS211" s="243"/>
      <c r="AT211" s="243"/>
      <c r="AU211" s="243"/>
      <c r="AV211" s="243"/>
      <c r="AW211" s="243"/>
      <c r="AX211" s="243"/>
      <c r="AY211" s="243"/>
      <c r="AZ211" s="243"/>
      <c r="BA211" s="243"/>
      <c r="BB211" s="243"/>
      <c r="BC211" s="243"/>
      <c r="BD211" s="243"/>
      <c r="BE211" s="243"/>
      <c r="BF211" s="243"/>
      <c r="BG211" s="243"/>
      <c r="BH211" s="243"/>
      <c r="BI211" s="243"/>
      <c r="BO211" s="243"/>
      <c r="BP211" s="243"/>
      <c r="BQ211" s="243"/>
      <c r="BR211" s="243"/>
      <c r="CY211" s="76">
        <v>-59</v>
      </c>
      <c r="CZ211" s="76">
        <f>-170-CY211</f>
        <v>-111</v>
      </c>
      <c r="DA211" s="76">
        <f>-208-CZ211-CY211</f>
        <v>-38</v>
      </c>
      <c r="DB211" s="76">
        <f>-229--DA211-CZ211-CY211</f>
        <v>-97</v>
      </c>
      <c r="DC211" s="76">
        <v>-12</v>
      </c>
      <c r="DD211" s="243">
        <f>19-DC211</f>
        <v>31</v>
      </c>
      <c r="DE211" s="243">
        <f>-92-DD211-DC211</f>
        <v>-111</v>
      </c>
      <c r="DF211" s="243">
        <f>12-DE211-DD211-DC211</f>
        <v>104</v>
      </c>
      <c r="DG211" s="243">
        <v>-5</v>
      </c>
      <c r="DH211" s="243">
        <f>-86-DG211</f>
        <v>-81</v>
      </c>
      <c r="DI211" s="243">
        <f>-102-DH211-DG211</f>
        <v>-16</v>
      </c>
      <c r="DJ211" s="243">
        <f>-174-DI211-DH211-DG211</f>
        <v>-72</v>
      </c>
    </row>
    <row r="212" spans="2:151" ht="12.75" customHeight="1" x14ac:dyDescent="0.2">
      <c r="B212" s="79" t="s">
        <v>1889</v>
      </c>
      <c r="AQ212" s="243"/>
      <c r="AR212" s="243"/>
      <c r="AS212" s="243"/>
      <c r="AT212" s="243"/>
      <c r="AU212" s="243"/>
      <c r="AV212" s="243"/>
      <c r="AW212" s="243"/>
      <c r="AX212" s="243"/>
      <c r="AY212" s="243"/>
      <c r="AZ212" s="243"/>
      <c r="BA212" s="243"/>
      <c r="BB212" s="243"/>
      <c r="BC212" s="243"/>
      <c r="BD212" s="243"/>
      <c r="BE212" s="243"/>
      <c r="BF212" s="243"/>
      <c r="BG212" s="243"/>
      <c r="BH212" s="243"/>
      <c r="BI212" s="243"/>
      <c r="BO212" s="243"/>
      <c r="BP212" s="243"/>
      <c r="BQ212" s="243"/>
      <c r="BR212" s="243"/>
      <c r="CY212" s="243">
        <f>SUM(CY206:CY211)</f>
        <v>-3634</v>
      </c>
      <c r="CZ212" s="243">
        <f t="shared" ref="CZ212:DF212" si="963">SUM(CZ206:CZ211)</f>
        <v>-2639</v>
      </c>
      <c r="DA212" s="243">
        <f t="shared" si="963"/>
        <v>-1701</v>
      </c>
      <c r="DB212" s="243">
        <f t="shared" si="963"/>
        <v>-4151</v>
      </c>
      <c r="DC212" s="243">
        <f t="shared" si="963"/>
        <v>3315</v>
      </c>
      <c r="DD212" s="243">
        <f t="shared" si="963"/>
        <v>-3776</v>
      </c>
      <c r="DE212" s="243">
        <f t="shared" si="963"/>
        <v>2541</v>
      </c>
      <c r="DF212" s="243">
        <f t="shared" si="963"/>
        <v>-1202</v>
      </c>
      <c r="DG212" s="243">
        <f t="shared" ref="DG212:DN212" si="964">SUM(DG206:DG211)</f>
        <v>-464</v>
      </c>
      <c r="DH212" s="243">
        <f t="shared" si="964"/>
        <v>-13687</v>
      </c>
      <c r="DI212" s="243">
        <f t="shared" si="964"/>
        <v>-3128</v>
      </c>
      <c r="DJ212" s="243">
        <f t="shared" si="964"/>
        <v>-1320</v>
      </c>
      <c r="DK212" s="243">
        <f t="shared" si="964"/>
        <v>0</v>
      </c>
      <c r="DL212" s="243">
        <f t="shared" si="964"/>
        <v>0</v>
      </c>
      <c r="DM212" s="243">
        <f t="shared" si="964"/>
        <v>0</v>
      </c>
      <c r="DN212" s="243">
        <f t="shared" si="964"/>
        <v>0</v>
      </c>
    </row>
    <row r="213" spans="2:151" ht="12.75" customHeight="1" x14ac:dyDescent="0.2">
      <c r="B213" s="79"/>
      <c r="AQ213" s="243"/>
      <c r="AR213" s="243"/>
      <c r="AS213" s="243"/>
      <c r="AT213" s="243"/>
      <c r="AU213" s="243"/>
      <c r="AV213" s="243"/>
      <c r="AW213" s="243"/>
      <c r="AX213" s="243"/>
      <c r="AY213" s="243"/>
      <c r="AZ213" s="243"/>
      <c r="BA213" s="243"/>
      <c r="BB213" s="243"/>
      <c r="BC213" s="243"/>
      <c r="BD213" s="243"/>
      <c r="BE213" s="243"/>
      <c r="BF213" s="243"/>
      <c r="BG213" s="243"/>
      <c r="BH213" s="243"/>
      <c r="BI213" s="243"/>
      <c r="BO213" s="243"/>
      <c r="BP213" s="243"/>
      <c r="BQ213" s="243"/>
      <c r="BR213" s="243"/>
    </row>
    <row r="214" spans="2:151" s="79" customFormat="1" ht="12.75" customHeight="1" x14ac:dyDescent="0.2">
      <c r="B214" s="79" t="s">
        <v>1235</v>
      </c>
      <c r="C214" s="243"/>
      <c r="D214" s="243"/>
      <c r="E214" s="243"/>
      <c r="F214" s="243"/>
      <c r="G214" s="243"/>
      <c r="H214" s="243"/>
      <c r="I214" s="243"/>
      <c r="J214" s="243"/>
      <c r="K214" s="243"/>
      <c r="L214" s="243"/>
      <c r="M214" s="243"/>
      <c r="N214" s="243"/>
      <c r="O214" s="243"/>
      <c r="P214" s="243"/>
      <c r="Q214" s="243"/>
      <c r="R214" s="243"/>
      <c r="S214" s="243"/>
      <c r="T214" s="243"/>
      <c r="U214" s="243"/>
      <c r="V214" s="243"/>
      <c r="W214" s="243"/>
      <c r="X214" s="243"/>
      <c r="Y214" s="243"/>
      <c r="Z214" s="243"/>
      <c r="AA214" s="243"/>
      <c r="AB214" s="243"/>
      <c r="AC214" s="243"/>
      <c r="AD214" s="243"/>
      <c r="AE214" s="243"/>
      <c r="AF214" s="243"/>
      <c r="AG214" s="243"/>
      <c r="AH214" s="243"/>
      <c r="AI214" s="243"/>
      <c r="AJ214" s="243"/>
      <c r="AK214" s="243"/>
      <c r="AL214" s="243"/>
      <c r="AM214" s="243"/>
      <c r="AN214" s="243"/>
      <c r="AO214" s="243"/>
      <c r="AP214" s="243"/>
      <c r="AQ214" s="243">
        <v>-1085</v>
      </c>
      <c r="AR214" s="243">
        <f>-2287-AQ214</f>
        <v>-1202</v>
      </c>
      <c r="AS214" s="243">
        <f>-3486-AR214-AQ214</f>
        <v>-1199</v>
      </c>
      <c r="AT214" s="243">
        <f>-4670-AS214-AR214-AQ214</f>
        <v>-1184</v>
      </c>
      <c r="AU214" s="243">
        <v>-1174</v>
      </c>
      <c r="AV214" s="243">
        <f>-2466-AU214</f>
        <v>-1292</v>
      </c>
      <c r="AW214" s="243">
        <f>-3750-AV214-AU214</f>
        <v>-1284</v>
      </c>
      <c r="AX214" s="243">
        <f>-5024-AW214-AV214-AU214</f>
        <v>-1274</v>
      </c>
      <c r="AY214" s="243">
        <v>-1273</v>
      </c>
      <c r="AZ214" s="243">
        <f>-2623-AY214</f>
        <v>-1350</v>
      </c>
      <c r="BA214" s="243">
        <f>-3974-AZ214-AY214</f>
        <v>-1351</v>
      </c>
      <c r="BB214" s="243">
        <f>-5327-BA214-AZ214-AY214</f>
        <v>-1353</v>
      </c>
      <c r="BC214" s="243">
        <v>-1350</v>
      </c>
      <c r="BD214" s="243">
        <f>-2839-BC214</f>
        <v>-1489</v>
      </c>
      <c r="BE214" s="243">
        <f>-4323-BD214-BC214</f>
        <v>-1484</v>
      </c>
      <c r="BF214" s="243">
        <f>-5804-BE214-BD214-BC214</f>
        <v>-1481</v>
      </c>
      <c r="BG214" s="243">
        <v>-1480</v>
      </c>
      <c r="BH214" s="243">
        <f>-3043-BG214</f>
        <v>-1563</v>
      </c>
      <c r="BI214" s="243">
        <f>-4601-BH214-BG214</f>
        <v>-1558</v>
      </c>
      <c r="BJ214" s="243"/>
      <c r="BK214" s="243"/>
      <c r="BL214" s="243"/>
      <c r="BM214" s="243"/>
      <c r="BN214" s="243"/>
      <c r="BO214" s="243">
        <v>-1706</v>
      </c>
      <c r="BP214" s="243">
        <f>-3562-BO214</f>
        <v>-1856</v>
      </c>
      <c r="BQ214" s="243">
        <f>-5424-BP214-BO214</f>
        <v>-1862</v>
      </c>
      <c r="BR214" s="243">
        <f>-7286-BQ214-BP214-BO214</f>
        <v>-1862</v>
      </c>
      <c r="BS214" s="243"/>
      <c r="BT214" s="243"/>
      <c r="BU214" s="243"/>
      <c r="BV214" s="243"/>
      <c r="BW214" s="243"/>
      <c r="BX214" s="243"/>
      <c r="BY214" s="243"/>
      <c r="BZ214" s="243"/>
      <c r="CA214" s="243"/>
      <c r="CB214" s="243"/>
      <c r="CC214" s="243"/>
      <c r="CD214" s="243"/>
      <c r="CE214" s="243"/>
      <c r="CF214" s="243"/>
      <c r="CG214" s="243"/>
      <c r="CH214" s="243"/>
      <c r="CI214" s="243"/>
      <c r="CJ214" s="243"/>
      <c r="CK214" s="243"/>
      <c r="CL214" s="243"/>
      <c r="CM214" s="243"/>
      <c r="CN214" s="243"/>
      <c r="CO214" s="243"/>
      <c r="CP214" s="243"/>
      <c r="CQ214" s="243"/>
      <c r="CR214" s="243"/>
      <c r="CS214" s="243"/>
      <c r="CT214" s="243"/>
      <c r="CU214" s="243"/>
      <c r="CV214" s="243"/>
      <c r="CW214" s="243"/>
      <c r="CX214" s="243"/>
      <c r="CY214" s="243">
        <v>-2787</v>
      </c>
      <c r="CZ214" s="243">
        <f>-5758-CY214</f>
        <v>-2971</v>
      </c>
      <c r="DA214" s="243">
        <f>-8728-CZ214-CY214</f>
        <v>-2970</v>
      </c>
      <c r="DB214" s="243">
        <f>-11682-DA214-CZ214-CY214</f>
        <v>-2954</v>
      </c>
      <c r="DC214" s="243">
        <v>-2942</v>
      </c>
      <c r="DD214" s="243">
        <f>-6034-DC214</f>
        <v>-3092</v>
      </c>
      <c r="DE214" s="243">
        <f>-8905-DD214-DC214</f>
        <v>-2871</v>
      </c>
      <c r="DF214" s="243">
        <f>-11770-DE214-DD214-DC214</f>
        <v>-2865</v>
      </c>
      <c r="DG214" s="243">
        <v>-2869</v>
      </c>
      <c r="DH214" s="243">
        <f>-5854-DG214</f>
        <v>-2985</v>
      </c>
      <c r="DI214" s="243">
        <f>-8839-DH214-DG214</f>
        <v>-2985</v>
      </c>
      <c r="DJ214" s="243">
        <f>-11823-DI214-DH214-DG214</f>
        <v>-2984</v>
      </c>
      <c r="DK214" s="243"/>
      <c r="DL214" s="243"/>
      <c r="DM214" s="243"/>
      <c r="DN214" s="243"/>
      <c r="DP214" s="243"/>
      <c r="DQ214" s="243"/>
      <c r="DR214" s="243"/>
      <c r="DS214" s="243"/>
      <c r="DT214" s="243"/>
      <c r="DU214" s="243"/>
      <c r="DV214" s="243"/>
      <c r="DW214" s="243"/>
      <c r="DX214" s="243"/>
      <c r="DY214" s="243"/>
      <c r="DZ214" s="243"/>
      <c r="EA214" s="243"/>
      <c r="EB214" s="243"/>
      <c r="EC214" s="243"/>
      <c r="ED214" s="243"/>
      <c r="EE214" s="243"/>
      <c r="EF214" s="243"/>
      <c r="EG214" s="243"/>
      <c r="EH214" s="243"/>
      <c r="EI214" s="243"/>
      <c r="EJ214" s="243"/>
      <c r="EK214" s="243"/>
      <c r="EL214" s="243"/>
      <c r="EM214" s="243"/>
      <c r="EN214" s="243"/>
      <c r="EO214" s="243"/>
      <c r="EP214" s="243"/>
      <c r="EQ214" s="243"/>
      <c r="ER214" s="243"/>
      <c r="ES214" s="243"/>
      <c r="ET214" s="243"/>
      <c r="EU214" s="243"/>
    </row>
    <row r="215" spans="2:151" s="79" customFormat="1" ht="12.75" customHeight="1" x14ac:dyDescent="0.2">
      <c r="B215" s="79" t="s">
        <v>468</v>
      </c>
      <c r="C215" s="243"/>
      <c r="D215" s="243"/>
      <c r="E215" s="243"/>
      <c r="F215" s="243"/>
      <c r="G215" s="243"/>
      <c r="H215" s="243"/>
      <c r="I215" s="243"/>
      <c r="J215" s="243"/>
      <c r="K215" s="243"/>
      <c r="L215" s="243"/>
      <c r="M215" s="243"/>
      <c r="N215" s="243"/>
      <c r="O215" s="243"/>
      <c r="P215" s="243"/>
      <c r="Q215" s="243"/>
      <c r="R215" s="243"/>
      <c r="S215" s="243"/>
      <c r="T215" s="243"/>
      <c r="U215" s="243"/>
      <c r="V215" s="243"/>
      <c r="W215" s="243"/>
      <c r="X215" s="243"/>
      <c r="Y215" s="243"/>
      <c r="Z215" s="243"/>
      <c r="AA215" s="243"/>
      <c r="AB215" s="243"/>
      <c r="AC215" s="243"/>
      <c r="AD215" s="243"/>
      <c r="AE215" s="243"/>
      <c r="AF215" s="243"/>
      <c r="AG215" s="243"/>
      <c r="AH215" s="243"/>
      <c r="AI215" s="243">
        <v>654</v>
      </c>
      <c r="AJ215" s="243"/>
      <c r="AK215" s="243"/>
      <c r="AL215" s="243"/>
      <c r="AM215" s="243">
        <v>401</v>
      </c>
      <c r="AN215" s="243"/>
      <c r="AO215" s="243"/>
      <c r="AP215" s="243"/>
      <c r="AQ215" s="243">
        <v>-295</v>
      </c>
      <c r="AR215" s="243">
        <f>-739-AQ215</f>
        <v>-444</v>
      </c>
      <c r="AS215" s="243">
        <f>-2581-AR215-AQ215</f>
        <v>-1842</v>
      </c>
      <c r="AT215" s="243">
        <f>-5607-AS215-AR215-AQ215</f>
        <v>-3026</v>
      </c>
      <c r="AU215" s="243">
        <v>-1779</v>
      </c>
      <c r="AV215" s="243">
        <f>-3617-AU215</f>
        <v>-1838</v>
      </c>
      <c r="AW215" s="243">
        <f>-5773-AV215-AU215</f>
        <v>-2156</v>
      </c>
      <c r="AX215" s="243">
        <f>-6651-AW215-AV215-AU215</f>
        <v>-878</v>
      </c>
      <c r="AY215" s="243">
        <v>-834</v>
      </c>
      <c r="AZ215" s="243">
        <f>-1123-AY215</f>
        <v>-289</v>
      </c>
      <c r="BA215" s="243">
        <f>-1172-AZ215-AY215</f>
        <v>-49</v>
      </c>
      <c r="BB215" s="243">
        <f>-2130-BA215-AZ215-AY215</f>
        <v>-958</v>
      </c>
      <c r="BC215" s="243">
        <v>-383</v>
      </c>
      <c r="BD215" s="243">
        <f>-780-BC215</f>
        <v>-397</v>
      </c>
      <c r="BE215" s="243">
        <f>-1512-BD215-BC215</f>
        <v>-732</v>
      </c>
      <c r="BF215" s="243">
        <f>-2797-BE215-BD215-BC215</f>
        <v>-1285</v>
      </c>
      <c r="BG215" s="243">
        <v>-435</v>
      </c>
      <c r="BH215" s="243">
        <f>-929-BG215</f>
        <v>-494</v>
      </c>
      <c r="BI215" s="243">
        <f>-1672-BH215-BG215</f>
        <v>-743</v>
      </c>
      <c r="BJ215" s="243"/>
      <c r="BK215" s="243"/>
      <c r="BL215" s="243"/>
      <c r="BM215" s="243"/>
      <c r="BN215" s="243"/>
      <c r="BO215" s="243">
        <v>0</v>
      </c>
      <c r="BP215" s="243">
        <v>0</v>
      </c>
      <c r="BQ215" s="243">
        <f>-3050-BP215-BO215</f>
        <v>-3050</v>
      </c>
      <c r="BR215" s="243">
        <f>-3538-BQ215-BP215-BO215</f>
        <v>-488</v>
      </c>
      <c r="BS215" s="243"/>
      <c r="BT215" s="243"/>
      <c r="BU215" s="243"/>
      <c r="BV215" s="243"/>
      <c r="BW215" s="243"/>
      <c r="BX215" s="243"/>
      <c r="BY215" s="243"/>
      <c r="BZ215" s="243"/>
      <c r="CA215" s="243"/>
      <c r="CB215" s="243"/>
      <c r="CC215" s="243"/>
      <c r="CD215" s="243"/>
      <c r="CE215" s="243"/>
      <c r="CF215" s="243"/>
      <c r="CG215" s="243"/>
      <c r="CH215" s="243"/>
      <c r="CI215" s="243"/>
      <c r="CJ215" s="243"/>
      <c r="CK215" s="243"/>
      <c r="CL215" s="243"/>
      <c r="CM215" s="243"/>
      <c r="CN215" s="243"/>
      <c r="CO215" s="243"/>
      <c r="CP215" s="243"/>
      <c r="CQ215" s="243"/>
      <c r="CR215" s="243"/>
      <c r="CS215" s="243"/>
      <c r="CT215" s="243"/>
      <c r="CU215" s="243"/>
      <c r="CV215" s="243"/>
      <c r="CW215" s="243"/>
      <c r="CX215" s="243"/>
      <c r="CY215" s="243">
        <v>-1577</v>
      </c>
      <c r="CZ215" s="243">
        <f>-2550-CY215</f>
        <v>-973</v>
      </c>
      <c r="DA215" s="243">
        <f>-4715-CZ215-CY215</f>
        <v>-2165</v>
      </c>
      <c r="DB215" s="243">
        <f>-6035-DA215-CZ215-CY215</f>
        <v>-1320</v>
      </c>
      <c r="DC215" s="243">
        <v>-3537</v>
      </c>
      <c r="DD215" s="243">
        <f>-3918-DC215</f>
        <v>-381</v>
      </c>
      <c r="DE215" s="243">
        <f>-4838-DD215-DC215</f>
        <v>-920</v>
      </c>
      <c r="DF215" s="243">
        <f>-5054-DE215-DD215-DC215</f>
        <v>-216</v>
      </c>
      <c r="DG215" s="243">
        <v>-1475</v>
      </c>
      <c r="DH215" s="243">
        <f>-1611-DG215</f>
        <v>-136</v>
      </c>
      <c r="DI215" s="243">
        <f>-2150-DH215-DG215</f>
        <v>-539</v>
      </c>
      <c r="DJ215" s="243">
        <f>-2432-DI215-DH215-DG215</f>
        <v>-282</v>
      </c>
      <c r="DK215" s="243"/>
      <c r="DL215" s="243"/>
      <c r="DM215" s="243"/>
      <c r="DN215" s="243"/>
      <c r="DP215" s="243"/>
      <c r="DQ215" s="243"/>
      <c r="DR215" s="243"/>
      <c r="DS215" s="243"/>
      <c r="DT215" s="243"/>
      <c r="DU215" s="243"/>
      <c r="DV215" s="243"/>
      <c r="DW215" s="243"/>
      <c r="DX215" s="243"/>
      <c r="DY215" s="243"/>
      <c r="DZ215" s="243"/>
      <c r="EA215" s="243"/>
      <c r="EB215" s="243"/>
      <c r="EC215" s="243"/>
      <c r="ED215" s="243"/>
      <c r="EE215" s="243"/>
      <c r="EF215" s="243"/>
      <c r="EG215" s="243"/>
      <c r="EH215" s="243"/>
      <c r="EI215" s="243"/>
      <c r="EJ215" s="243"/>
      <c r="EK215" s="243"/>
      <c r="EL215" s="243"/>
      <c r="EM215" s="243"/>
      <c r="EN215" s="243"/>
      <c r="EO215" s="243"/>
      <c r="EP215" s="243"/>
      <c r="EQ215" s="243"/>
      <c r="ER215" s="243"/>
      <c r="ES215" s="243"/>
      <c r="ET215" s="243"/>
      <c r="EU215" s="243"/>
    </row>
    <row r="216" spans="2:151" ht="12.75" customHeight="1" x14ac:dyDescent="0.2">
      <c r="B216" s="79" t="s">
        <v>263</v>
      </c>
      <c r="AM216" s="243"/>
      <c r="AQ216" s="243"/>
      <c r="AR216" s="243"/>
      <c r="AS216" s="243"/>
      <c r="AT216" s="243"/>
      <c r="AU216" s="243"/>
      <c r="AV216" s="243"/>
      <c r="AW216" s="243"/>
      <c r="AX216" s="243"/>
      <c r="AY216" s="243"/>
      <c r="AZ216" s="243"/>
      <c r="BA216" s="243"/>
      <c r="BB216" s="243"/>
      <c r="BC216" s="243"/>
      <c r="BD216" s="243"/>
      <c r="BE216" s="243"/>
      <c r="BF216" s="243"/>
      <c r="BG216" s="243"/>
      <c r="BH216" s="243"/>
      <c r="BI216" s="243"/>
      <c r="BO216" s="243"/>
      <c r="BP216" s="243"/>
      <c r="BQ216" s="243"/>
      <c r="BR216" s="243"/>
      <c r="CY216" s="243">
        <f>3019-856-2132</f>
        <v>31</v>
      </c>
      <c r="CZ216" s="243">
        <f>4371-2201+2-2132-CY216</f>
        <v>9</v>
      </c>
      <c r="DA216" s="243">
        <f>7099-4808+1-2133-CZ216-CY216</f>
        <v>119</v>
      </c>
      <c r="DB216" s="243">
        <f>16134-6550+2-2134-DA216-CZ216-CY216</f>
        <v>7293</v>
      </c>
      <c r="DC216" s="243">
        <f>11094-5388+7674</f>
        <v>13380</v>
      </c>
      <c r="DD216" s="243">
        <f>12221-13611+7674-501-DC216</f>
        <v>-7597</v>
      </c>
      <c r="DE216" s="243">
        <f>12462-21645-502-DD216-DC216</f>
        <v>-15468</v>
      </c>
      <c r="DF216" s="243">
        <f>13743-22973-1551-DE216-DD216-DC216</f>
        <v>-1096</v>
      </c>
      <c r="DG216" s="243">
        <f>5263-890+2-1</f>
        <v>4374</v>
      </c>
      <c r="DH216" s="243">
        <f>13976-3915+6659-803-DG216</f>
        <v>11543</v>
      </c>
      <c r="DI216" s="243">
        <f>11984-8354+6660-804-DH216-DG216</f>
        <v>-6431</v>
      </c>
      <c r="DJ216" s="243">
        <f>15277-9463+6660-1453-DI216-DH216-DG216</f>
        <v>1535</v>
      </c>
    </row>
    <row r="217" spans="2:151" ht="12.75" customHeight="1" x14ac:dyDescent="0.2">
      <c r="B217" s="79" t="s">
        <v>379</v>
      </c>
      <c r="AM217" s="243"/>
      <c r="AQ217" s="243"/>
      <c r="AR217" s="243"/>
      <c r="AS217" s="243"/>
      <c r="AT217" s="243"/>
      <c r="AU217" s="243"/>
      <c r="AV217" s="243"/>
      <c r="AW217" s="243"/>
      <c r="AX217" s="243"/>
      <c r="AY217" s="243"/>
      <c r="AZ217" s="243"/>
      <c r="BA217" s="243"/>
      <c r="BB217" s="243"/>
      <c r="BC217" s="243"/>
      <c r="BD217" s="243"/>
      <c r="BE217" s="243"/>
      <c r="BF217" s="243"/>
      <c r="BG217" s="243"/>
      <c r="BH217" s="243"/>
      <c r="BI217" s="243"/>
      <c r="BO217" s="243"/>
      <c r="BP217" s="243"/>
      <c r="BQ217" s="243"/>
      <c r="BR217" s="243"/>
      <c r="CY217" s="243">
        <f>321-235-138</f>
        <v>-52</v>
      </c>
      <c r="CZ217" s="243">
        <f>820+813-11-CY217</f>
        <v>1674</v>
      </c>
      <c r="DA217" s="243">
        <f>907+1678+128-CZ217-CY217</f>
        <v>1091</v>
      </c>
      <c r="DB217" s="243">
        <f>1329-DA217-CZ217-CY217-28+93</f>
        <v>-1319</v>
      </c>
      <c r="DC217" s="243">
        <f>-500-11-13-239</f>
        <v>-763</v>
      </c>
      <c r="DD217" s="243">
        <f>254-126+4241-53-DC217</f>
        <v>5079</v>
      </c>
      <c r="DE217" s="243">
        <f>907+62-DD217-DC217+8047+4241-1114+115</f>
        <v>7942</v>
      </c>
      <c r="DF217" s="243">
        <f>1094-219+8047+4241-1114-269-DE217-DD217-DC217</f>
        <v>-478</v>
      </c>
      <c r="DG217" s="243">
        <f>195+228+93</f>
        <v>516</v>
      </c>
      <c r="DH217" s="243">
        <f>290+281-970-DG217+37</f>
        <v>-878</v>
      </c>
      <c r="DI217" s="243">
        <f>714+5-970-38-DH217-DG217</f>
        <v>73</v>
      </c>
      <c r="DJ217" s="243">
        <f>838+272-DI217-DH217-DG217-970-38</f>
        <v>391</v>
      </c>
    </row>
    <row r="218" spans="2:151" ht="12.75" customHeight="1" x14ac:dyDescent="0.2">
      <c r="B218" t="s">
        <v>1891</v>
      </c>
      <c r="CY218" s="243">
        <f>SUM(CY214:CY217)</f>
        <v>-4385</v>
      </c>
      <c r="CZ218" s="243">
        <f t="shared" ref="CZ218:DC218" si="965">SUM(CZ214:CZ217)</f>
        <v>-2261</v>
      </c>
      <c r="DA218" s="243">
        <f t="shared" si="965"/>
        <v>-3925</v>
      </c>
      <c r="DB218" s="243">
        <f t="shared" si="965"/>
        <v>1700</v>
      </c>
      <c r="DC218" s="243">
        <f t="shared" si="965"/>
        <v>6138</v>
      </c>
      <c r="DD218" s="243">
        <f t="shared" ref="DD218:DN218" si="966">SUM(DD214:DD217)</f>
        <v>-5991</v>
      </c>
      <c r="DE218" s="243">
        <f t="shared" si="966"/>
        <v>-11317</v>
      </c>
      <c r="DF218" s="243">
        <f t="shared" si="966"/>
        <v>-4655</v>
      </c>
      <c r="DG218" s="243">
        <f t="shared" si="966"/>
        <v>546</v>
      </c>
      <c r="DH218" s="243">
        <f t="shared" si="966"/>
        <v>7544</v>
      </c>
      <c r="DI218" s="243">
        <f t="shared" si="966"/>
        <v>-9882</v>
      </c>
      <c r="DJ218" s="243">
        <f t="shared" si="966"/>
        <v>-1340</v>
      </c>
      <c r="DK218" s="243">
        <f t="shared" si="966"/>
        <v>0</v>
      </c>
      <c r="DL218" s="243">
        <f t="shared" si="966"/>
        <v>0</v>
      </c>
      <c r="DM218" s="243">
        <f t="shared" si="966"/>
        <v>0</v>
      </c>
      <c r="DN218" s="243">
        <f t="shared" si="966"/>
        <v>0</v>
      </c>
    </row>
    <row r="219" spans="2:151" ht="12.75" customHeight="1" x14ac:dyDescent="0.2">
      <c r="B219" t="s">
        <v>1890</v>
      </c>
      <c r="CY219" s="243">
        <v>16</v>
      </c>
      <c r="CZ219" s="243">
        <f>-145-CY219</f>
        <v>-161</v>
      </c>
      <c r="DA219" s="243">
        <f>-431-CZ219-CY219</f>
        <v>-286</v>
      </c>
      <c r="DB219" s="243">
        <f>-312-DA219-CZ219-CY219</f>
        <v>119</v>
      </c>
      <c r="DC219" s="76">
        <v>28</v>
      </c>
      <c r="DD219" s="76">
        <f>-69-DC219</f>
        <v>-97</v>
      </c>
      <c r="DE219" s="76">
        <f>-237-DD219-DC219</f>
        <v>-168</v>
      </c>
      <c r="DF219" s="76">
        <f>-112-DE219-DD219-DC219</f>
        <v>125</v>
      </c>
      <c r="DG219" s="243">
        <v>-125</v>
      </c>
      <c r="DH219" s="243">
        <f>-210-DG219</f>
        <v>-85</v>
      </c>
      <c r="DI219" s="243">
        <f>-91-DH219-DG219</f>
        <v>119</v>
      </c>
      <c r="DJ219" s="243">
        <f>-289-DI219-DH219-DG219</f>
        <v>-198</v>
      </c>
    </row>
    <row r="220" spans="2:151" ht="12.75" customHeight="1" x14ac:dyDescent="0.2">
      <c r="B220" t="s">
        <v>1318</v>
      </c>
      <c r="CY220" s="243">
        <f t="shared" ref="CY220:DN220" si="967">+CY204+CY212+CY218+CY219</f>
        <v>-4024</v>
      </c>
      <c r="CZ220" s="243">
        <f t="shared" si="967"/>
        <v>520</v>
      </c>
      <c r="DA220" s="243">
        <f t="shared" si="967"/>
        <v>372</v>
      </c>
      <c r="DB220" s="243">
        <f t="shared" si="967"/>
        <v>3018</v>
      </c>
      <c r="DC220" s="243">
        <f t="shared" si="967"/>
        <v>12738</v>
      </c>
      <c r="DD220" s="243">
        <f t="shared" si="967"/>
        <v>-5682</v>
      </c>
      <c r="DE220" s="243">
        <f t="shared" si="967"/>
        <v>-1455</v>
      </c>
      <c r="DF220" s="243">
        <f t="shared" si="967"/>
        <v>2131</v>
      </c>
      <c r="DG220" s="243">
        <f t="shared" si="967"/>
        <v>3614</v>
      </c>
      <c r="DH220" s="243">
        <f t="shared" si="967"/>
        <v>-595</v>
      </c>
      <c r="DI220" s="243">
        <f t="shared" si="967"/>
        <v>-4898</v>
      </c>
      <c r="DJ220" s="243">
        <f t="shared" si="967"/>
        <v>4125</v>
      </c>
      <c r="DK220" s="243">
        <f t="shared" si="967"/>
        <v>0</v>
      </c>
      <c r="DL220" s="243">
        <f t="shared" si="967"/>
        <v>0</v>
      </c>
      <c r="DM220" s="243">
        <f t="shared" si="967"/>
        <v>0</v>
      </c>
      <c r="DN220" s="243">
        <f t="shared" si="967"/>
        <v>0</v>
      </c>
    </row>
    <row r="221" spans="2:151" s="79" customFormat="1" ht="12.75" customHeight="1" x14ac:dyDescent="0.2">
      <c r="B221" s="79" t="s">
        <v>370</v>
      </c>
      <c r="C221" s="243"/>
      <c r="D221" s="243"/>
      <c r="E221" s="243"/>
      <c r="F221" s="243"/>
      <c r="G221" s="243"/>
      <c r="H221" s="243"/>
      <c r="I221" s="243"/>
      <c r="J221" s="243"/>
      <c r="K221" s="243"/>
      <c r="L221" s="243"/>
      <c r="M221" s="243"/>
      <c r="N221" s="243"/>
      <c r="O221" s="243"/>
      <c r="P221" s="243"/>
      <c r="Q221" s="243"/>
      <c r="R221" s="243"/>
      <c r="S221" s="243"/>
      <c r="T221" s="243"/>
      <c r="U221" s="243"/>
      <c r="V221" s="243"/>
      <c r="W221" s="243"/>
      <c r="X221" s="243"/>
      <c r="Y221" s="243"/>
      <c r="Z221" s="243"/>
      <c r="AA221" s="243"/>
      <c r="AB221" s="243"/>
      <c r="AC221" s="243"/>
      <c r="AD221" s="243"/>
      <c r="AE221" s="243"/>
      <c r="AF221" s="243"/>
      <c r="AG221" s="243"/>
      <c r="AH221" s="243"/>
      <c r="AI221" s="243"/>
      <c r="AJ221" s="243"/>
      <c r="AK221" s="243"/>
      <c r="AL221" s="243"/>
      <c r="AM221" s="243"/>
      <c r="AN221" s="243"/>
      <c r="AO221" s="243"/>
      <c r="AP221" s="243"/>
      <c r="AQ221" s="243"/>
      <c r="AR221" s="243"/>
      <c r="AS221" s="243"/>
      <c r="AT221" s="243"/>
      <c r="AU221" s="243"/>
      <c r="AV221" s="243"/>
      <c r="AW221" s="243"/>
      <c r="AX221" s="243"/>
      <c r="AY221" s="243">
        <f t="shared" ref="AY221:BI221" si="968">+AY206+AY204</f>
        <v>2392</v>
      </c>
      <c r="AZ221" s="243">
        <f t="shared" si="968"/>
        <v>2796</v>
      </c>
      <c r="BA221" s="243">
        <f t="shared" si="968"/>
        <v>4575</v>
      </c>
      <c r="BB221" s="243">
        <f t="shared" si="968"/>
        <v>4443</v>
      </c>
      <c r="BC221" s="243">
        <f t="shared" si="968"/>
        <v>3293</v>
      </c>
      <c r="BD221" s="243">
        <f t="shared" si="968"/>
        <v>3337</v>
      </c>
      <c r="BE221" s="243">
        <f t="shared" si="968"/>
        <v>4506</v>
      </c>
      <c r="BF221" s="243">
        <f t="shared" si="968"/>
        <v>2865</v>
      </c>
      <c r="BG221" s="243">
        <f t="shared" si="968"/>
        <v>2001</v>
      </c>
      <c r="BH221" s="243">
        <f t="shared" si="968"/>
        <v>3313</v>
      </c>
      <c r="BI221" s="243">
        <f t="shared" si="968"/>
        <v>4489</v>
      </c>
      <c r="BJ221" s="243"/>
      <c r="BK221" s="243"/>
      <c r="BL221" s="243"/>
      <c r="BM221" s="243"/>
      <c r="BN221" s="243"/>
      <c r="BO221" s="243">
        <f>+BO206+BO204</f>
        <v>1691</v>
      </c>
      <c r="BP221" s="243">
        <f>+BP206+BP204</f>
        <v>4280</v>
      </c>
      <c r="BQ221" s="243">
        <f>+BQ206+BQ204</f>
        <v>5138</v>
      </c>
      <c r="BR221" s="243">
        <f>+BR206+BR204</f>
        <v>2710</v>
      </c>
      <c r="BS221" s="243"/>
      <c r="BT221" s="243"/>
      <c r="BU221" s="243"/>
      <c r="BV221" s="243"/>
      <c r="BW221" s="243"/>
      <c r="BX221" s="243"/>
      <c r="BY221" s="243"/>
      <c r="BZ221" s="243"/>
      <c r="CA221" s="243"/>
      <c r="CB221" s="243"/>
      <c r="CC221" s="243"/>
      <c r="CD221" s="243"/>
      <c r="CE221" s="243"/>
      <c r="CF221" s="243"/>
      <c r="CG221" s="243"/>
      <c r="CH221" s="243"/>
      <c r="CI221" s="243"/>
      <c r="CJ221" s="243"/>
      <c r="CK221" s="243"/>
      <c r="CL221" s="243"/>
      <c r="CM221" s="243"/>
      <c r="CN221" s="243"/>
      <c r="CO221" s="243"/>
      <c r="CP221" s="243"/>
      <c r="CQ221" s="243"/>
      <c r="CR221" s="243"/>
      <c r="CS221" s="243"/>
      <c r="CT221" s="243"/>
      <c r="CU221" s="243"/>
      <c r="CV221" s="243"/>
      <c r="CW221" s="243"/>
      <c r="CX221" s="243"/>
      <c r="CY221" s="243"/>
      <c r="CZ221" s="243"/>
      <c r="DA221" s="243"/>
      <c r="DB221" s="243"/>
      <c r="DC221" s="243"/>
      <c r="DD221" s="243"/>
      <c r="DE221" s="243"/>
      <c r="DF221" s="243"/>
      <c r="DG221" s="243"/>
      <c r="DH221" s="243"/>
      <c r="DI221" s="243"/>
      <c r="DJ221" s="243"/>
      <c r="DK221" s="243"/>
      <c r="DL221" s="243"/>
      <c r="DM221" s="243"/>
      <c r="DN221" s="243"/>
      <c r="DP221" s="243"/>
      <c r="DQ221" s="243"/>
      <c r="DR221" s="243"/>
      <c r="DS221" s="243"/>
      <c r="DT221" s="243"/>
      <c r="DU221" s="243"/>
      <c r="DV221" s="243"/>
      <c r="DW221" s="243"/>
      <c r="DX221" s="243"/>
      <c r="DY221" s="243"/>
      <c r="DZ221" s="243"/>
      <c r="EA221" s="243"/>
      <c r="EB221" s="243"/>
      <c r="EC221" s="243"/>
      <c r="ED221" s="243"/>
      <c r="EE221" s="243"/>
      <c r="EF221" s="243"/>
      <c r="EG221" s="243"/>
      <c r="EH221" s="243"/>
      <c r="EI221" s="243"/>
      <c r="EJ221" s="243"/>
      <c r="EK221" s="243"/>
      <c r="EL221" s="243"/>
      <c r="EM221" s="243"/>
      <c r="EN221" s="243"/>
      <c r="EO221" s="243"/>
      <c r="EP221" s="243"/>
      <c r="EQ221" s="243"/>
      <c r="ER221" s="243"/>
      <c r="ES221" s="243"/>
      <c r="ET221" s="243"/>
      <c r="EU221" s="243"/>
    </row>
    <row r="222" spans="2:151" ht="12.75" customHeight="1" x14ac:dyDescent="0.2">
      <c r="DA222" s="243"/>
    </row>
    <row r="223" spans="2:151" s="302" customFormat="1" ht="12.75" customHeight="1" x14ac:dyDescent="0.2">
      <c r="B223" s="302" t="s">
        <v>469</v>
      </c>
      <c r="C223" s="303"/>
      <c r="D223" s="303"/>
      <c r="E223" s="303"/>
      <c r="F223" s="303"/>
      <c r="G223" s="303"/>
      <c r="H223" s="303"/>
      <c r="I223" s="303"/>
      <c r="J223" s="303"/>
      <c r="K223" s="303"/>
      <c r="L223" s="303"/>
      <c r="M223" s="303"/>
      <c r="N223" s="303"/>
      <c r="O223" s="303"/>
      <c r="P223" s="303"/>
      <c r="Q223" s="303"/>
      <c r="R223" s="303"/>
      <c r="S223" s="303"/>
      <c r="T223" s="303"/>
      <c r="U223" s="303"/>
      <c r="V223" s="303"/>
      <c r="W223" s="303"/>
      <c r="X223" s="303"/>
      <c r="Y223" s="303"/>
      <c r="Z223" s="303"/>
      <c r="AA223" s="303"/>
      <c r="AB223" s="303"/>
      <c r="AC223" s="303"/>
      <c r="AD223" s="303"/>
      <c r="AE223" s="303"/>
      <c r="AF223" s="303"/>
      <c r="AG223" s="303"/>
      <c r="AH223" s="303"/>
      <c r="AI223" s="303"/>
      <c r="AJ223" s="303"/>
      <c r="AK223" s="303"/>
      <c r="AL223" s="303"/>
      <c r="AM223" s="303"/>
      <c r="AN223" s="303"/>
      <c r="AO223" s="303"/>
      <c r="AP223" s="303"/>
      <c r="AQ223" s="303"/>
      <c r="AR223" s="303"/>
      <c r="AS223" s="303">
        <v>1</v>
      </c>
      <c r="AT223" s="303"/>
      <c r="AU223" s="303"/>
      <c r="AV223" s="303"/>
      <c r="AW223" s="303"/>
      <c r="AX223" s="303"/>
      <c r="AY223" s="303"/>
      <c r="AZ223" s="303"/>
      <c r="BA223" s="303"/>
      <c r="BB223" s="303"/>
      <c r="BC223" s="303"/>
      <c r="BD223" s="303"/>
      <c r="BE223" s="303"/>
      <c r="BF223" s="303"/>
      <c r="BG223" s="303"/>
      <c r="BH223" s="303"/>
      <c r="BI223" s="303"/>
      <c r="BJ223" s="303"/>
      <c r="BK223" s="303"/>
      <c r="BL223" s="303"/>
      <c r="BM223" s="303"/>
      <c r="BN223" s="303"/>
      <c r="BO223" s="303"/>
      <c r="BP223" s="303"/>
      <c r="BQ223" s="303"/>
      <c r="BR223" s="303"/>
      <c r="BS223" s="303"/>
      <c r="BT223" s="303"/>
      <c r="BU223" s="303"/>
      <c r="BV223" s="303"/>
      <c r="BW223" s="303"/>
      <c r="BX223" s="303"/>
      <c r="BY223" s="303"/>
      <c r="BZ223" s="303"/>
      <c r="CA223" s="303"/>
      <c r="CB223" s="303"/>
      <c r="CC223" s="303"/>
      <c r="CD223" s="303"/>
      <c r="CE223" s="303"/>
      <c r="CF223" s="303"/>
      <c r="CG223" s="303"/>
      <c r="CH223" s="303"/>
      <c r="CI223" s="303"/>
      <c r="CJ223" s="303"/>
      <c r="CK223" s="303"/>
      <c r="CL223" s="303"/>
      <c r="CM223" s="303"/>
      <c r="CN223" s="303"/>
      <c r="CO223" s="303"/>
      <c r="CP223" s="303"/>
      <c r="CQ223" s="303"/>
      <c r="CR223" s="303"/>
      <c r="CS223" s="303"/>
      <c r="CT223" s="303"/>
      <c r="CU223" s="303"/>
      <c r="CV223" s="303"/>
      <c r="CW223" s="303"/>
      <c r="CX223" s="303"/>
      <c r="CY223" s="303"/>
      <c r="CZ223" s="303"/>
      <c r="DA223" s="303"/>
      <c r="DB223" s="303"/>
      <c r="DC223" s="303"/>
      <c r="DD223" s="303"/>
      <c r="DE223" s="303"/>
      <c r="DF223" s="303"/>
      <c r="DG223" s="303"/>
      <c r="DH223" s="303"/>
      <c r="DI223" s="303"/>
      <c r="DJ223" s="303"/>
      <c r="DK223" s="303"/>
      <c r="DL223" s="303"/>
      <c r="DM223" s="303"/>
      <c r="DN223" s="303"/>
      <c r="DP223" s="303"/>
      <c r="DQ223" s="303"/>
      <c r="DR223" s="303"/>
      <c r="DS223" s="303"/>
      <c r="DT223" s="303"/>
      <c r="DU223" s="303"/>
      <c r="DV223" s="303"/>
      <c r="DW223" s="303"/>
      <c r="DX223" s="303"/>
      <c r="DY223" s="303"/>
      <c r="DZ223" s="303"/>
      <c r="EA223" s="303"/>
      <c r="EB223" s="303"/>
      <c r="EC223" s="303"/>
      <c r="ED223" s="303"/>
      <c r="EE223" s="303"/>
      <c r="EF223" s="303"/>
      <c r="EG223" s="303"/>
      <c r="EH223" s="303"/>
      <c r="EI223" s="303"/>
      <c r="EJ223" s="303"/>
      <c r="EK223" s="303"/>
      <c r="EL223" s="303"/>
      <c r="EM223" s="303"/>
      <c r="EN223" s="303"/>
      <c r="EO223" s="303"/>
      <c r="EP223" s="303"/>
      <c r="EQ223" s="303"/>
      <c r="ER223" s="303"/>
      <c r="ES223" s="303"/>
      <c r="ET223" s="303"/>
      <c r="EU223" s="303"/>
    </row>
    <row r="224" spans="2:151" ht="12.75" customHeight="1" x14ac:dyDescent="0.2">
      <c r="B224" t="s">
        <v>470</v>
      </c>
      <c r="AS224" s="243">
        <v>14850</v>
      </c>
    </row>
    <row r="225" spans="2:151" ht="12.75" customHeight="1" x14ac:dyDescent="0.2">
      <c r="AS225" s="76" t="s">
        <v>471</v>
      </c>
    </row>
    <row r="226" spans="2:151" ht="12.75" customHeight="1" x14ac:dyDescent="0.2">
      <c r="B226" t="s">
        <v>472</v>
      </c>
    </row>
    <row r="227" spans="2:151" ht="12.75" customHeight="1" x14ac:dyDescent="0.2">
      <c r="B227" t="s">
        <v>473</v>
      </c>
      <c r="DS227" s="294">
        <v>0.85</v>
      </c>
      <c r="DT227" s="294">
        <v>0.85</v>
      </c>
      <c r="DU227" s="294">
        <v>0.85</v>
      </c>
      <c r="DV227" s="294">
        <v>0.85</v>
      </c>
      <c r="DW227" s="294">
        <v>0.85</v>
      </c>
      <c r="DX227" s="294">
        <v>0.85</v>
      </c>
      <c r="DY227" s="294">
        <v>0.85</v>
      </c>
      <c r="DZ227" s="294">
        <v>0.85</v>
      </c>
      <c r="EA227" s="294">
        <v>0.85</v>
      </c>
      <c r="EB227" s="294">
        <v>0.85</v>
      </c>
      <c r="EC227" s="294">
        <v>0.85</v>
      </c>
      <c r="ED227" s="294">
        <v>0.85</v>
      </c>
      <c r="EE227" s="294">
        <v>0.85</v>
      </c>
      <c r="EF227" s="294">
        <v>0.85</v>
      </c>
      <c r="EG227" s="294">
        <v>0.85</v>
      </c>
      <c r="EH227" s="294">
        <v>0.85</v>
      </c>
      <c r="EI227" s="294">
        <v>0.85</v>
      </c>
      <c r="EJ227" s="294">
        <v>0.88</v>
      </c>
      <c r="EK227" s="294">
        <v>0.85</v>
      </c>
      <c r="EL227" s="294">
        <v>0.88</v>
      </c>
      <c r="EM227" s="294">
        <v>0.85</v>
      </c>
      <c r="EN227" s="294">
        <v>0.88</v>
      </c>
      <c r="EO227" s="294">
        <v>0.88</v>
      </c>
      <c r="EP227" s="294">
        <v>0.88</v>
      </c>
      <c r="EQ227" s="294">
        <v>0.88</v>
      </c>
      <c r="ER227" s="294"/>
      <c r="ES227" s="294"/>
      <c r="ET227" s="294"/>
      <c r="EU227" s="294"/>
    </row>
    <row r="228" spans="2:151" ht="12.75" customHeight="1" x14ac:dyDescent="0.2">
      <c r="B228" t="s">
        <v>474</v>
      </c>
      <c r="DS228" s="243">
        <f t="shared" ref="DS228:EQ228" si="969">DS227*DS106</f>
        <v>3689</v>
      </c>
      <c r="DT228" s="243">
        <f t="shared" si="969"/>
        <v>3816.5</v>
      </c>
      <c r="DU228" s="243">
        <f t="shared" si="969"/>
        <v>4384.3</v>
      </c>
      <c r="DV228" s="243">
        <f t="shared" si="969"/>
        <v>5332.9</v>
      </c>
      <c r="DW228" s="243">
        <f t="shared" si="969"/>
        <v>6109.8</v>
      </c>
      <c r="DX228" s="243">
        <f t="shared" si="969"/>
        <v>6541.5999999999995</v>
      </c>
      <c r="DY228" s="243">
        <f t="shared" si="969"/>
        <v>7277.7</v>
      </c>
      <c r="DZ228" s="243">
        <f t="shared" si="969"/>
        <v>9089.9</v>
      </c>
      <c r="EA228" s="243">
        <f t="shared" si="969"/>
        <v>10160.9</v>
      </c>
      <c r="EB228" s="243">
        <f t="shared" si="969"/>
        <v>12623.35</v>
      </c>
      <c r="EC228" s="243">
        <f t="shared" si="969"/>
        <v>14578.35</v>
      </c>
      <c r="ED228" s="243">
        <f t="shared" si="969"/>
        <v>16589.45</v>
      </c>
      <c r="EE228" s="243">
        <f t="shared" si="969"/>
        <v>18808.8</v>
      </c>
      <c r="EF228" s="243">
        <f t="shared" si="969"/>
        <v>18973.7</v>
      </c>
      <c r="EG228" s="243">
        <f t="shared" si="969"/>
        <v>19776.95</v>
      </c>
      <c r="EH228" s="243">
        <f t="shared" si="969"/>
        <v>21136.1</v>
      </c>
      <c r="EI228" s="243">
        <f t="shared" si="969"/>
        <v>20881.95</v>
      </c>
      <c r="EJ228" s="243">
        <f t="shared" si="969"/>
        <v>19817.599999999999</v>
      </c>
      <c r="EK228" s="243">
        <f t="shared" si="969"/>
        <v>18924.399999999998</v>
      </c>
      <c r="EL228" s="243">
        <f t="shared" si="969"/>
        <v>21443.84</v>
      </c>
      <c r="EM228" s="243">
        <f t="shared" si="969"/>
        <v>21992.899999999998</v>
      </c>
      <c r="EN228" s="243">
        <f t="shared" si="969"/>
        <v>24750</v>
      </c>
      <c r="EO228" s="243">
        <f t="shared" si="969"/>
        <v>27612.288</v>
      </c>
      <c r="EP228" s="243">
        <f t="shared" si="969"/>
        <v>27722.490399999999</v>
      </c>
      <c r="EQ228" s="243">
        <f t="shared" si="969"/>
        <v>22149.421975999998</v>
      </c>
      <c r="ER228" s="243"/>
      <c r="ES228" s="243"/>
      <c r="ET228" s="243"/>
      <c r="EU228" s="243"/>
    </row>
    <row r="229" spans="2:151" ht="12.75" customHeight="1" x14ac:dyDescent="0.2">
      <c r="B229" t="s">
        <v>475</v>
      </c>
      <c r="DS229" s="294">
        <v>0.68</v>
      </c>
      <c r="DT229" s="294">
        <v>0.68</v>
      </c>
      <c r="DU229" s="294">
        <v>0.68</v>
      </c>
      <c r="DV229" s="294">
        <v>0.68</v>
      </c>
      <c r="DW229" s="294">
        <v>0.68</v>
      </c>
      <c r="DX229" s="294">
        <v>0.68</v>
      </c>
      <c r="DY229" s="294">
        <v>0.68</v>
      </c>
      <c r="DZ229" s="294">
        <v>0.68</v>
      </c>
      <c r="EA229" s="294">
        <v>0.68</v>
      </c>
      <c r="EB229" s="294">
        <v>0.68</v>
      </c>
      <c r="EC229" s="294">
        <v>0.68</v>
      </c>
      <c r="ED229" s="294">
        <v>0.68</v>
      </c>
      <c r="EE229" s="294">
        <v>0.68</v>
      </c>
      <c r="EF229" s="294">
        <v>0.68</v>
      </c>
      <c r="EG229" s="294">
        <v>0.68</v>
      </c>
      <c r="EH229" s="294">
        <v>0.68</v>
      </c>
      <c r="EI229" s="294">
        <v>0.68</v>
      </c>
      <c r="EJ229" s="294">
        <v>0.69</v>
      </c>
      <c r="EK229" s="294">
        <v>0.69</v>
      </c>
      <c r="EL229" s="294">
        <v>0.69</v>
      </c>
      <c r="EM229" s="294">
        <v>0.66</v>
      </c>
      <c r="EN229" s="294">
        <v>0.69</v>
      </c>
      <c r="EO229" s="294">
        <v>0.69</v>
      </c>
      <c r="EP229" s="294">
        <v>0.69</v>
      </c>
      <c r="EQ229" s="294">
        <v>0.69</v>
      </c>
      <c r="ER229" s="294"/>
      <c r="ES229" s="294"/>
      <c r="ET229" s="294"/>
      <c r="EU229" s="294"/>
    </row>
    <row r="230" spans="2:151" ht="12.75" customHeight="1" x14ac:dyDescent="0.2">
      <c r="B230" t="s">
        <v>476</v>
      </c>
      <c r="DS230" s="243">
        <f t="shared" ref="DS230:EQ230" si="970">DS229*DS113</f>
        <v>3150.44</v>
      </c>
      <c r="DT230" s="243">
        <f t="shared" si="970"/>
        <v>3280.32</v>
      </c>
      <c r="DU230" s="243">
        <f t="shared" si="970"/>
        <v>3621.0000000000005</v>
      </c>
      <c r="DV230" s="243">
        <f t="shared" si="970"/>
        <v>4581.1600000000008</v>
      </c>
      <c r="DW230" s="243">
        <f t="shared" si="970"/>
        <v>5486.2400000000007</v>
      </c>
      <c r="DX230" s="243">
        <f t="shared" si="970"/>
        <v>5735.8</v>
      </c>
      <c r="DY230" s="243">
        <f t="shared" si="970"/>
        <v>5826.92</v>
      </c>
      <c r="DZ230" s="243">
        <f t="shared" si="970"/>
        <v>6740.84</v>
      </c>
      <c r="EA230" s="243">
        <f t="shared" si="970"/>
        <v>6991.0800000000008</v>
      </c>
      <c r="EB230" s="243">
        <f t="shared" si="970"/>
        <v>7609.88</v>
      </c>
      <c r="EC230" s="243">
        <f t="shared" si="970"/>
        <v>8557.8000000000011</v>
      </c>
      <c r="ED230" s="243">
        <f t="shared" si="970"/>
        <v>10141.52</v>
      </c>
      <c r="EE230" s="243">
        <f t="shared" si="970"/>
        <v>11483.160000000002</v>
      </c>
      <c r="EF230" s="243">
        <f t="shared" si="970"/>
        <v>12985.28</v>
      </c>
      <c r="EG230" s="243">
        <f t="shared" si="970"/>
        <v>13792.44</v>
      </c>
      <c r="EH230" s="243">
        <f t="shared" si="970"/>
        <v>14780.480000000001</v>
      </c>
      <c r="EI230" s="243">
        <f t="shared" si="970"/>
        <v>15725.68</v>
      </c>
      <c r="EJ230" s="243">
        <f t="shared" si="970"/>
        <v>16266.06</v>
      </c>
      <c r="EK230" s="243">
        <f t="shared" si="970"/>
        <v>16974.689999999999</v>
      </c>
      <c r="EL230" s="243">
        <f t="shared" si="970"/>
        <v>17787.509999999998</v>
      </c>
      <c r="EM230" s="243">
        <f t="shared" si="970"/>
        <v>18101.16</v>
      </c>
      <c r="EN230" s="243">
        <f t="shared" si="970"/>
        <v>19658.099999999999</v>
      </c>
      <c r="EO230" s="243">
        <f t="shared" si="970"/>
        <v>19926.430649999998</v>
      </c>
      <c r="EP230" s="243">
        <f t="shared" si="970"/>
        <v>20202.036987749998</v>
      </c>
      <c r="EQ230" s="243">
        <f t="shared" si="970"/>
        <v>20485.113759281252</v>
      </c>
      <c r="ER230" s="243"/>
      <c r="ES230" s="243"/>
      <c r="ET230" s="243"/>
      <c r="EU230" s="243"/>
    </row>
    <row r="231" spans="2:151" ht="12.75" customHeight="1" x14ac:dyDescent="0.2">
      <c r="B231" t="s">
        <v>477</v>
      </c>
      <c r="DS231" s="294">
        <v>0.5</v>
      </c>
      <c r="DT231" s="294">
        <v>0.5</v>
      </c>
      <c r="DU231" s="294">
        <v>0.5</v>
      </c>
      <c r="DV231" s="294">
        <v>0.5</v>
      </c>
      <c r="DW231" s="294">
        <v>0.5</v>
      </c>
      <c r="DX231" s="294">
        <v>0.5</v>
      </c>
      <c r="DY231" s="294">
        <v>0.5</v>
      </c>
      <c r="DZ231" s="294">
        <v>0.5</v>
      </c>
      <c r="EA231" s="294">
        <v>0.5</v>
      </c>
      <c r="EB231" s="294">
        <v>0.5</v>
      </c>
      <c r="EC231" s="294">
        <v>0.5</v>
      </c>
      <c r="ED231" s="294">
        <v>0.5</v>
      </c>
      <c r="EE231" s="294">
        <v>0.5</v>
      </c>
      <c r="EF231" s="294">
        <v>0.5</v>
      </c>
      <c r="EG231" s="294">
        <v>0.5</v>
      </c>
      <c r="EH231" s="294">
        <v>0.5</v>
      </c>
      <c r="EI231" s="294">
        <v>0.5</v>
      </c>
      <c r="EJ231" s="294">
        <v>0.52</v>
      </c>
      <c r="EK231" s="294">
        <v>0.51</v>
      </c>
      <c r="EL231" s="294">
        <v>0.52</v>
      </c>
      <c r="EM231" s="294">
        <v>0.53</v>
      </c>
      <c r="EN231" s="294">
        <v>0.52</v>
      </c>
      <c r="EO231" s="294">
        <v>0.52</v>
      </c>
      <c r="EP231" s="294">
        <v>0.52</v>
      </c>
      <c r="EQ231" s="294">
        <v>0.52</v>
      </c>
      <c r="ER231" s="294"/>
      <c r="ES231" s="294"/>
      <c r="ET231" s="294"/>
      <c r="EU231" s="294"/>
    </row>
    <row r="232" spans="2:151" ht="12.75" customHeight="1" x14ac:dyDescent="0.2">
      <c r="B232" t="s">
        <v>478</v>
      </c>
      <c r="DS232" s="243">
        <f t="shared" ref="DS232:EQ232" si="971">DS231*DS120</f>
        <v>2390</v>
      </c>
      <c r="DT232" s="243">
        <f t="shared" si="971"/>
        <v>2412</v>
      </c>
      <c r="DU232" s="243">
        <f t="shared" si="971"/>
        <v>2625.5</v>
      </c>
      <c r="DV232" s="243">
        <f t="shared" si="971"/>
        <v>2915.5</v>
      </c>
      <c r="DW232" s="243">
        <f t="shared" si="971"/>
        <v>3182</v>
      </c>
      <c r="DX232" s="243">
        <f t="shared" si="971"/>
        <v>3249</v>
      </c>
      <c r="DY232" s="243">
        <f t="shared" si="971"/>
        <v>3263</v>
      </c>
      <c r="DZ232" s="243">
        <f t="shared" si="971"/>
        <v>3432</v>
      </c>
      <c r="EA232" s="243">
        <f t="shared" si="971"/>
        <v>3452</v>
      </c>
      <c r="EB232" s="243">
        <f t="shared" si="971"/>
        <v>3481</v>
      </c>
      <c r="EC232" s="243">
        <f t="shared" si="971"/>
        <v>3282</v>
      </c>
      <c r="ED232" s="243">
        <f t="shared" si="971"/>
        <v>3715.5</v>
      </c>
      <c r="EE232" s="243">
        <f t="shared" si="971"/>
        <v>4166.5</v>
      </c>
      <c r="EF232" s="243">
        <f t="shared" si="971"/>
        <v>4548</v>
      </c>
      <c r="EG232" s="243">
        <f t="shared" si="971"/>
        <v>4887</v>
      </c>
      <c r="EH232" s="243">
        <f t="shared" si="971"/>
        <v>7246.5</v>
      </c>
      <c r="EI232" s="243">
        <f t="shared" si="971"/>
        <v>8027</v>
      </c>
      <c r="EJ232" s="243">
        <f t="shared" si="971"/>
        <v>8217.56</v>
      </c>
      <c r="EK232" s="243">
        <f t="shared" si="971"/>
        <v>7440.9000000000005</v>
      </c>
      <c r="EL232" s="243">
        <f t="shared" si="971"/>
        <v>7739.16</v>
      </c>
      <c r="EM232" s="243">
        <f t="shared" si="971"/>
        <v>7656.9100000000008</v>
      </c>
      <c r="EN232" s="243">
        <f t="shared" si="971"/>
        <v>7642.4400000000005</v>
      </c>
      <c r="EO232" s="243">
        <f t="shared" si="971"/>
        <v>7795.2888000000003</v>
      </c>
      <c r="EP232" s="243">
        <f t="shared" si="971"/>
        <v>7951.1945760000008</v>
      </c>
      <c r="EQ232" s="243">
        <f t="shared" si="971"/>
        <v>8110.2184675200015</v>
      </c>
      <c r="ER232" s="243"/>
      <c r="ES232" s="243"/>
      <c r="ET232" s="243"/>
      <c r="EU232" s="243"/>
    </row>
    <row r="233" spans="2:151" ht="12.75" customHeight="1" x14ac:dyDescent="0.2">
      <c r="B233" t="s">
        <v>479</v>
      </c>
      <c r="DS233" s="243">
        <f t="shared" ref="DS233:EP233" si="972">DS232+DS230+DS228</f>
        <v>9229.44</v>
      </c>
      <c r="DT233" s="243">
        <f t="shared" si="972"/>
        <v>9508.82</v>
      </c>
      <c r="DU233" s="243">
        <f t="shared" si="972"/>
        <v>10630.8</v>
      </c>
      <c r="DV233" s="243">
        <f t="shared" si="972"/>
        <v>12829.560000000001</v>
      </c>
      <c r="DW233" s="243">
        <f t="shared" si="972"/>
        <v>14778.04</v>
      </c>
      <c r="DX233" s="243">
        <f t="shared" si="972"/>
        <v>15526.399999999998</v>
      </c>
      <c r="DY233" s="243">
        <f t="shared" si="972"/>
        <v>16367.619999999999</v>
      </c>
      <c r="DZ233" s="243">
        <f t="shared" si="972"/>
        <v>19262.739999999998</v>
      </c>
      <c r="EA233" s="243">
        <f t="shared" si="972"/>
        <v>20603.980000000003</v>
      </c>
      <c r="EB233" s="243">
        <f t="shared" si="972"/>
        <v>23714.230000000003</v>
      </c>
      <c r="EC233" s="243">
        <f t="shared" si="972"/>
        <v>26418.15</v>
      </c>
      <c r="ED233" s="243">
        <f t="shared" si="972"/>
        <v>30446.47</v>
      </c>
      <c r="EE233" s="243">
        <f t="shared" si="972"/>
        <v>34458.46</v>
      </c>
      <c r="EF233" s="243">
        <f t="shared" si="972"/>
        <v>36506.979999999996</v>
      </c>
      <c r="EG233" s="243">
        <f t="shared" si="972"/>
        <v>38456.39</v>
      </c>
      <c r="EH233" s="243">
        <f t="shared" si="972"/>
        <v>43163.08</v>
      </c>
      <c r="EI233" s="243">
        <f>EI232+EI230+EI228</f>
        <v>44634.630000000005</v>
      </c>
      <c r="EJ233" s="243">
        <f>EJ232+EJ230+EJ228</f>
        <v>44301.22</v>
      </c>
      <c r="EK233" s="243">
        <f t="shared" si="972"/>
        <v>43339.99</v>
      </c>
      <c r="EL233" s="243">
        <f t="shared" si="972"/>
        <v>46970.509999999995</v>
      </c>
      <c r="EM233" s="243">
        <f t="shared" si="972"/>
        <v>47750.97</v>
      </c>
      <c r="EN233" s="243">
        <f t="shared" si="972"/>
        <v>52050.54</v>
      </c>
      <c r="EO233" s="243">
        <f t="shared" si="972"/>
        <v>55334.007449999997</v>
      </c>
      <c r="EP233" s="243">
        <f t="shared" si="972"/>
        <v>55875.721963749995</v>
      </c>
      <c r="EQ233" s="243">
        <f>EQ232+EQ230+EQ228</f>
        <v>50744.754202801254</v>
      </c>
      <c r="ER233" s="243"/>
      <c r="ES233" s="243"/>
      <c r="ET233" s="243"/>
      <c r="EU233" s="243"/>
    </row>
    <row r="234" spans="2:151" ht="12.75" customHeight="1" x14ac:dyDescent="0.2">
      <c r="B234" t="s">
        <v>480</v>
      </c>
      <c r="DS234" s="243">
        <f t="shared" ref="DS234:EQ234" si="973">DS66</f>
        <v>9075</v>
      </c>
      <c r="DT234" s="243">
        <f t="shared" si="973"/>
        <v>9347</v>
      </c>
      <c r="DU234" s="243">
        <f t="shared" si="973"/>
        <v>10435</v>
      </c>
      <c r="DV234" s="243">
        <f t="shared" si="973"/>
        <v>12607</v>
      </c>
      <c r="DW234" s="243">
        <f t="shared" si="973"/>
        <v>14602</v>
      </c>
      <c r="DX234" s="243">
        <f t="shared" si="973"/>
        <v>15477</v>
      </c>
      <c r="DY234" s="243">
        <f t="shared" si="973"/>
        <v>16221</v>
      </c>
      <c r="DZ234" s="243">
        <f t="shared" si="973"/>
        <v>19029</v>
      </c>
      <c r="EA234" s="243">
        <f t="shared" si="973"/>
        <v>20278</v>
      </c>
      <c r="EB234" s="243">
        <f t="shared" si="973"/>
        <v>23468</v>
      </c>
      <c r="EC234" s="243">
        <f t="shared" si="973"/>
        <v>26464.9</v>
      </c>
      <c r="ED234" s="243">
        <f t="shared" si="973"/>
        <v>30189.4</v>
      </c>
      <c r="EE234" s="243">
        <f t="shared" si="973"/>
        <v>34695</v>
      </c>
      <c r="EF234" s="243">
        <f t="shared" si="973"/>
        <v>35544</v>
      </c>
      <c r="EG234" s="243">
        <f t="shared" si="973"/>
        <v>38267</v>
      </c>
      <c r="EH234" s="243">
        <f t="shared" si="973"/>
        <v>43344</v>
      </c>
      <c r="EI234" s="243">
        <f t="shared" si="973"/>
        <v>45236</v>
      </c>
      <c r="EJ234" s="243">
        <f t="shared" si="973"/>
        <v>43563</v>
      </c>
      <c r="EK234" s="243">
        <f t="shared" si="973"/>
        <v>42663</v>
      </c>
      <c r="EL234" s="243">
        <f t="shared" si="973"/>
        <v>48029</v>
      </c>
      <c r="EM234" s="243">
        <f t="shared" si="973"/>
        <v>46089</v>
      </c>
      <c r="EN234" s="243">
        <f t="shared" si="973"/>
        <v>48970</v>
      </c>
      <c r="EO234" s="243">
        <f t="shared" si="973"/>
        <v>51920.723249999995</v>
      </c>
      <c r="EP234" s="243">
        <f t="shared" si="973"/>
        <v>52489.613259749996</v>
      </c>
      <c r="EQ234" s="243">
        <f t="shared" si="973"/>
        <v>48613.910215721247</v>
      </c>
      <c r="ER234" s="243"/>
      <c r="ES234" s="243"/>
      <c r="ET234" s="243"/>
      <c r="EU234" s="243"/>
    </row>
    <row r="235" spans="2:151" ht="12.75" customHeight="1" x14ac:dyDescent="0.2">
      <c r="DS235" s="294">
        <f t="shared" ref="DS235:EQ235" si="974">DS233/DS234-1</f>
        <v>1.7018181818181821E-2</v>
      </c>
      <c r="DT235" s="294">
        <f t="shared" si="974"/>
        <v>1.7312506686637308E-2</v>
      </c>
      <c r="DU235" s="294">
        <f t="shared" si="974"/>
        <v>1.8763775754671697E-2</v>
      </c>
      <c r="DV235" s="294">
        <f t="shared" si="974"/>
        <v>1.7653684461013786E-2</v>
      </c>
      <c r="DW235" s="294">
        <f t="shared" si="974"/>
        <v>1.205588275578684E-2</v>
      </c>
      <c r="DX235" s="294">
        <f t="shared" si="974"/>
        <v>3.1918330425790842E-3</v>
      </c>
      <c r="DY235" s="294">
        <f t="shared" si="974"/>
        <v>9.0389001911101996E-3</v>
      </c>
      <c r="DZ235" s="294">
        <f t="shared" si="974"/>
        <v>1.2283356981449334E-2</v>
      </c>
      <c r="EA235" s="294">
        <f t="shared" si="974"/>
        <v>1.6075549856988003E-2</v>
      </c>
      <c r="EB235" s="294">
        <f t="shared" si="974"/>
        <v>1.0492159536390044E-2</v>
      </c>
      <c r="EC235" s="294">
        <f t="shared" si="974"/>
        <v>-1.7664907103370764E-3</v>
      </c>
      <c r="ED235" s="294">
        <f t="shared" si="974"/>
        <v>8.5152404486343869E-3</v>
      </c>
      <c r="EE235" s="294">
        <f t="shared" si="974"/>
        <v>-6.8176970745064125E-3</v>
      </c>
      <c r="EF235" s="294">
        <f t="shared" si="974"/>
        <v>2.7092617600720015E-2</v>
      </c>
      <c r="EG235" s="294">
        <f t="shared" si="974"/>
        <v>4.9491729166122322E-3</v>
      </c>
      <c r="EH235" s="294">
        <f t="shared" si="974"/>
        <v>-4.1740494647470872E-3</v>
      </c>
      <c r="EI235" s="294">
        <f>EI233/EI234-1</f>
        <v>-1.3294057830046779E-2</v>
      </c>
      <c r="EJ235" s="294">
        <f t="shared" si="974"/>
        <v>1.694603218327484E-2</v>
      </c>
      <c r="EK235" s="294">
        <f t="shared" si="974"/>
        <v>1.5868316808475669E-2</v>
      </c>
      <c r="EL235" s="294">
        <f t="shared" si="974"/>
        <v>-2.2038560036644617E-2</v>
      </c>
      <c r="EM235" s="294">
        <f t="shared" si="974"/>
        <v>3.6060014320119738E-2</v>
      </c>
      <c r="EN235" s="294">
        <f t="shared" si="974"/>
        <v>6.2906677557688306E-2</v>
      </c>
      <c r="EO235" s="294">
        <f t="shared" si="974"/>
        <v>6.5740305341374539E-2</v>
      </c>
      <c r="EP235" s="294">
        <f t="shared" si="974"/>
        <v>6.4510071492497101E-2</v>
      </c>
      <c r="EQ235" s="294">
        <f t="shared" si="974"/>
        <v>4.3831980962331984E-2</v>
      </c>
      <c r="ER235" s="294"/>
      <c r="ES235" s="294"/>
      <c r="ET235" s="294"/>
      <c r="EU235" s="294"/>
    </row>
    <row r="237" spans="2:151" ht="12.75" customHeight="1" x14ac:dyDescent="0.2">
      <c r="DQ237" s="294">
        <f>DQ239/DP239-1</f>
        <v>0.25562659846547309</v>
      </c>
      <c r="DR237" s="294">
        <f>DR239/DQ239-1</f>
        <v>0.42657093390365608</v>
      </c>
      <c r="DS237" s="294">
        <f t="shared" ref="DS237:EK237" si="975">DS239/DR239-1</f>
        <v>0.10113332143494569</v>
      </c>
      <c r="DT237" s="294">
        <f t="shared" si="975"/>
        <v>-0.14917377809113974</v>
      </c>
      <c r="DU237" s="294">
        <f t="shared" si="975"/>
        <v>9.9994284952279466E-2</v>
      </c>
      <c r="DV237" s="294">
        <f t="shared" si="975"/>
        <v>0.48981677115444544</v>
      </c>
      <c r="DW237" s="294">
        <f t="shared" si="975"/>
        <v>0.41138041267073544</v>
      </c>
      <c r="DX237" s="294">
        <f t="shared" si="975"/>
        <v>0.22817796959164505</v>
      </c>
      <c r="DY237" s="294">
        <f t="shared" si="975"/>
        <v>0.25775560294531852</v>
      </c>
      <c r="DZ237" s="294">
        <f t="shared" si="975"/>
        <v>0.25347366625078638</v>
      </c>
      <c r="EA237" s="294">
        <f t="shared" si="975"/>
        <v>-5.0775434507048245E-2</v>
      </c>
      <c r="EB237" s="294">
        <f t="shared" si="975"/>
        <v>0.16366952414667701</v>
      </c>
      <c r="EC237" s="294">
        <f t="shared" si="975"/>
        <v>0.10976544298581725</v>
      </c>
      <c r="ED237" s="294">
        <f t="shared" si="975"/>
        <v>-8.7398719572496786E-2</v>
      </c>
      <c r="EE237" s="294">
        <f t="shared" si="975"/>
        <v>6.251758568506216E-2</v>
      </c>
      <c r="EF237" s="294">
        <f t="shared" si="975"/>
        <v>0.15754186945319226</v>
      </c>
      <c r="EG237" s="294">
        <f t="shared" si="975"/>
        <v>-3.8345903015332472E-2</v>
      </c>
      <c r="EH237" s="294">
        <f t="shared" si="975"/>
        <v>2.8381984183115661E-2</v>
      </c>
      <c r="EI237" s="294">
        <f t="shared" si="975"/>
        <v>1.4634786808528588E-2</v>
      </c>
      <c r="EJ237" s="294">
        <f t="shared" si="975"/>
        <v>-0.10975444434174453</v>
      </c>
      <c r="EK237" s="294">
        <f t="shared" si="975"/>
        <v>0.10686215811204125</v>
      </c>
      <c r="EL237" s="294">
        <f>RATE(20,0,DP239,-EK239)</f>
        <v>0.12326505798646253</v>
      </c>
    </row>
    <row r="238" spans="2:151" ht="12.75" customHeight="1" x14ac:dyDescent="0.2">
      <c r="B238" t="s">
        <v>1393</v>
      </c>
      <c r="DP238" s="283">
        <v>5.2266000000000004</v>
      </c>
      <c r="DQ238" s="283">
        <v>6.5</v>
      </c>
      <c r="DR238" s="283">
        <v>8.2030999999999992</v>
      </c>
      <c r="DS238" s="283">
        <v>10.7813</v>
      </c>
      <c r="DT238" s="283">
        <v>8.9062999999999999</v>
      </c>
      <c r="DU238" s="283">
        <v>9.1875</v>
      </c>
      <c r="DV238" s="283">
        <v>13.4375</v>
      </c>
      <c r="DW238" s="283">
        <v>20.9375</v>
      </c>
      <c r="DX238" s="283">
        <v>24.875</v>
      </c>
      <c r="DY238" s="283">
        <v>32</v>
      </c>
      <c r="DZ238" s="283">
        <v>39.031300000000002</v>
      </c>
      <c r="EA238" s="283">
        <v>34.25</v>
      </c>
      <c r="EB238" s="283">
        <v>41.625</v>
      </c>
      <c r="EC238" s="283">
        <v>41.85</v>
      </c>
      <c r="ED238" s="283">
        <v>48.73</v>
      </c>
      <c r="EE238" s="283">
        <v>49.5</v>
      </c>
      <c r="EF238" s="283">
        <v>60.04</v>
      </c>
      <c r="EG238" s="283">
        <v>56.8</v>
      </c>
      <c r="EH238" s="283">
        <v>59.77</v>
      </c>
      <c r="EI238" s="283">
        <v>55.33</v>
      </c>
      <c r="EJ238" s="283">
        <v>46.6</v>
      </c>
      <c r="EK238" s="283">
        <v>58.3</v>
      </c>
    </row>
    <row r="239" spans="2:151" ht="12.75" customHeight="1" x14ac:dyDescent="0.2">
      <c r="B239" t="s">
        <v>481</v>
      </c>
      <c r="DP239" s="283">
        <v>6.2560000000000002</v>
      </c>
      <c r="DQ239" s="283">
        <v>7.8552</v>
      </c>
      <c r="DR239" s="283">
        <v>11.206</v>
      </c>
      <c r="DS239" s="283">
        <v>12.3393</v>
      </c>
      <c r="DT239" s="283">
        <v>10.4986</v>
      </c>
      <c r="DU239" s="283">
        <v>11.548400000000001</v>
      </c>
      <c r="DV239" s="283">
        <v>17.204999999999998</v>
      </c>
      <c r="DW239" s="283">
        <v>24.282800000000002</v>
      </c>
      <c r="DX239" s="283">
        <v>29.823599999999999</v>
      </c>
      <c r="DY239" s="283">
        <v>37.510800000000003</v>
      </c>
      <c r="DZ239" s="283">
        <v>47.018799999999999</v>
      </c>
      <c r="EA239" s="283">
        <v>44.631399999999999</v>
      </c>
      <c r="EB239" s="283">
        <v>51.936199999999999</v>
      </c>
      <c r="EC239" s="283">
        <v>57.637</v>
      </c>
      <c r="ED239" s="283">
        <v>52.599600000000002</v>
      </c>
      <c r="EE239" s="283">
        <v>55.887999999999998</v>
      </c>
      <c r="EF239" s="283">
        <v>64.692700000000002</v>
      </c>
      <c r="EG239" s="283">
        <v>62.212000000000003</v>
      </c>
      <c r="EH239" s="283">
        <v>63.977699999999999</v>
      </c>
      <c r="EI239" s="283">
        <v>64.914000000000001</v>
      </c>
      <c r="EJ239" s="283">
        <v>57.789400000000001</v>
      </c>
      <c r="EK239" s="283">
        <v>63.9649</v>
      </c>
    </row>
    <row r="240" spans="2:151" ht="12.75" customHeight="1" x14ac:dyDescent="0.2">
      <c r="B240" t="s">
        <v>262</v>
      </c>
      <c r="DP240" s="243">
        <f t="shared" ref="DP240:EK240" si="976">DP239*DP77</f>
        <v>16670.988800000003</v>
      </c>
      <c r="DQ240" s="243">
        <f t="shared" si="976"/>
        <v>20772.29088</v>
      </c>
      <c r="DR240" s="243">
        <f t="shared" si="976"/>
        <v>34395.965343999997</v>
      </c>
      <c r="DS240" s="243">
        <f t="shared" si="976"/>
        <v>37875.0371352</v>
      </c>
      <c r="DT240" s="243">
        <f t="shared" si="976"/>
        <v>32225.326716799998</v>
      </c>
      <c r="DU240" s="243">
        <f t="shared" si="976"/>
        <v>35448.506703999999</v>
      </c>
      <c r="DV240" s="243">
        <f t="shared" si="976"/>
        <v>52813.293839999998</v>
      </c>
      <c r="DW240" s="243">
        <f t="shared" si="976"/>
        <v>74539.648454400012</v>
      </c>
      <c r="DX240" s="243">
        <f t="shared" si="976"/>
        <v>91547.954092800006</v>
      </c>
      <c r="DY240" s="243">
        <f t="shared" si="976"/>
        <v>115144.95219840002</v>
      </c>
      <c r="DZ240" s="243">
        <f t="shared" si="976"/>
        <v>144339.8168416</v>
      </c>
      <c r="EA240" s="243">
        <f t="shared" si="976"/>
        <v>137011.3462388</v>
      </c>
      <c r="EB240" s="243">
        <f t="shared" si="976"/>
        <v>162032.73808040001</v>
      </c>
      <c r="EC240" s="243">
        <f t="shared" si="976"/>
        <v>171083.618915</v>
      </c>
      <c r="ED240" s="243">
        <f t="shared" si="976"/>
        <v>156114.1926108</v>
      </c>
      <c r="EE240" s="243">
        <f t="shared" si="976"/>
        <v>166044.53342399999</v>
      </c>
      <c r="EF240" s="243">
        <f t="shared" si="976"/>
        <v>192427.01291060002</v>
      </c>
      <c r="EG240" s="243">
        <f t="shared" si="976"/>
        <v>184209.73200000002</v>
      </c>
      <c r="EH240" s="243">
        <f t="shared" si="976"/>
        <v>186317.45738250003</v>
      </c>
      <c r="EI240" s="243">
        <f t="shared" si="976"/>
        <v>184096.10400000002</v>
      </c>
      <c r="EJ240" s="243">
        <f t="shared" si="976"/>
        <v>161251.207555</v>
      </c>
      <c r="EK240" s="243">
        <f t="shared" si="976"/>
        <v>178482.85959250003</v>
      </c>
    </row>
    <row r="241" spans="2:141" ht="12.75" customHeight="1" x14ac:dyDescent="0.2">
      <c r="B241" t="s">
        <v>1394</v>
      </c>
      <c r="DP241" s="304">
        <f t="shared" ref="DP241:EK241" si="977">DP238/DP76</f>
        <v>12.872313937153422</v>
      </c>
      <c r="DQ241" s="304">
        <f t="shared" si="977"/>
        <v>13.783961507618285</v>
      </c>
      <c r="DR241" s="304">
        <f t="shared" si="977"/>
        <v>17.233943883915124</v>
      </c>
      <c r="DS241" s="304">
        <f t="shared" si="977"/>
        <v>20.364807521969229</v>
      </c>
      <c r="DT241" s="304">
        <f t="shared" si="977"/>
        <v>15.298142682932287</v>
      </c>
      <c r="DU241" s="304">
        <f t="shared" si="977"/>
        <v>14.058615403788634</v>
      </c>
      <c r="DV241" s="304">
        <f t="shared" si="977"/>
        <v>17.165374531835209</v>
      </c>
      <c r="DW241" s="304">
        <f t="shared" si="977"/>
        <v>22.262125043297541</v>
      </c>
      <c r="DX241" s="304">
        <f t="shared" si="977"/>
        <v>23.117618528610354</v>
      </c>
      <c r="DY241" s="304">
        <f t="shared" si="977"/>
        <v>25.607074035453596</v>
      </c>
      <c r="DZ241" s="304">
        <f t="shared" si="977"/>
        <v>28.754387746964241</v>
      </c>
      <c r="EA241" s="304">
        <f t="shared" si="977"/>
        <v>21.809186579547813</v>
      </c>
      <c r="EB241" s="304">
        <f t="shared" si="977"/>
        <v>22.494963320630522</v>
      </c>
      <c r="EC241" s="304">
        <f t="shared" si="977"/>
        <v>16.409005537998198</v>
      </c>
      <c r="ED241" s="304">
        <f t="shared" si="977"/>
        <v>16.781458773090129</v>
      </c>
      <c r="EE241" s="304">
        <f t="shared" si="977"/>
        <v>15.820313952237523</v>
      </c>
      <c r="EF241" s="304">
        <f t="shared" si="977"/>
        <v>18.303541982166649</v>
      </c>
      <c r="EG241" s="304">
        <f t="shared" si="977"/>
        <v>15.106871463217461</v>
      </c>
      <c r="EH241" s="304">
        <f t="shared" si="977"/>
        <v>14.207609394682637</v>
      </c>
      <c r="EI241" s="304">
        <f t="shared" si="977"/>
        <v>12.163078831098366</v>
      </c>
      <c r="EJ241" s="304">
        <f t="shared" si="977"/>
        <v>7.7497478916470488</v>
      </c>
      <c r="EK241" s="304">
        <f t="shared" si="977"/>
        <v>12.373617365178369</v>
      </c>
    </row>
    <row r="242" spans="2:141" ht="12.75" customHeight="1" x14ac:dyDescent="0.2">
      <c r="B242" t="s">
        <v>1395</v>
      </c>
      <c r="DP242" s="304">
        <f t="shared" ref="DP242:EK242" si="978">DP240/DP75</f>
        <v>15.407568207024033</v>
      </c>
      <c r="DQ242" s="304">
        <f t="shared" si="978"/>
        <v>16.65781145148356</v>
      </c>
      <c r="DR242" s="304">
        <f t="shared" si="978"/>
        <v>23.542755197809718</v>
      </c>
      <c r="DS242" s="304">
        <f t="shared" si="978"/>
        <v>23.307715160123077</v>
      </c>
      <c r="DT242" s="304">
        <f t="shared" si="978"/>
        <v>18.033199058086176</v>
      </c>
      <c r="DU242" s="304">
        <f t="shared" si="978"/>
        <v>17.671239633100697</v>
      </c>
      <c r="DV242" s="304">
        <f t="shared" si="978"/>
        <v>21.978066516853932</v>
      </c>
      <c r="DW242" s="304">
        <f t="shared" si="978"/>
        <v>25.819067701558716</v>
      </c>
      <c r="DX242" s="304">
        <f t="shared" si="978"/>
        <v>27.716607354768396</v>
      </c>
      <c r="DY242" s="304">
        <f t="shared" si="978"/>
        <v>30.016932272784153</v>
      </c>
      <c r="DZ242" s="304">
        <f t="shared" si="978"/>
        <v>34.638784939188866</v>
      </c>
      <c r="EA242" s="304">
        <f t="shared" si="978"/>
        <v>28.419694303837378</v>
      </c>
      <c r="EB242" s="304">
        <f t="shared" si="978"/>
        <v>28.067337273583927</v>
      </c>
      <c r="EC242" s="304">
        <f t="shared" si="978"/>
        <v>22.598945094231826</v>
      </c>
      <c r="ED242" s="304">
        <f t="shared" si="978"/>
        <v>18.114057436507935</v>
      </c>
      <c r="EE242" s="304">
        <f t="shared" si="978"/>
        <v>17.861933457831324</v>
      </c>
      <c r="EF242" s="304">
        <f t="shared" si="978"/>
        <v>19.721944543466233</v>
      </c>
      <c r="EG242" s="304">
        <f t="shared" si="978"/>
        <v>16.546279708973323</v>
      </c>
      <c r="EH242" s="304">
        <f t="shared" si="978"/>
        <v>15.207799423961642</v>
      </c>
      <c r="EI242" s="304">
        <f t="shared" si="978"/>
        <v>14.269909619409349</v>
      </c>
      <c r="EJ242" s="304">
        <f t="shared" si="978"/>
        <v>9.6105854250975948</v>
      </c>
      <c r="EK242" s="304">
        <f t="shared" si="978"/>
        <v>13.575938205864459</v>
      </c>
    </row>
    <row r="243" spans="2:141" ht="12.75" customHeight="1" x14ac:dyDescent="0.2">
      <c r="DP243" s="304"/>
      <c r="DQ243" s="304"/>
      <c r="DR243" s="304"/>
    </row>
    <row r="244" spans="2:141" ht="12.75" customHeight="1" x14ac:dyDescent="0.2">
      <c r="B244" t="s">
        <v>482</v>
      </c>
    </row>
    <row r="245" spans="2:141" ht="12.75" customHeight="1" x14ac:dyDescent="0.2">
      <c r="B245" t="s">
        <v>483</v>
      </c>
    </row>
    <row r="246" spans="2:141" ht="12.75" customHeight="1" x14ac:dyDescent="0.2">
      <c r="B246" t="s">
        <v>484</v>
      </c>
    </row>
    <row r="248" spans="2:141" ht="12.75" customHeight="1" x14ac:dyDescent="0.2">
      <c r="B248" t="s">
        <v>1046</v>
      </c>
      <c r="G248" s="247">
        <f>K248/1.35</f>
        <v>1220</v>
      </c>
      <c r="H248" s="247">
        <f>L248/1.47</f>
        <v>1256.4625850340137</v>
      </c>
      <c r="I248" s="247">
        <f>M248/1.53</f>
        <v>1232.2875816993464</v>
      </c>
      <c r="J248" s="247">
        <f>N248/1.21</f>
        <v>1301.9834710743803</v>
      </c>
      <c r="K248" s="247">
        <v>1647</v>
      </c>
      <c r="L248" s="247">
        <v>1847</v>
      </c>
      <c r="M248" s="247">
        <v>1885.4</v>
      </c>
      <c r="N248" s="247">
        <v>1575.4</v>
      </c>
      <c r="O248" s="247">
        <v>2070</v>
      </c>
      <c r="P248" s="247">
        <v>2283</v>
      </c>
      <c r="Q248" s="247">
        <v>2134</v>
      </c>
      <c r="R248" s="247">
        <v>1957.5</v>
      </c>
      <c r="S248" s="247">
        <v>2356</v>
      </c>
      <c r="T248" s="247">
        <v>2722</v>
      </c>
      <c r="U248" s="247">
        <v>2511</v>
      </c>
      <c r="V248" s="247">
        <v>2651</v>
      </c>
      <c r="W248" s="247">
        <v>2958</v>
      </c>
      <c r="X248" s="247">
        <v>2934</v>
      </c>
      <c r="Y248" s="247">
        <v>2939</v>
      </c>
      <c r="Z248" s="247">
        <v>3088</v>
      </c>
      <c r="AA248" s="247">
        <v>3263</v>
      </c>
      <c r="AB248" s="247">
        <v>3278</v>
      </c>
      <c r="AC248" s="247">
        <v>3284.6990821500003</v>
      </c>
      <c r="AD248" s="247">
        <v>3445.9594690500003</v>
      </c>
      <c r="AE248" s="247">
        <v>3643</v>
      </c>
      <c r="AF248" s="247">
        <v>3642.9836656400007</v>
      </c>
      <c r="AG248" s="247">
        <v>3694</v>
      </c>
      <c r="AH248" s="247">
        <v>3980</v>
      </c>
      <c r="AI248" s="247">
        <v>3783</v>
      </c>
      <c r="AJ248" s="247">
        <v>3594.5647360624998</v>
      </c>
      <c r="AK248" s="247">
        <v>3526.6955764586251</v>
      </c>
      <c r="AL248" s="247">
        <v>3573.027514656625</v>
      </c>
      <c r="AM248" s="247">
        <v>3701</v>
      </c>
      <c r="AN248" s="247">
        <v>3682</v>
      </c>
      <c r="AU248" s="247">
        <v>4070</v>
      </c>
      <c r="AV248" s="247">
        <v>3793</v>
      </c>
      <c r="AY248" s="247">
        <v>3674</v>
      </c>
      <c r="AZ248" s="247">
        <v>3172</v>
      </c>
      <c r="DY248" s="247">
        <v>6106</v>
      </c>
      <c r="DZ248" s="247">
        <v>6955</v>
      </c>
      <c r="EA248" s="247">
        <v>8445</v>
      </c>
      <c r="EB248" s="247">
        <v>10240</v>
      </c>
      <c r="EC248" s="247">
        <v>11919</v>
      </c>
      <c r="ED248" s="247">
        <v>13272</v>
      </c>
      <c r="EE248" s="247">
        <v>14960</v>
      </c>
      <c r="EF248" s="247">
        <v>14477</v>
      </c>
    </row>
    <row r="249" spans="2:141" ht="12.75" customHeight="1" x14ac:dyDescent="0.2">
      <c r="B249" t="s">
        <v>1047</v>
      </c>
      <c r="G249" s="247">
        <f>K249/1.13</f>
        <v>929.2035398230089</v>
      </c>
      <c r="H249" s="247">
        <f>L249/1.12</f>
        <v>991.07142857142844</v>
      </c>
      <c r="I249" s="247">
        <f>M249/1.1</f>
        <v>955.45454545454538</v>
      </c>
      <c r="J249" s="247">
        <f>N249/1.05</f>
        <v>1013.3333333333333</v>
      </c>
      <c r="K249" s="247">
        <v>1050</v>
      </c>
      <c r="L249" s="247">
        <v>1110</v>
      </c>
      <c r="M249" s="247">
        <v>1051</v>
      </c>
      <c r="N249" s="247">
        <v>1064</v>
      </c>
      <c r="O249" s="247">
        <v>1093</v>
      </c>
      <c r="P249" s="247">
        <v>1100</v>
      </c>
      <c r="Q249" s="247">
        <v>1034</v>
      </c>
      <c r="R249" s="247">
        <v>989.5</v>
      </c>
      <c r="S249" s="247">
        <v>1133</v>
      </c>
      <c r="T249" s="247">
        <v>1142</v>
      </c>
      <c r="U249" s="247">
        <v>1166</v>
      </c>
      <c r="V249" s="247">
        <v>1169</v>
      </c>
      <c r="W249" s="247">
        <v>1223</v>
      </c>
      <c r="X249" s="247">
        <v>1324</v>
      </c>
      <c r="Y249" s="247">
        <v>1338</v>
      </c>
      <c r="Z249" s="247">
        <v>1347</v>
      </c>
      <c r="AA249" s="247">
        <v>1403</v>
      </c>
      <c r="AB249" s="247">
        <v>1606</v>
      </c>
      <c r="AC249" s="247">
        <v>1548.85</v>
      </c>
      <c r="AD249" s="247">
        <v>1686.4</v>
      </c>
      <c r="AE249" s="247">
        <v>1733</v>
      </c>
      <c r="AF249" s="247">
        <v>1784</v>
      </c>
      <c r="AG249" s="247">
        <v>1791</v>
      </c>
      <c r="AH249" s="247">
        <v>1860</v>
      </c>
      <c r="AI249" s="247">
        <v>1972</v>
      </c>
      <c r="AJ249" s="247">
        <v>2033</v>
      </c>
      <c r="AK249" s="247">
        <v>1930</v>
      </c>
      <c r="AL249" s="247">
        <v>1909</v>
      </c>
      <c r="AM249" s="247">
        <v>1925</v>
      </c>
      <c r="AN249" s="247">
        <v>2128</v>
      </c>
      <c r="AU249" s="247">
        <v>2359</v>
      </c>
      <c r="AV249" s="247">
        <v>2547</v>
      </c>
      <c r="AY249" s="247">
        <v>2106</v>
      </c>
      <c r="AZ249" s="247">
        <v>2326</v>
      </c>
      <c r="DY249" s="247">
        <v>3886</v>
      </c>
      <c r="DZ249" s="247">
        <v>4275</v>
      </c>
      <c r="EA249" s="247">
        <v>4217</v>
      </c>
      <c r="EB249" s="247">
        <v>4611</v>
      </c>
      <c r="EC249" s="247">
        <v>5232</v>
      </c>
      <c r="ED249" s="247">
        <v>6244</v>
      </c>
      <c r="EE249" s="247">
        <v>7168</v>
      </c>
      <c r="EF249" s="247">
        <v>7844</v>
      </c>
    </row>
    <row r="250" spans="2:141" ht="12.75" customHeight="1" x14ac:dyDescent="0.2">
      <c r="B250" t="s">
        <v>1048</v>
      </c>
      <c r="G250" s="247">
        <f>G249+G248</f>
        <v>2149.2035398230091</v>
      </c>
      <c r="H250" s="247">
        <f>H249+H248</f>
        <v>2247.5340136054419</v>
      </c>
      <c r="I250" s="247">
        <f>I249+I248</f>
        <v>2187.7421271538919</v>
      </c>
      <c r="J250" s="247">
        <f>J249+J248</f>
        <v>2315.3168044077138</v>
      </c>
      <c r="K250" s="247">
        <v>2697</v>
      </c>
      <c r="L250" s="247">
        <v>2957</v>
      </c>
      <c r="M250" s="247">
        <v>2936.4</v>
      </c>
      <c r="N250" s="247">
        <v>2639.4</v>
      </c>
      <c r="O250" s="247">
        <v>3163</v>
      </c>
      <c r="P250" s="247">
        <v>3383</v>
      </c>
      <c r="Q250" s="247">
        <v>3168</v>
      </c>
      <c r="R250" s="247">
        <v>2947</v>
      </c>
      <c r="S250" s="247">
        <f t="shared" ref="S250:AN250" si="979">S106</f>
        <v>3489</v>
      </c>
      <c r="T250" s="247">
        <f t="shared" si="979"/>
        <v>3864.4</v>
      </c>
      <c r="U250" s="247">
        <f t="shared" si="979"/>
        <v>3677.4</v>
      </c>
      <c r="V250" s="247">
        <f t="shared" si="979"/>
        <v>3820</v>
      </c>
      <c r="W250" s="247">
        <f t="shared" si="979"/>
        <v>4181</v>
      </c>
      <c r="X250" s="247">
        <f t="shared" si="979"/>
        <v>4258</v>
      </c>
      <c r="Y250" s="247">
        <f t="shared" si="979"/>
        <v>4277</v>
      </c>
      <c r="Z250" s="247">
        <f t="shared" si="979"/>
        <v>4435</v>
      </c>
      <c r="AA250" s="247">
        <f t="shared" si="979"/>
        <v>4666</v>
      </c>
      <c r="AB250" s="247">
        <f t="shared" si="979"/>
        <v>4884</v>
      </c>
      <c r="AC250" s="247">
        <f t="shared" si="979"/>
        <v>4835</v>
      </c>
      <c r="AD250" s="247">
        <f t="shared" si="979"/>
        <v>5134</v>
      </c>
      <c r="AE250" s="247">
        <f t="shared" si="979"/>
        <v>5376</v>
      </c>
      <c r="AF250" s="247">
        <f t="shared" si="979"/>
        <v>5296</v>
      </c>
      <c r="AG250" s="247">
        <f t="shared" si="979"/>
        <v>4940</v>
      </c>
      <c r="AH250" s="247">
        <f t="shared" si="979"/>
        <v>5242</v>
      </c>
      <c r="AI250" s="247">
        <f t="shared" si="979"/>
        <v>5178</v>
      </c>
      <c r="AJ250" s="247">
        <f t="shared" si="979"/>
        <v>4986</v>
      </c>
      <c r="AK250" s="247">
        <f t="shared" si="979"/>
        <v>4833</v>
      </c>
      <c r="AL250" s="247">
        <f t="shared" si="979"/>
        <v>4790</v>
      </c>
      <c r="AM250" s="247">
        <f t="shared" si="979"/>
        <v>5626</v>
      </c>
      <c r="AN250" s="247">
        <f t="shared" si="979"/>
        <v>5810</v>
      </c>
      <c r="AU250" s="247">
        <f>AU106</f>
        <v>6363</v>
      </c>
      <c r="AV250" s="247">
        <f>AV106</f>
        <v>6340</v>
      </c>
      <c r="AY250" s="247">
        <f>AY106</f>
        <v>5780</v>
      </c>
      <c r="AZ250" s="247">
        <f>AZ106</f>
        <v>5498</v>
      </c>
      <c r="DY250" s="243">
        <f t="shared" ref="DY250:EF250" si="980">DY249+DY248</f>
        <v>9992</v>
      </c>
      <c r="DZ250" s="247">
        <f t="shared" si="980"/>
        <v>11230</v>
      </c>
      <c r="EA250" s="247">
        <f t="shared" si="980"/>
        <v>12662</v>
      </c>
      <c r="EB250" s="247">
        <f t="shared" si="980"/>
        <v>14851</v>
      </c>
      <c r="EC250" s="247">
        <f t="shared" si="980"/>
        <v>17151</v>
      </c>
      <c r="ED250" s="247">
        <f t="shared" si="980"/>
        <v>19516</v>
      </c>
      <c r="EE250" s="247">
        <f t="shared" si="980"/>
        <v>22128</v>
      </c>
      <c r="EF250" s="247">
        <f t="shared" si="980"/>
        <v>22321</v>
      </c>
    </row>
    <row r="251" spans="2:141" ht="12.75" customHeight="1" x14ac:dyDescent="0.2">
      <c r="B251" t="s">
        <v>1049</v>
      </c>
      <c r="K251" s="247">
        <v>1289</v>
      </c>
      <c r="L251" s="247">
        <v>1315</v>
      </c>
      <c r="M251" s="247">
        <v>1331</v>
      </c>
      <c r="N251" s="247">
        <v>1361</v>
      </c>
      <c r="O251" s="247">
        <v>1311</v>
      </c>
      <c r="P251" s="247">
        <v>1360</v>
      </c>
      <c r="Q251" s="247">
        <v>1390</v>
      </c>
      <c r="R251" s="247">
        <v>1445</v>
      </c>
      <c r="S251" s="247">
        <v>1463.2</v>
      </c>
      <c r="T251" s="247">
        <v>1530</v>
      </c>
      <c r="U251" s="247">
        <v>1569</v>
      </c>
      <c r="V251" s="247">
        <v>1574</v>
      </c>
      <c r="W251" s="247">
        <v>1663</v>
      </c>
      <c r="X251" s="247">
        <v>1758</v>
      </c>
      <c r="Y251" s="247">
        <v>1740</v>
      </c>
      <c r="Z251" s="247">
        <v>1770</v>
      </c>
      <c r="AA251" s="247">
        <v>1747.6</v>
      </c>
      <c r="AB251" s="247">
        <v>1903</v>
      </c>
      <c r="AC251" s="247">
        <v>2145.4</v>
      </c>
      <c r="AD251" s="247">
        <v>2237</v>
      </c>
      <c r="AE251" s="247">
        <v>2194</v>
      </c>
      <c r="AF251" s="247">
        <v>2037.9</v>
      </c>
      <c r="AG251" s="247">
        <v>2073</v>
      </c>
      <c r="AH251" s="247">
        <v>2280</v>
      </c>
      <c r="AI251" s="247">
        <v>2361</v>
      </c>
      <c r="AJ251" s="247">
        <v>2378</v>
      </c>
      <c r="AK251" s="247">
        <v>2365</v>
      </c>
      <c r="AL251" s="247">
        <v>2390</v>
      </c>
      <c r="AM251" s="247">
        <v>2520</v>
      </c>
      <c r="AN251" s="247">
        <v>2590</v>
      </c>
      <c r="AU251" s="247">
        <v>2588</v>
      </c>
      <c r="AV251" s="247">
        <v>2723</v>
      </c>
      <c r="AY251" s="247">
        <v>2652</v>
      </c>
      <c r="AZ251" s="247">
        <v>2776</v>
      </c>
      <c r="DZ251" s="247">
        <v>5296</v>
      </c>
      <c r="EA251" s="247">
        <v>5506</v>
      </c>
      <c r="EB251" s="247">
        <v>6136</v>
      </c>
      <c r="EC251" s="247">
        <v>6931</v>
      </c>
      <c r="ED251" s="247">
        <v>8033</v>
      </c>
      <c r="EE251" s="247">
        <v>8585</v>
      </c>
      <c r="EF251" s="247">
        <v>9494</v>
      </c>
    </row>
    <row r="252" spans="2:141" ht="12.75" customHeight="1" x14ac:dyDescent="0.2">
      <c r="B252" t="s">
        <v>1050</v>
      </c>
      <c r="K252" s="247">
        <v>1145</v>
      </c>
      <c r="L252" s="247">
        <v>1140</v>
      </c>
      <c r="M252" s="247">
        <v>1114</v>
      </c>
      <c r="N252" s="247">
        <v>1220</v>
      </c>
      <c r="O252" s="247">
        <v>1214</v>
      </c>
      <c r="P252" s="247">
        <v>1220</v>
      </c>
      <c r="Q252" s="247">
        <v>1158</v>
      </c>
      <c r="R252" s="247">
        <v>1183</v>
      </c>
      <c r="S252" s="247">
        <v>1272</v>
      </c>
      <c r="T252" s="247">
        <v>1255</v>
      </c>
      <c r="U252" s="247">
        <v>1202</v>
      </c>
      <c r="V252" s="247">
        <v>1281</v>
      </c>
      <c r="W252" s="247">
        <v>1295</v>
      </c>
      <c r="X252" s="247">
        <v>1408</v>
      </c>
      <c r="Y252" s="247">
        <v>1401</v>
      </c>
      <c r="Z252" s="247">
        <v>1548</v>
      </c>
      <c r="AA252" s="247">
        <v>1615.6</v>
      </c>
      <c r="AB252" s="247">
        <v>1726</v>
      </c>
      <c r="AC252" s="247">
        <v>1634</v>
      </c>
      <c r="AD252" s="247">
        <v>1904</v>
      </c>
      <c r="AE252" s="247">
        <v>1942</v>
      </c>
      <c r="AF252" s="247">
        <v>2019.4</v>
      </c>
      <c r="AG252" s="247">
        <v>1971</v>
      </c>
      <c r="AH252" s="247">
        <v>2370</v>
      </c>
      <c r="AI252" s="247">
        <v>2436</v>
      </c>
      <c r="AJ252" s="247">
        <v>2478</v>
      </c>
      <c r="AK252" s="247">
        <v>2257</v>
      </c>
      <c r="AL252" s="247">
        <v>2431</v>
      </c>
      <c r="AM252" s="247">
        <v>2491</v>
      </c>
      <c r="AN252" s="247">
        <v>2565</v>
      </c>
      <c r="AU252" s="247">
        <v>3113</v>
      </c>
      <c r="AV252" s="247">
        <v>3351</v>
      </c>
      <c r="AY252" s="247">
        <v>2883</v>
      </c>
      <c r="AZ252" s="247">
        <v>3111</v>
      </c>
      <c r="DZ252" s="247">
        <v>4619</v>
      </c>
      <c r="EA252" s="247">
        <v>4775</v>
      </c>
      <c r="EB252" s="247">
        <v>5010</v>
      </c>
      <c r="EC252" s="247">
        <v>5652</v>
      </c>
      <c r="ED252" s="247">
        <v>6880</v>
      </c>
      <c r="EE252" s="247">
        <v>8302</v>
      </c>
      <c r="EF252" s="247">
        <v>9602</v>
      </c>
    </row>
    <row r="253" spans="2:141" ht="12.75" customHeight="1" x14ac:dyDescent="0.2">
      <c r="B253" t="s">
        <v>101</v>
      </c>
      <c r="K253" s="247">
        <v>2434</v>
      </c>
      <c r="L253" s="247">
        <v>2455</v>
      </c>
      <c r="M253" s="247">
        <v>2445</v>
      </c>
      <c r="N253" s="247">
        <v>2581</v>
      </c>
      <c r="O253" s="247">
        <v>2525</v>
      </c>
      <c r="P253" s="247">
        <v>2580</v>
      </c>
      <c r="Q253" s="247">
        <v>2548</v>
      </c>
      <c r="R253" s="247">
        <v>2628</v>
      </c>
      <c r="S253" s="243">
        <f t="shared" ref="S253:AN253" si="981">S113</f>
        <v>2735.2</v>
      </c>
      <c r="T253" s="243">
        <f t="shared" si="981"/>
        <v>2785</v>
      </c>
      <c r="U253" s="243">
        <f t="shared" si="981"/>
        <v>2771</v>
      </c>
      <c r="V253" s="243">
        <f t="shared" si="981"/>
        <v>2855</v>
      </c>
      <c r="W253" s="243">
        <f t="shared" si="981"/>
        <v>2958</v>
      </c>
      <c r="X253" s="243">
        <f t="shared" si="981"/>
        <v>3166</v>
      </c>
      <c r="Y253" s="243">
        <f t="shared" si="981"/>
        <v>3141</v>
      </c>
      <c r="Z253" s="243">
        <f t="shared" si="981"/>
        <v>3318</v>
      </c>
      <c r="AA253" s="243">
        <f t="shared" si="981"/>
        <v>3364</v>
      </c>
      <c r="AB253" s="243">
        <f t="shared" si="981"/>
        <v>3629</v>
      </c>
      <c r="AC253" s="243">
        <f t="shared" si="981"/>
        <v>3779</v>
      </c>
      <c r="AD253" s="243">
        <f t="shared" si="981"/>
        <v>4141</v>
      </c>
      <c r="AE253" s="243">
        <f t="shared" si="981"/>
        <v>4136</v>
      </c>
      <c r="AF253" s="243">
        <f t="shared" si="981"/>
        <v>4057</v>
      </c>
      <c r="AG253" s="243">
        <f t="shared" si="981"/>
        <v>4044</v>
      </c>
      <c r="AH253" s="243">
        <f t="shared" si="981"/>
        <v>4650</v>
      </c>
      <c r="AI253" s="243">
        <f t="shared" si="981"/>
        <v>4797</v>
      </c>
      <c r="AJ253" s="243">
        <f t="shared" si="981"/>
        <v>4856</v>
      </c>
      <c r="AK253" s="243">
        <f t="shared" si="981"/>
        <v>4622</v>
      </c>
      <c r="AL253" s="243">
        <f t="shared" si="981"/>
        <v>4821</v>
      </c>
      <c r="AM253" s="243">
        <f t="shared" si="981"/>
        <v>5011</v>
      </c>
      <c r="AN253" s="243">
        <f t="shared" si="981"/>
        <v>5155</v>
      </c>
      <c r="AU253" s="243">
        <f>AU113</f>
        <v>5701</v>
      </c>
      <c r="AV253" s="243">
        <f>AV113</f>
        <v>6074</v>
      </c>
      <c r="AY253" s="243">
        <f>AY113</f>
        <v>5535</v>
      </c>
      <c r="AZ253" s="243">
        <f>AZ113</f>
        <v>5887</v>
      </c>
      <c r="DZ253" s="247">
        <v>9915</v>
      </c>
      <c r="EA253" s="247">
        <v>10281</v>
      </c>
      <c r="EB253" s="247">
        <f>EB252+EB251</f>
        <v>11146</v>
      </c>
      <c r="EC253" s="247">
        <f>EC252+EC251</f>
        <v>12583</v>
      </c>
      <c r="ED253" s="247">
        <f>ED252+ED251</f>
        <v>14913</v>
      </c>
      <c r="EE253" s="247">
        <f>EE252+EE251</f>
        <v>16887</v>
      </c>
      <c r="EF253" s="247">
        <f>EF252+EF251</f>
        <v>19096</v>
      </c>
    </row>
    <row r="254" spans="2:141" ht="12.75" customHeight="1" x14ac:dyDescent="0.2">
      <c r="B254" t="s">
        <v>1051</v>
      </c>
      <c r="K254" s="247">
        <v>927</v>
      </c>
      <c r="L254" s="247">
        <v>873</v>
      </c>
      <c r="M254" s="247">
        <v>921</v>
      </c>
      <c r="N254" s="247">
        <v>948</v>
      </c>
      <c r="O254" s="247">
        <v>943</v>
      </c>
      <c r="P254" s="247">
        <v>902</v>
      </c>
      <c r="Q254" s="247">
        <v>939</v>
      </c>
      <c r="R254" s="247">
        <v>976</v>
      </c>
      <c r="S254" s="247">
        <v>896</v>
      </c>
      <c r="T254" s="247">
        <v>808</v>
      </c>
      <c r="U254" s="247">
        <v>896</v>
      </c>
      <c r="V254" s="247">
        <v>848.5</v>
      </c>
      <c r="W254" s="247">
        <v>900</v>
      </c>
      <c r="X254" s="247">
        <v>907</v>
      </c>
      <c r="Y254" s="247">
        <v>910</v>
      </c>
      <c r="Z254" s="247">
        <v>888</v>
      </c>
      <c r="AA254" s="247">
        <v>1000</v>
      </c>
      <c r="AB254" s="247">
        <v>931</v>
      </c>
      <c r="AC254" s="247">
        <v>984.3</v>
      </c>
      <c r="AD254" s="247">
        <v>1053</v>
      </c>
      <c r="AE254" s="247">
        <v>1081</v>
      </c>
      <c r="AF254" s="247">
        <v>987</v>
      </c>
      <c r="AG254" s="247">
        <v>1023</v>
      </c>
      <c r="AH254" s="247">
        <v>1134</v>
      </c>
      <c r="AI254" s="247">
        <v>1114</v>
      </c>
      <c r="AJ254" s="247">
        <v>1092</v>
      </c>
      <c r="AK254" s="247">
        <v>1075</v>
      </c>
      <c r="AL254" s="247">
        <v>1124</v>
      </c>
      <c r="AM254" s="247">
        <v>1150</v>
      </c>
      <c r="AN254" s="247">
        <v>1103</v>
      </c>
      <c r="AO254" s="247"/>
      <c r="AP254" s="247"/>
      <c r="AQ254" s="247"/>
      <c r="AR254" s="247"/>
      <c r="AS254" s="247"/>
      <c r="AT254" s="247"/>
      <c r="AU254" s="247">
        <v>1819</v>
      </c>
      <c r="AV254" s="247">
        <v>1694</v>
      </c>
      <c r="AW254" s="247"/>
      <c r="AX254" s="247"/>
      <c r="AY254" s="247">
        <v>1726</v>
      </c>
      <c r="AZ254" s="247">
        <v>1708</v>
      </c>
      <c r="DZ254" s="247">
        <v>3669</v>
      </c>
      <c r="EA254" s="247">
        <v>3760</v>
      </c>
      <c r="EB254" s="247">
        <v>3449</v>
      </c>
      <c r="EC254" s="247">
        <v>3605</v>
      </c>
      <c r="ED254" s="247">
        <v>3968</v>
      </c>
      <c r="EE254" s="247">
        <v>4225</v>
      </c>
      <c r="EF254" s="247">
        <v>4405</v>
      </c>
    </row>
    <row r="255" spans="2:141" ht="12.75" customHeight="1" x14ac:dyDescent="0.2">
      <c r="B255" t="s">
        <v>1052</v>
      </c>
      <c r="K255" s="247">
        <v>801</v>
      </c>
      <c r="L255" s="247">
        <v>814</v>
      </c>
      <c r="M255" s="247">
        <v>783</v>
      </c>
      <c r="N255" s="247">
        <v>796</v>
      </c>
      <c r="O255" s="247">
        <v>809</v>
      </c>
      <c r="P255" s="247">
        <v>805</v>
      </c>
      <c r="Q255" s="247">
        <v>783</v>
      </c>
      <c r="R255" s="247">
        <v>747</v>
      </c>
      <c r="S255" s="247">
        <v>735</v>
      </c>
      <c r="T255" s="247">
        <v>722</v>
      </c>
      <c r="U255" s="247">
        <v>713</v>
      </c>
      <c r="V255" s="247">
        <v>701.5</v>
      </c>
      <c r="W255" s="247">
        <v>704</v>
      </c>
      <c r="X255" s="247">
        <v>742</v>
      </c>
      <c r="Y255" s="247">
        <v>751</v>
      </c>
      <c r="Z255" s="247">
        <v>762</v>
      </c>
      <c r="AA255" s="247">
        <v>791</v>
      </c>
      <c r="AB255" s="247">
        <v>888</v>
      </c>
      <c r="AC255" s="247">
        <v>856.7</v>
      </c>
      <c r="AD255" s="247">
        <v>926</v>
      </c>
      <c r="AE255" s="247">
        <v>966</v>
      </c>
      <c r="AF255" s="247">
        <v>1013</v>
      </c>
      <c r="AG255" s="247">
        <v>1001</v>
      </c>
      <c r="AH255" s="247">
        <v>1128</v>
      </c>
      <c r="AI255" s="247">
        <v>1166</v>
      </c>
      <c r="AJ255" s="247">
        <v>1186</v>
      </c>
      <c r="AK255" s="247">
        <v>1156</v>
      </c>
      <c r="AL255" s="247">
        <v>1183</v>
      </c>
      <c r="AM255" s="247">
        <v>1205</v>
      </c>
      <c r="AN255" s="247">
        <v>1295</v>
      </c>
      <c r="AO255" s="247"/>
      <c r="AP255" s="247"/>
      <c r="AQ255" s="247"/>
      <c r="AR255" s="247"/>
      <c r="AS255" s="247"/>
      <c r="AT255" s="247"/>
      <c r="AU255" s="247">
        <v>2245</v>
      </c>
      <c r="AV255" s="247">
        <v>2342</v>
      </c>
      <c r="AW255" s="247"/>
      <c r="AX255" s="247"/>
      <c r="AY255" s="247">
        <v>1982</v>
      </c>
      <c r="AZ255" s="247">
        <v>2146</v>
      </c>
      <c r="DZ255" s="247">
        <v>3194</v>
      </c>
      <c r="EA255" s="247">
        <v>3144</v>
      </c>
      <c r="EB255" s="247">
        <v>2872</v>
      </c>
      <c r="EC255" s="247">
        <v>2959</v>
      </c>
      <c r="ED255" s="247">
        <v>3462</v>
      </c>
      <c r="EE255" s="247">
        <v>4108</v>
      </c>
      <c r="EF255" s="247">
        <v>4691</v>
      </c>
    </row>
    <row r="256" spans="2:141" ht="12.75" customHeight="1" x14ac:dyDescent="0.2">
      <c r="B256" t="s">
        <v>1015</v>
      </c>
      <c r="K256" s="247">
        <v>1728</v>
      </c>
      <c r="L256" s="247">
        <v>1687</v>
      </c>
      <c r="M256" s="247">
        <v>1704</v>
      </c>
      <c r="N256" s="247">
        <v>1744</v>
      </c>
      <c r="O256" s="247">
        <v>1752</v>
      </c>
      <c r="P256" s="247">
        <v>1707</v>
      </c>
      <c r="Q256" s="247">
        <v>1722</v>
      </c>
      <c r="R256" s="247">
        <v>1723</v>
      </c>
      <c r="S256" s="247">
        <v>1631</v>
      </c>
      <c r="T256" s="247">
        <v>1530</v>
      </c>
      <c r="U256" s="247">
        <v>1609</v>
      </c>
      <c r="V256" s="247">
        <v>1550</v>
      </c>
      <c r="W256" s="247">
        <v>1604</v>
      </c>
      <c r="X256" s="247">
        <v>1649</v>
      </c>
      <c r="Y256" s="247">
        <v>1661</v>
      </c>
      <c r="Z256" s="247">
        <v>1650</v>
      </c>
      <c r="AA256" s="247">
        <v>1791</v>
      </c>
      <c r="AB256" s="247">
        <v>1819</v>
      </c>
      <c r="AC256" s="247">
        <v>1841</v>
      </c>
      <c r="AD256" s="247">
        <v>1979</v>
      </c>
      <c r="AE256" s="247">
        <v>2047</v>
      </c>
      <c r="AF256" s="247">
        <v>2000</v>
      </c>
      <c r="AG256" s="247">
        <v>2024</v>
      </c>
      <c r="AH256" s="247">
        <v>2262</v>
      </c>
      <c r="AI256" s="247">
        <v>2280</v>
      </c>
      <c r="AJ256" s="247">
        <v>2278</v>
      </c>
      <c r="AK256" s="247">
        <v>2231</v>
      </c>
      <c r="AL256" s="247">
        <v>2307</v>
      </c>
      <c r="AM256" s="247">
        <v>2355</v>
      </c>
      <c r="AN256" s="247">
        <v>2398</v>
      </c>
      <c r="AO256" s="247">
        <f t="shared" ref="AO256:BB256" si="982">AO120</f>
        <v>2456</v>
      </c>
      <c r="AP256" s="247">
        <f t="shared" si="982"/>
        <v>2565</v>
      </c>
      <c r="AQ256" s="247">
        <f t="shared" si="982"/>
        <v>3496</v>
      </c>
      <c r="AR256" s="247">
        <f t="shared" si="982"/>
        <v>3564</v>
      </c>
      <c r="AS256" s="247">
        <f t="shared" si="982"/>
        <v>3623</v>
      </c>
      <c r="AT256" s="247">
        <f t="shared" si="982"/>
        <v>3810</v>
      </c>
      <c r="AU256" s="247">
        <f t="shared" si="982"/>
        <v>4064</v>
      </c>
      <c r="AV256" s="247">
        <f t="shared" si="982"/>
        <v>4036</v>
      </c>
      <c r="AW256" s="247">
        <f t="shared" si="982"/>
        <v>4099</v>
      </c>
      <c r="AX256" s="247">
        <f t="shared" si="982"/>
        <v>3855</v>
      </c>
      <c r="AY256" s="247">
        <f t="shared" si="982"/>
        <v>3711</v>
      </c>
      <c r="AZ256" s="247">
        <f t="shared" si="982"/>
        <v>3854</v>
      </c>
      <c r="BA256" s="247">
        <f t="shared" si="982"/>
        <v>3989</v>
      </c>
      <c r="BB256" s="247">
        <f t="shared" si="982"/>
        <v>4249</v>
      </c>
      <c r="BC256" s="247"/>
      <c r="BD256" s="247"/>
      <c r="BE256" s="247"/>
      <c r="BF256" s="247"/>
      <c r="BG256" s="247"/>
      <c r="BH256" s="247"/>
      <c r="BI256" s="247"/>
      <c r="BJ256" s="247"/>
      <c r="BK256" s="247"/>
      <c r="BL256" s="247"/>
      <c r="BM256" s="247"/>
      <c r="BN256" s="247"/>
      <c r="BO256" s="247"/>
      <c r="BP256" s="247"/>
      <c r="BQ256" s="247"/>
      <c r="BR256" s="247"/>
      <c r="BS256" s="247"/>
      <c r="BT256" s="247"/>
      <c r="BU256" s="247"/>
      <c r="BV256" s="247"/>
      <c r="BW256" s="247"/>
      <c r="BX256" s="247"/>
      <c r="BY256" s="247"/>
      <c r="BZ256" s="247"/>
      <c r="CA256" s="247"/>
      <c r="CB256" s="247"/>
      <c r="CC256" s="247"/>
      <c r="CD256" s="247"/>
      <c r="CE256" s="247"/>
      <c r="CF256" s="247"/>
      <c r="CG256" s="247"/>
      <c r="CH256" s="247"/>
      <c r="CI256" s="247"/>
      <c r="CJ256" s="247"/>
      <c r="CK256" s="247"/>
      <c r="CL256" s="247"/>
      <c r="CM256" s="247"/>
      <c r="CN256" s="247"/>
      <c r="CO256" s="247"/>
      <c r="CP256" s="247"/>
      <c r="CQ256" s="247"/>
      <c r="CR256" s="247"/>
      <c r="CS256" s="247"/>
      <c r="CT256" s="247"/>
      <c r="CU256" s="247"/>
      <c r="CV256" s="247"/>
      <c r="CW256" s="247"/>
      <c r="CX256" s="247"/>
      <c r="CY256" s="247"/>
      <c r="CZ256" s="247"/>
      <c r="DA256" s="247"/>
      <c r="DB256" s="247"/>
      <c r="DC256" s="247"/>
      <c r="DD256" s="247"/>
      <c r="DE256" s="247"/>
      <c r="DF256" s="247"/>
      <c r="DG256" s="247"/>
      <c r="DH256" s="247"/>
      <c r="DI256" s="247"/>
      <c r="DJ256" s="247"/>
      <c r="DK256" s="247"/>
      <c r="DL256" s="247"/>
      <c r="DM256" s="247"/>
      <c r="DN256" s="247"/>
      <c r="DZ256" s="247">
        <v>6863</v>
      </c>
      <c r="EA256" s="247">
        <v>6904</v>
      </c>
      <c r="EB256" s="247">
        <f>EB255+EB254</f>
        <v>6321</v>
      </c>
      <c r="EC256" s="247">
        <f>EC255+EC254</f>
        <v>6564</v>
      </c>
      <c r="ED256" s="247">
        <f>ED255+ED254</f>
        <v>7430</v>
      </c>
      <c r="EE256" s="247">
        <f>EE255+EE254</f>
        <v>8333</v>
      </c>
      <c r="EF256" s="247">
        <f>EF255+EF254</f>
        <v>9096</v>
      </c>
    </row>
    <row r="259" spans="2:56" ht="12.75" customHeight="1" x14ac:dyDescent="0.2">
      <c r="B259" t="s">
        <v>1361</v>
      </c>
      <c r="AQ259" s="283">
        <v>1.3110999999999999</v>
      </c>
      <c r="AR259" s="283">
        <v>1.3483000000000001</v>
      </c>
      <c r="AS259" s="283">
        <v>1.3746</v>
      </c>
      <c r="AT259" s="283">
        <v>1.4483999999999999</v>
      </c>
      <c r="AU259" s="283">
        <v>1.4985999999999999</v>
      </c>
      <c r="AV259" s="283">
        <v>1.5633999999999999</v>
      </c>
      <c r="AW259" s="283">
        <v>1.5051000000000001</v>
      </c>
      <c r="AX259" s="283">
        <v>1.3214999999999999</v>
      </c>
      <c r="AY259" s="283">
        <v>1.3077000000000001</v>
      </c>
      <c r="AZ259" s="283">
        <v>1.3625</v>
      </c>
      <c r="BA259" s="283">
        <v>1.4298</v>
      </c>
      <c r="BB259" s="283">
        <v>1.4763999999999999</v>
      </c>
      <c r="BC259" s="283">
        <v>1.3844000000000001</v>
      </c>
      <c r="BD259" s="283">
        <v>1.3220000000000001</v>
      </c>
    </row>
    <row r="260" spans="2:56" ht="12.75" customHeight="1" x14ac:dyDescent="0.2">
      <c r="B260" t="s">
        <v>1360</v>
      </c>
      <c r="AU260" s="294">
        <f t="shared" ref="AU260:BC260" si="983">AU259/AQ259-1</f>
        <v>0.14300968652276724</v>
      </c>
      <c r="AV260" s="294">
        <f t="shared" si="983"/>
        <v>0.15953422828747299</v>
      </c>
      <c r="AW260" s="294">
        <f t="shared" si="983"/>
        <v>9.4936708860759556E-2</v>
      </c>
      <c r="AX260" s="294">
        <f t="shared" si="983"/>
        <v>-8.7613918806959457E-2</v>
      </c>
      <c r="AY260" s="294">
        <f t="shared" si="983"/>
        <v>-0.12738555985586542</v>
      </c>
      <c r="AZ260" s="294">
        <f t="shared" si="983"/>
        <v>-0.12850198285787373</v>
      </c>
      <c r="BA260" s="294">
        <f t="shared" si="983"/>
        <v>-5.002989834562499E-2</v>
      </c>
      <c r="BB260" s="294">
        <f t="shared" si="983"/>
        <v>0.11721528566023465</v>
      </c>
      <c r="BC260" s="294">
        <f t="shared" si="983"/>
        <v>5.8652596161199E-2</v>
      </c>
      <c r="BD260" s="294">
        <f>BD259/AZ259-1</f>
        <v>-2.9724770642201803E-2</v>
      </c>
    </row>
    <row r="261" spans="2:56" ht="12.75" customHeight="1" x14ac:dyDescent="0.2">
      <c r="B261" t="s">
        <v>1189</v>
      </c>
      <c r="AU261" s="294">
        <f t="shared" ref="AU261:BC261" si="984">+AU130</f>
        <v>5.0999999999999997E-2</v>
      </c>
      <c r="AV261" s="294">
        <f t="shared" si="984"/>
        <v>5.6000000000000001E-2</v>
      </c>
      <c r="AW261" s="294">
        <f t="shared" si="984"/>
        <v>3.1E-2</v>
      </c>
      <c r="AX261" s="294">
        <f t="shared" si="984"/>
        <v>-3.9E-2</v>
      </c>
      <c r="AY261" s="294">
        <f t="shared" si="984"/>
        <v>-0.06</v>
      </c>
      <c r="AZ261" s="294">
        <f t="shared" si="984"/>
        <v>-0.06</v>
      </c>
      <c r="BA261" s="294">
        <f t="shared" si="984"/>
        <v>-2.5000000000000001E-2</v>
      </c>
      <c r="BB261" s="294">
        <f t="shared" si="984"/>
        <v>4.4999999999999998E-2</v>
      </c>
      <c r="BC261" s="294">
        <f t="shared" si="984"/>
        <v>4.1000000000000002E-2</v>
      </c>
    </row>
    <row r="262" spans="2:56" ht="12.75" customHeight="1" x14ac:dyDescent="0.2">
      <c r="AU262" s="294"/>
      <c r="AV262" s="294"/>
      <c r="AW262" s="294"/>
      <c r="AX262" s="294"/>
      <c r="AY262" s="294"/>
      <c r="AZ262" s="294"/>
      <c r="BA262" s="294"/>
      <c r="BB262" s="294"/>
      <c r="BC262" s="294"/>
    </row>
    <row r="263" spans="2:56" ht="12.75" customHeight="1" x14ac:dyDescent="0.2">
      <c r="B263" t="s">
        <v>1362</v>
      </c>
      <c r="AQ263" s="243">
        <f t="shared" ref="AQ263:BD263" si="985">AQ64</f>
        <v>15087</v>
      </c>
      <c r="AR263" s="243">
        <f t="shared" si="985"/>
        <v>15142</v>
      </c>
      <c r="AS263" s="243">
        <f t="shared" si="985"/>
        <v>15007</v>
      </c>
      <c r="AT263" s="243">
        <f t="shared" si="985"/>
        <v>15957</v>
      </c>
      <c r="AU263" s="243">
        <f t="shared" si="985"/>
        <v>16194</v>
      </c>
      <c r="AV263" s="243">
        <f t="shared" si="985"/>
        <v>16450</v>
      </c>
      <c r="AW263" s="243">
        <f t="shared" si="985"/>
        <v>15921</v>
      </c>
      <c r="AX263" s="243">
        <f t="shared" si="985"/>
        <v>15182</v>
      </c>
      <c r="AY263" s="243">
        <f t="shared" si="985"/>
        <v>15026</v>
      </c>
      <c r="AZ263" s="243">
        <f t="shared" si="985"/>
        <v>15239</v>
      </c>
      <c r="BA263" s="243">
        <f t="shared" si="985"/>
        <v>15081</v>
      </c>
      <c r="BB263" s="243">
        <f t="shared" si="985"/>
        <v>16551</v>
      </c>
      <c r="BC263" s="243">
        <f t="shared" si="985"/>
        <v>15631</v>
      </c>
      <c r="BD263" s="243">
        <f t="shared" si="985"/>
        <v>15389</v>
      </c>
    </row>
    <row r="264" spans="2:56" ht="12.75" customHeight="1" x14ac:dyDescent="0.2">
      <c r="B264" t="s">
        <v>1363</v>
      </c>
      <c r="AU264" s="294">
        <f>AU263/AQ263-1</f>
        <v>7.3374428315768458E-2</v>
      </c>
      <c r="AV264" s="294">
        <f t="shared" ref="AV264:BD264" si="986">AV263/AR263-1</f>
        <v>8.6382248051776411E-2</v>
      </c>
      <c r="AW264" s="294">
        <f t="shared" si="986"/>
        <v>6.0904911041513854E-2</v>
      </c>
      <c r="AX264" s="294">
        <f t="shared" si="986"/>
        <v>-4.8568026571410683E-2</v>
      </c>
      <c r="AY264" s="294">
        <f t="shared" si="986"/>
        <v>-7.2125478572310775E-2</v>
      </c>
      <c r="AZ264" s="294">
        <f t="shared" si="986"/>
        <v>-7.3617021276595751E-2</v>
      </c>
      <c r="BA264" s="294">
        <f t="shared" si="986"/>
        <v>-5.27605049934049E-2</v>
      </c>
      <c r="BB264" s="294">
        <f t="shared" si="986"/>
        <v>9.017257278355939E-2</v>
      </c>
      <c r="BC264" s="294">
        <f t="shared" si="986"/>
        <v>4.026354319180081E-2</v>
      </c>
      <c r="BD264" s="294">
        <f t="shared" si="986"/>
        <v>9.8431655620447867E-3</v>
      </c>
    </row>
    <row r="265" spans="2:56" ht="12.75" customHeight="1" x14ac:dyDescent="0.2">
      <c r="B265" t="s">
        <v>1364</v>
      </c>
      <c r="AQ265" s="294">
        <f t="shared" ref="AQ265:AY265" si="987">+AQ128</f>
        <v>0</v>
      </c>
      <c r="AR265" s="294">
        <f t="shared" si="987"/>
        <v>0.108</v>
      </c>
      <c r="AS265" s="294">
        <f t="shared" si="987"/>
        <v>9.7000000000000003E-2</v>
      </c>
      <c r="AT265" s="294">
        <f t="shared" si="987"/>
        <v>0.11899999999999999</v>
      </c>
      <c r="AU265" s="294">
        <f t="shared" si="987"/>
        <v>2.5999999999999999E-2</v>
      </c>
      <c r="AV265" s="294">
        <f t="shared" si="987"/>
        <v>3.038224805177641E-2</v>
      </c>
      <c r="AW265" s="294">
        <f t="shared" si="987"/>
        <v>2.9904911041513854E-2</v>
      </c>
      <c r="AX265" s="294">
        <f t="shared" si="987"/>
        <v>-0.01</v>
      </c>
      <c r="AY265" s="294">
        <f t="shared" si="987"/>
        <v>-1.2E-2</v>
      </c>
      <c r="AZ265" s="294">
        <f>+AZ128</f>
        <v>-1.3617021276595753E-2</v>
      </c>
      <c r="BA265" s="294">
        <f>+BA128</f>
        <v>-2.7760504993404898E-2</v>
      </c>
      <c r="BB265" s="294">
        <f>+BB128</f>
        <v>4.5172572783559392E-2</v>
      </c>
      <c r="BC265" s="294">
        <f>+BC128</f>
        <v>-1E-3</v>
      </c>
      <c r="BD265" s="294"/>
    </row>
  </sheetData>
  <phoneticPr fontId="11" type="noConversion"/>
  <hyperlinks>
    <hyperlink ref="A1" location="Main!A1" display="Main" xr:uid="{00000000-0004-0000-0700-000000000000}"/>
  </hyperlinks>
  <pageMargins left="0.74791666666666701" right="0.74791666666666701" top="0.98402777777777795" bottom="0.98402777777777795" header="0.51180555555555596" footer="0.51180555555555596"/>
  <pageSetup scale="10" firstPageNumber="0" orientation="landscape" horizontalDpi="300" verticalDpi="300" r:id="rId1"/>
  <headerFooter alignWithMargins="0"/>
  <cellWatches>
    <cellWatch r="P3"/>
  </cellWatche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41"/>
  <sheetViews>
    <sheetView zoomScale="143" zoomScaleNormal="100" workbookViewId="0">
      <selection activeCell="C10" sqref="C10"/>
    </sheetView>
  </sheetViews>
  <sheetFormatPr defaultColWidth="9.140625" defaultRowHeight="12.75" x14ac:dyDescent="0.2"/>
  <cols>
    <col min="1" max="1" width="5.28515625" customWidth="1"/>
    <col min="2" max="2" width="14" customWidth="1"/>
  </cols>
  <sheetData>
    <row r="1" spans="1:3" x14ac:dyDescent="0.2">
      <c r="A1" s="2" t="s">
        <v>154</v>
      </c>
    </row>
    <row r="2" spans="1:3" x14ac:dyDescent="0.2">
      <c r="B2" t="s">
        <v>485</v>
      </c>
      <c r="C2" t="s">
        <v>1008</v>
      </c>
    </row>
    <row r="3" spans="1:3" x14ac:dyDescent="0.2">
      <c r="B3" t="s">
        <v>486</v>
      </c>
      <c r="C3" t="s">
        <v>1170</v>
      </c>
    </row>
    <row r="4" spans="1:3" x14ac:dyDescent="0.2">
      <c r="B4" t="s">
        <v>489</v>
      </c>
      <c r="C4" t="s">
        <v>1171</v>
      </c>
    </row>
    <row r="5" spans="1:3" x14ac:dyDescent="0.2">
      <c r="B5" t="s">
        <v>495</v>
      </c>
      <c r="C5" t="s">
        <v>1801</v>
      </c>
    </row>
    <row r="6" spans="1:3" x14ac:dyDescent="0.2">
      <c r="B6" t="s">
        <v>159</v>
      </c>
      <c r="C6" t="s">
        <v>1791</v>
      </c>
    </row>
    <row r="7" spans="1:3" x14ac:dyDescent="0.2">
      <c r="C7" t="s">
        <v>1792</v>
      </c>
    </row>
    <row r="8" spans="1:3" x14ac:dyDescent="0.2">
      <c r="B8" t="s">
        <v>163</v>
      </c>
      <c r="C8" t="s">
        <v>1938</v>
      </c>
    </row>
    <row r="9" spans="1:3" x14ac:dyDescent="0.2">
      <c r="C9" t="s">
        <v>1939</v>
      </c>
    </row>
    <row r="10" spans="1:3" x14ac:dyDescent="0.2">
      <c r="B10" t="s">
        <v>768</v>
      </c>
      <c r="C10" t="s">
        <v>1024</v>
      </c>
    </row>
    <row r="11" spans="1:3" x14ac:dyDescent="0.2">
      <c r="B11" t="s">
        <v>762</v>
      </c>
      <c r="C11" t="s">
        <v>1025</v>
      </c>
    </row>
    <row r="12" spans="1:3" x14ac:dyDescent="0.2">
      <c r="B12" t="s">
        <v>536</v>
      </c>
      <c r="C12" t="s">
        <v>1172</v>
      </c>
    </row>
    <row r="13" spans="1:3" x14ac:dyDescent="0.2">
      <c r="B13" t="s">
        <v>901</v>
      </c>
      <c r="C13" t="s">
        <v>1937</v>
      </c>
    </row>
    <row r="14" spans="1:3" x14ac:dyDescent="0.2">
      <c r="B14" t="s">
        <v>165</v>
      </c>
      <c r="C14" t="s">
        <v>1934</v>
      </c>
    </row>
    <row r="15" spans="1:3" x14ac:dyDescent="0.2">
      <c r="C15" t="s">
        <v>1935</v>
      </c>
    </row>
    <row r="16" spans="1:3" x14ac:dyDescent="0.2">
      <c r="C16" t="s">
        <v>1936</v>
      </c>
    </row>
    <row r="17" spans="2:3" x14ac:dyDescent="0.2">
      <c r="B17" t="s">
        <v>531</v>
      </c>
    </row>
    <row r="18" spans="2:3" x14ac:dyDescent="0.2">
      <c r="C18" s="184" t="s">
        <v>1804</v>
      </c>
    </row>
    <row r="19" spans="2:3" x14ac:dyDescent="0.2">
      <c r="C19" t="s">
        <v>1805</v>
      </c>
    </row>
    <row r="20" spans="2:3" x14ac:dyDescent="0.2">
      <c r="C20" t="s">
        <v>1802</v>
      </c>
    </row>
    <row r="21" spans="2:3" x14ac:dyDescent="0.2">
      <c r="C21" t="s">
        <v>1803</v>
      </c>
    </row>
    <row r="23" spans="2:3" x14ac:dyDescent="0.2">
      <c r="C23" s="184" t="s">
        <v>1809</v>
      </c>
    </row>
    <row r="24" spans="2:3" x14ac:dyDescent="0.2">
      <c r="C24" t="s">
        <v>1806</v>
      </c>
    </row>
    <row r="25" spans="2:3" x14ac:dyDescent="0.2">
      <c r="C25" t="s">
        <v>1807</v>
      </c>
    </row>
    <row r="26" spans="2:3" x14ac:dyDescent="0.2">
      <c r="C26" t="s">
        <v>1808</v>
      </c>
    </row>
    <row r="28" spans="2:3" x14ac:dyDescent="0.2">
      <c r="C28" s="184" t="s">
        <v>173</v>
      </c>
    </row>
    <row r="29" spans="2:3" x14ac:dyDescent="0.2">
      <c r="C29" t="s">
        <v>175</v>
      </c>
    </row>
    <row r="30" spans="2:3" x14ac:dyDescent="0.2">
      <c r="C30" t="s">
        <v>174</v>
      </c>
    </row>
    <row r="32" spans="2:3" x14ac:dyDescent="0.2">
      <c r="C32" s="184" t="s">
        <v>791</v>
      </c>
    </row>
    <row r="33" spans="3:3" x14ac:dyDescent="0.2">
      <c r="C33" t="s">
        <v>1021</v>
      </c>
    </row>
    <row r="34" spans="3:3" x14ac:dyDescent="0.2">
      <c r="C34" t="s">
        <v>1022</v>
      </c>
    </row>
    <row r="36" spans="3:3" x14ac:dyDescent="0.2">
      <c r="C36" t="s">
        <v>619</v>
      </c>
    </row>
    <row r="38" spans="3:3" x14ac:dyDescent="0.2">
      <c r="C38" s="184" t="s">
        <v>21</v>
      </c>
    </row>
    <row r="41" spans="3:3" x14ac:dyDescent="0.2">
      <c r="C41" s="184" t="s">
        <v>848</v>
      </c>
    </row>
  </sheetData>
  <phoneticPr fontId="11" type="noConversion"/>
  <hyperlinks>
    <hyperlink ref="A1" location="Main!A1" display="Main" xr:uid="{00000000-0004-0000-1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8716F83-28B3-4B87-B537-53701FD75276}">
  <ds:schemaRefs>
    <ds:schemaRef ds:uri="http://schemas.microsoft.com/office/2006/metadata/properties"/>
    <ds:schemaRef ds:uri="http://www.w3.org/2000/xmlns/"/>
    <ds:schemaRef ds:uri="http://schemas.microsoft.com/office/infopath/2007/PartnerControls"/>
  </ds:schemaRefs>
</ds:datastoreItem>
</file>

<file path=customXml/itemProps2.xml><?xml version="1.0" encoding="utf-8"?>
<ds:datastoreItem xmlns:ds="http://schemas.openxmlformats.org/officeDocument/2006/customXml" ds:itemID="{AAD7DD03-2363-477F-A97C-07F7D8430904}">
  <ds:schemaRefs>
    <ds:schemaRef ds:uri="http://schemas.microsoft.com/sharepoint/v3/contenttype/forms"/>
  </ds:schemaRefs>
</ds:datastoreItem>
</file>

<file path=customXml/itemProps3.xml><?xml version="1.0" encoding="utf-8"?>
<ds:datastoreItem xmlns:ds="http://schemas.openxmlformats.org/officeDocument/2006/customXml" ds:itemID="{6C780424-11E7-460A-8962-9FD1CFCB5B28}">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58</vt:i4>
      </vt:variant>
      <vt:variant>
        <vt:lpstr>Named Ranges</vt:lpstr>
      </vt:variant>
      <vt:variant>
        <vt:i4>3</vt:i4>
      </vt:variant>
    </vt:vector>
  </HeadingPairs>
  <TitlesOfParts>
    <vt:vector size="61" baseType="lpstr">
      <vt:lpstr>Management</vt:lpstr>
      <vt:lpstr>Markets</vt:lpstr>
      <vt:lpstr>Debt</vt:lpstr>
      <vt:lpstr>IMS</vt:lpstr>
      <vt:lpstr>IP</vt:lpstr>
      <vt:lpstr>Master Pipeline</vt:lpstr>
      <vt:lpstr>Main</vt:lpstr>
      <vt:lpstr>Model</vt:lpstr>
      <vt:lpstr>Stelara</vt:lpstr>
      <vt:lpstr>Remicade</vt:lpstr>
      <vt:lpstr>Imbruvica</vt:lpstr>
      <vt:lpstr>Darzalex</vt:lpstr>
      <vt:lpstr>Carvykti</vt:lpstr>
      <vt:lpstr>Talvey</vt:lpstr>
      <vt:lpstr>Tremfya</vt:lpstr>
      <vt:lpstr>Xarelto</vt:lpstr>
      <vt:lpstr>Tecvayli</vt:lpstr>
      <vt:lpstr>TAR-200</vt:lpstr>
      <vt:lpstr>icotrokinra</vt:lpstr>
      <vt:lpstr>Ponvory</vt:lpstr>
      <vt:lpstr>nipocalimab</vt:lpstr>
      <vt:lpstr>Invega</vt:lpstr>
      <vt:lpstr>Sustenna</vt:lpstr>
      <vt:lpstr>Simponi</vt:lpstr>
      <vt:lpstr>Consta</vt:lpstr>
      <vt:lpstr>Procrit</vt:lpstr>
      <vt:lpstr>Velcade</vt:lpstr>
      <vt:lpstr>Topamax</vt:lpstr>
      <vt:lpstr>Prezista</vt:lpstr>
      <vt:lpstr>Rybrevant</vt:lpstr>
      <vt:lpstr>Intelence</vt:lpstr>
      <vt:lpstr>Concerta</vt:lpstr>
      <vt:lpstr>Contraceptives</vt:lpstr>
      <vt:lpstr>riplivirine</vt:lpstr>
      <vt:lpstr>canagliflozin</vt:lpstr>
      <vt:lpstr>abiraterone</vt:lpstr>
      <vt:lpstr>Consumer</vt:lpstr>
      <vt:lpstr>telaprevir</vt:lpstr>
      <vt:lpstr>Consumer Model</vt:lpstr>
      <vt:lpstr>MD&amp;D</vt:lpstr>
      <vt:lpstr>DePuy</vt:lpstr>
      <vt:lpstr>DePuy Model</vt:lpstr>
      <vt:lpstr>LifeScan</vt:lpstr>
      <vt:lpstr>Vision</vt:lpstr>
      <vt:lpstr>Cardiovascular</vt:lpstr>
      <vt:lpstr>EndoSurgery</vt:lpstr>
      <vt:lpstr>Ethicon</vt:lpstr>
      <vt:lpstr>Ultram</vt:lpstr>
      <vt:lpstr>Acquisitions</vt:lpstr>
      <vt:lpstr>Levaquin</vt:lpstr>
      <vt:lpstr>Aciphex</vt:lpstr>
      <vt:lpstr>Doripenem</vt:lpstr>
      <vt:lpstr>Tapentadol</vt:lpstr>
      <vt:lpstr>Comfyde</vt:lpstr>
      <vt:lpstr>Natrecor</vt:lpstr>
      <vt:lpstr>Diagnostics</vt:lpstr>
      <vt:lpstr>Risperdal</vt:lpstr>
      <vt:lpstr>Duragesic</vt:lpstr>
      <vt:lpstr>'Consumer Model'!Print_Area</vt:lpstr>
      <vt:lpstr>'DePuy Model'!Print_Area</vt:lpstr>
      <vt:lpstr>'MD&amp;D'!Print_Area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cp:lastPrinted>2011-12-31T06:22:52Z</cp:lastPrinted>
  <dcterms:created xsi:type="dcterms:W3CDTF">2008-05-22T22:15:03Z</dcterms:created>
  <dcterms:modified xsi:type="dcterms:W3CDTF">2025-04-17T04:24:26Z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