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2B839B4-7E92-420A-B24D-A374396D5CDE}" xr6:coauthVersionLast="47" xr6:coauthVersionMax="47" xr10:uidLastSave="{00000000-0000-0000-0000-000000000000}"/>
  <bookViews>
    <workbookView xWindow="-20070" yWindow="810" windowWidth="19935" windowHeight="16380" xr2:uid="{023094E3-E1C0-4108-8BD9-8EDCA3D810D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2" l="1"/>
  <c r="R14" i="2"/>
  <c r="R15" i="2" s="1"/>
  <c r="R12" i="2"/>
  <c r="R10" i="2"/>
  <c r="R9" i="2"/>
  <c r="N18" i="2"/>
  <c r="Y18" i="2"/>
  <c r="X3" i="2"/>
  <c r="C3" i="2"/>
  <c r="F3" i="2" s="1"/>
  <c r="G3" i="2"/>
  <c r="J3" i="2" s="1"/>
  <c r="AA16" i="2"/>
  <c r="AA13" i="2"/>
  <c r="AA11" i="2"/>
  <c r="AA8" i="2"/>
  <c r="AA7" i="2"/>
  <c r="AA6" i="2"/>
  <c r="AA4" i="2"/>
  <c r="Z16" i="2"/>
  <c r="Y9" i="2"/>
  <c r="Y5" i="2"/>
  <c r="N11" i="2"/>
  <c r="Z11" i="2" s="1"/>
  <c r="N8" i="2"/>
  <c r="Z8" i="2" s="1"/>
  <c r="AA3" i="2"/>
  <c r="N7" i="2"/>
  <c r="Z7" i="2" s="1"/>
  <c r="N6" i="2"/>
  <c r="Z6" i="2" s="1"/>
  <c r="N4" i="2"/>
  <c r="Z4" i="2" s="1"/>
  <c r="N3" i="2"/>
  <c r="N5" i="2" s="1"/>
  <c r="P18" i="2"/>
  <c r="O18" i="2"/>
  <c r="Q18" i="2"/>
  <c r="K9" i="2"/>
  <c r="K5" i="2"/>
  <c r="O9" i="2"/>
  <c r="O5" i="2"/>
  <c r="L9" i="2"/>
  <c r="L5" i="2"/>
  <c r="P9" i="2"/>
  <c r="P5" i="2"/>
  <c r="Q9" i="2"/>
  <c r="M9" i="2"/>
  <c r="M5" i="2"/>
  <c r="Q5" i="2"/>
  <c r="L6" i="1"/>
  <c r="L5" i="1"/>
  <c r="L3" i="1"/>
  <c r="L4" i="1" s="1"/>
  <c r="L7" i="1" s="1"/>
  <c r="M10" i="2" l="1"/>
  <c r="M12" i="2" s="1"/>
  <c r="M14" i="2" s="1"/>
  <c r="M15" i="2" s="1"/>
  <c r="AA9" i="2"/>
  <c r="Z3" i="2"/>
  <c r="Z5" i="2" s="1"/>
  <c r="Q10" i="2"/>
  <c r="Q12" i="2" s="1"/>
  <c r="Q14" i="2" s="1"/>
  <c r="Q15" i="2" s="1"/>
  <c r="AA18" i="2"/>
  <c r="AA5" i="2"/>
  <c r="AA10" i="2" s="1"/>
  <c r="AA12" i="2" s="1"/>
  <c r="AA14" i="2" s="1"/>
  <c r="AA15" i="2" s="1"/>
  <c r="Z9" i="2"/>
  <c r="Z10" i="2" s="1"/>
  <c r="Z12" i="2" s="1"/>
  <c r="Z14" i="2" s="1"/>
  <c r="Z15" i="2" s="1"/>
  <c r="R18" i="2"/>
  <c r="Z18" i="2"/>
  <c r="Y10" i="2"/>
  <c r="Y12" i="2" s="1"/>
  <c r="Y14" i="2" s="1"/>
  <c r="Y15" i="2" s="1"/>
  <c r="N9" i="2"/>
  <c r="N10" i="2" s="1"/>
  <c r="N12" i="2" s="1"/>
  <c r="N14" i="2" s="1"/>
  <c r="N15" i="2" s="1"/>
  <c r="K10" i="2"/>
  <c r="K12" i="2" s="1"/>
  <c r="K14" i="2" s="1"/>
  <c r="K15" i="2" s="1"/>
  <c r="O10" i="2"/>
  <c r="O12" i="2" s="1"/>
  <c r="O14" i="2" s="1"/>
  <c r="O15" i="2" s="1"/>
  <c r="L10" i="2"/>
  <c r="L12" i="2" s="1"/>
  <c r="L14" i="2" s="1"/>
  <c r="L15" i="2" s="1"/>
  <c r="P10" i="2"/>
  <c r="P12" i="2" s="1"/>
  <c r="P14" i="2" s="1"/>
  <c r="P15" i="2" s="1"/>
</calcChain>
</file>

<file path=xl/sharedStrings.xml><?xml version="1.0" encoding="utf-8"?>
<sst xmlns="http://schemas.openxmlformats.org/spreadsheetml/2006/main" count="49" uniqueCount="43">
  <si>
    <t>Price</t>
  </si>
  <si>
    <t>Shares</t>
  </si>
  <si>
    <t>MC</t>
  </si>
  <si>
    <t>Cash</t>
  </si>
  <si>
    <t>Debt</t>
  </si>
  <si>
    <t>EV</t>
  </si>
  <si>
    <t>Q324</t>
  </si>
  <si>
    <t>PIC</t>
  </si>
  <si>
    <t>AD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</si>
  <si>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</si>
  <si>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</si>
  <si>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</si>
  <si>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</si>
  <si>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</si>
  <si>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</si>
  <si>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</si>
  <si>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</si>
  <si>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</si>
  <si>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</si>
  <si>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</si>
  <si>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</si>
  <si>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</si>
  <si>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COGS</t>
  </si>
  <si>
    <t>Gross Profit</t>
  </si>
  <si>
    <t>R&amp;D</t>
  </si>
  <si>
    <t>G&amp;A</t>
  </si>
  <si>
    <t>S&amp;M</t>
  </si>
  <si>
    <t>Operating Expenses</t>
  </si>
  <si>
    <t>Operating Income</t>
  </si>
  <si>
    <t>Interest</t>
  </si>
  <si>
    <t>Pretax Income</t>
  </si>
  <si>
    <t>Taxes</t>
  </si>
  <si>
    <t>Net Income</t>
  </si>
  <si>
    <t>EPS</t>
  </si>
  <si>
    <t>Q125</t>
  </si>
  <si>
    <t>Q225</t>
  </si>
  <si>
    <t>Q325</t>
  </si>
  <si>
    <t>Q425</t>
  </si>
  <si>
    <t>Revenue y/y</t>
  </si>
  <si>
    <t>Q121</t>
  </si>
  <si>
    <t>Q221</t>
  </si>
  <si>
    <t>Q321</t>
  </si>
  <si>
    <t>Q421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</si>
</sst>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4" fillId="0" borderId="0" xfId="1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C333C01-7D09-445D-8CFE-3D4EACCB72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31750</xdr:colOff>
      <xdr:row>0</xdr:row>
      <xdr:rowOff>31750</xdr:rowOff>
    </xdr:from>
    <xdr:to>
      <xdr:col>17</xdr:col>
      <xdr:colOff>31750</xdr:colOff>
      <xdr:row>61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F90029F-A208-618D-AB14-0EB2D7E1CDC4}"/>
            </a:ext>
          </a:extLst>
        </xdr:cNvPr>
        <xdr:cNvCxnSpPr/>
      </xdr:nvCxnSpPr>
      <xdr:spPr>
        <a:xfrm>
          <a:off x="8261350" y="31750"/>
          <a:ext cx="0" cy="9766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C58F-560C-4ADB-A46B-8738912F1791}">
  <dimension ref="K2:M10"/>
  <sheetViews>
    <sheetView tabSelected="1" zoomScale="145" zoomScaleNormal="145" workbookViewId="0">
      <selection activeCell="L2" sqref="L2"/>
    </sheetView>
  </sheetViews>
  <sheetFormatPr defaultColWidth="8.7109375" defaultRowHeight="12.75" x14ac:dyDescent="0.2"/>
  <cols>
    <col min="1" max="16384" width="8.7109375" style="1"/>
  </cols>
  <sheetData>
    <row r="2" spans="11:13" x14ac:dyDescent="0.2">
      <c r="K2" s="1" t="s">
        <v>0</v>
      </c>
      <c r="L2" s="2">
        <v>10</v>
      </c>
    </row>
    <row r="3" spans="11:13" x14ac:dyDescent="0.2">
      <c r="K3" s="1" t="s">
        <v>1</v>
      </c>
      <c r="L3" s="3">
        <f>36+180.252641+43.762188</f>
        <v>260.01482900000002</v>
      </c>
      <c r="M3" s="4" t="s">
        <v>6</v>
      </c>
    </row>
    <row r="4" spans="11:13" x14ac:dyDescent="0.2">
      <c r="K4" s="1" t="s">
        <v>2</v>
      </c>
      <c r="L4" s="3">
        <f>+L2*L3</f>
        <v>2600.1482900000001</v>
      </c>
      <c r="M4" s="4"/>
    </row>
    <row r="5" spans="11:13" x14ac:dyDescent="0.2">
      <c r="K5" s="1" t="s">
        <v>3</v>
      </c>
      <c r="L5" s="3">
        <f>170+29.27</f>
        <v>199.27</v>
      </c>
      <c r="M5" s="4" t="s">
        <v>6</v>
      </c>
    </row>
    <row r="6" spans="11:13" x14ac:dyDescent="0.2">
      <c r="K6" s="1" t="s">
        <v>4</v>
      </c>
      <c r="L6" s="3">
        <f>14.07+32.013</f>
        <v>46.082999999999998</v>
      </c>
      <c r="M6" s="4" t="s">
        <v>6</v>
      </c>
    </row>
    <row r="7" spans="11:13" x14ac:dyDescent="0.2">
      <c r="K7" s="1" t="s">
        <v>5</v>
      </c>
      <c r="L7" s="3">
        <f>+L4-L5+L6</f>
        <v>2446.9612900000002</v>
      </c>
    </row>
    <row r="9" spans="11:13" x14ac:dyDescent="0.2">
      <c r="K9" s="1" t="s">
        <v>7</v>
      </c>
      <c r="L9" s="3">
        <v>534.52700000000004</v>
      </c>
      <c r="M9" s="4" t="s">
        <v>6</v>
      </c>
    </row>
    <row r="10" spans="11:13" x14ac:dyDescent="0.2">
      <c r="K10" s="1" t="s">
        <v>8</v>
      </c>
      <c r="L10" s="3">
        <v>540.86300000000006</v>
      </c>
      <c r="M10" s="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8220-2C4E-40EE-8452-F9F198344058}">
  <dimension ref="A1:AA18"/>
  <sheetViews>
    <sheetView zoomScale="175" zoomScaleNormal="175" workbookViewId="0">
      <pane xSplit="2" ySplit="2" topLeftCell="E3" activePane="bottomRight" state="frozen"/>
      <selection pane="topRight" activeCell="C1" sqref="C1"/>
      <selection pane="bottomLeft" activeCell="A3" sqref="A3"/>
      <selection pane="bottomRight"/>
    </sheetView>
  </sheetViews>
  <sheetFormatPr defaultColWidth="8.7109375" defaultRowHeight="12.75" x14ac:dyDescent="0.2"/>
  <cols>
    <col min="1" max="1" width="4.5703125" style="1" bestFit="1" customWidth="1"/>
    <col min="2" max="2" width="17.140625" style="1" bestFit="1" customWidth="1"/>
    <col min="3" max="22" width="8.7109375" style="4"/>
    <col min="23" max="16384" width="8.7109375" style="1"/>
  </cols>
  <sheetData>
    <row r="1" spans="1:27" x14ac:dyDescent="0.2">
      <c r="A1" s="10" t="s">
        <v>9</v>
      </c>
    </row>
    <row r="2" spans="1:27" x14ac:dyDescent="0.2">
      <c r="C2" s="4" t="s">
        <v>39</v>
      </c>
      <c r="D2" s="4" t="s">
        <v>40</v>
      </c>
      <c r="E2" s="4" t="s">
        <v>41</v>
      </c>
      <c r="F2" s="4" t="s">
        <v>42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6</v>
      </c>
      <c r="R2" s="4" t="s">
        <v>21</v>
      </c>
      <c r="S2" s="4" t="s">
        <v>34</v>
      </c>
      <c r="T2" s="4" t="s">
        <v>35</v>
      </c>
      <c r="U2" s="4" t="s">
        <v>36</v>
      </c>
      <c r="V2" s="4" t="s">
        <v>37</v>
      </c>
      <c r="X2" s="1">
        <v>2021</v>
      </c>
      <c r="Y2" s="1">
        <v>2022</v>
      </c>
      <c r="Z2" s="1">
        <v>2023</v>
      </c>
      <c r="AA2" s="1">
        <v>2024</v>
      </c>
    </row>
    <row r="3" spans="1:27" s="7" customFormat="1" x14ac:dyDescent="0.2">
      <c r="B3" s="7" t="s">
        <v>10</v>
      </c>
      <c r="C3" s="8">
        <f>2546-D3</f>
        <v>1409</v>
      </c>
      <c r="D3" s="8">
        <v>1137</v>
      </c>
      <c r="E3" s="8">
        <v>1307</v>
      </c>
      <c r="F3" s="8">
        <f>6279-E3-D3-C3</f>
        <v>2426</v>
      </c>
      <c r="G3" s="8">
        <f>3083-H3</f>
        <v>1712</v>
      </c>
      <c r="H3" s="8">
        <v>1371</v>
      </c>
      <c r="I3" s="8">
        <v>1695</v>
      </c>
      <c r="J3" s="8">
        <f>7173-I3-H3-G3</f>
        <v>2395</v>
      </c>
      <c r="K3" s="8">
        <v>1583</v>
      </c>
      <c r="L3" s="8">
        <v>1707</v>
      </c>
      <c r="M3" s="8">
        <v>2562</v>
      </c>
      <c r="N3" s="8">
        <f>8758-M3-K3-K3</f>
        <v>3030</v>
      </c>
      <c r="O3" s="8">
        <v>2465</v>
      </c>
      <c r="P3" s="8">
        <v>2183</v>
      </c>
      <c r="Q3" s="8">
        <v>1870</v>
      </c>
      <c r="R3" s="8">
        <v>2200</v>
      </c>
      <c r="S3" s="8"/>
      <c r="T3" s="8"/>
      <c r="U3" s="8"/>
      <c r="V3" s="8"/>
      <c r="X3" s="7">
        <f>SUM(C3:F3)</f>
        <v>6279</v>
      </c>
      <c r="Y3" s="8">
        <v>7173</v>
      </c>
      <c r="Z3" s="7">
        <f>SUM(K3:N3)</f>
        <v>8882</v>
      </c>
      <c r="AA3" s="7">
        <f>SUM(O3:R3)</f>
        <v>8718</v>
      </c>
    </row>
    <row r="4" spans="1:27" s="3" customFormat="1" x14ac:dyDescent="0.2">
      <c r="B4" s="3" t="s">
        <v>22</v>
      </c>
      <c r="C4" s="5"/>
      <c r="D4" s="5"/>
      <c r="E4" s="5"/>
      <c r="F4" s="5"/>
      <c r="G4" s="5"/>
      <c r="H4" s="5"/>
      <c r="I4" s="5"/>
      <c r="J4" s="5"/>
      <c r="K4" s="5">
        <v>1162</v>
      </c>
      <c r="L4" s="5">
        <v>1002</v>
      </c>
      <c r="M4" s="5">
        <v>1033</v>
      </c>
      <c r="N4" s="5">
        <f>4136-M4-L4-K4</f>
        <v>939</v>
      </c>
      <c r="O4" s="5">
        <v>806</v>
      </c>
      <c r="P4" s="5">
        <v>795</v>
      </c>
      <c r="Q4" s="5">
        <v>827</v>
      </c>
      <c r="R4" s="5"/>
      <c r="S4" s="5"/>
      <c r="T4" s="5"/>
      <c r="U4" s="5"/>
      <c r="V4" s="5"/>
      <c r="Y4" s="5">
        <v>2923</v>
      </c>
      <c r="Z4" s="3">
        <f>SUM(K4:N4)</f>
        <v>4136</v>
      </c>
      <c r="AA4" s="3">
        <f>SUM(O4:R4)</f>
        <v>2428</v>
      </c>
    </row>
    <row r="5" spans="1:27" s="3" customFormat="1" x14ac:dyDescent="0.2">
      <c r="B5" s="3" t="s">
        <v>23</v>
      </c>
      <c r="C5" s="5"/>
      <c r="D5" s="5"/>
      <c r="E5" s="5"/>
      <c r="F5" s="5"/>
      <c r="G5" s="5"/>
      <c r="H5" s="5"/>
      <c r="I5" s="5"/>
      <c r="J5" s="5"/>
      <c r="K5" s="5">
        <f t="shared" ref="K5:Q5" si="0">+K3-K4</f>
        <v>421</v>
      </c>
      <c r="L5" s="5">
        <f t="shared" si="0"/>
        <v>705</v>
      </c>
      <c r="M5" s="5">
        <f t="shared" si="0"/>
        <v>1529</v>
      </c>
      <c r="N5" s="5">
        <f t="shared" si="0"/>
        <v>2091</v>
      </c>
      <c r="O5" s="5">
        <f t="shared" si="0"/>
        <v>1659</v>
      </c>
      <c r="P5" s="5">
        <f t="shared" si="0"/>
        <v>1388</v>
      </c>
      <c r="Q5" s="5">
        <f t="shared" si="0"/>
        <v>1043</v>
      </c>
      <c r="R5" s="5"/>
      <c r="S5" s="5"/>
      <c r="T5" s="5"/>
      <c r="U5" s="5"/>
      <c r="V5" s="5"/>
      <c r="Y5" s="5">
        <f>+Y3-Y4</f>
        <v>4250</v>
      </c>
      <c r="Z5" s="3">
        <f>+Z3-Z4</f>
        <v>4746</v>
      </c>
      <c r="AA5" s="3">
        <f>+AA3-AA4</f>
        <v>6290</v>
      </c>
    </row>
    <row r="6" spans="1:27" s="3" customFormat="1" x14ac:dyDescent="0.2">
      <c r="B6" s="3" t="s">
        <v>24</v>
      </c>
      <c r="C6" s="5"/>
      <c r="D6" s="5"/>
      <c r="E6" s="5"/>
      <c r="F6" s="5"/>
      <c r="G6" s="5"/>
      <c r="H6" s="5"/>
      <c r="I6" s="5"/>
      <c r="J6" s="5"/>
      <c r="K6" s="5">
        <v>10915</v>
      </c>
      <c r="L6" s="5">
        <v>9548</v>
      </c>
      <c r="M6" s="5">
        <v>9459</v>
      </c>
      <c r="N6" s="5">
        <f>37878-M6-L6-K6</f>
        <v>7956</v>
      </c>
      <c r="O6" s="5">
        <v>8525</v>
      </c>
      <c r="P6" s="5">
        <v>8355</v>
      </c>
      <c r="Q6" s="5">
        <v>8668</v>
      </c>
      <c r="R6" s="5"/>
      <c r="S6" s="5"/>
      <c r="T6" s="5"/>
      <c r="U6" s="5"/>
      <c r="V6" s="5"/>
      <c r="Y6" s="5">
        <v>32101</v>
      </c>
      <c r="Z6" s="3">
        <f t="shared" ref="Z6:Z8" si="1">SUM(K6:N6)</f>
        <v>37878</v>
      </c>
      <c r="AA6" s="3">
        <f t="shared" ref="AA6:AA8" si="2">SUM(O6:R6)</f>
        <v>25548</v>
      </c>
    </row>
    <row r="7" spans="1:27" s="3" customFormat="1" x14ac:dyDescent="0.2">
      <c r="B7" s="3" t="s">
        <v>25</v>
      </c>
      <c r="C7" s="5"/>
      <c r="D7" s="5"/>
      <c r="E7" s="5"/>
      <c r="F7" s="5"/>
      <c r="G7" s="5"/>
      <c r="H7" s="5"/>
      <c r="I7" s="5"/>
      <c r="J7" s="5"/>
      <c r="K7" s="5">
        <v>11296</v>
      </c>
      <c r="L7" s="5">
        <v>9576</v>
      </c>
      <c r="M7" s="5">
        <v>8003</v>
      </c>
      <c r="N7" s="5">
        <f>37014-M7-L7-K7</f>
        <v>8139</v>
      </c>
      <c r="O7" s="5">
        <v>7566</v>
      </c>
      <c r="P7" s="5">
        <v>7471</v>
      </c>
      <c r="Q7" s="5">
        <v>9259</v>
      </c>
      <c r="R7" s="5"/>
      <c r="S7" s="5"/>
      <c r="T7" s="5"/>
      <c r="U7" s="5"/>
      <c r="V7" s="5"/>
      <c r="Y7" s="5">
        <v>21539</v>
      </c>
      <c r="Z7" s="3">
        <f t="shared" si="1"/>
        <v>37014</v>
      </c>
      <c r="AA7" s="3">
        <f t="shared" si="2"/>
        <v>24296</v>
      </c>
    </row>
    <row r="8" spans="1:27" s="3" customFormat="1" x14ac:dyDescent="0.2">
      <c r="B8" s="3" t="s">
        <v>26</v>
      </c>
      <c r="C8" s="5"/>
      <c r="D8" s="5"/>
      <c r="E8" s="5"/>
      <c r="F8" s="5"/>
      <c r="G8" s="5"/>
      <c r="H8" s="5"/>
      <c r="I8" s="5"/>
      <c r="J8" s="5"/>
      <c r="K8" s="5">
        <v>2900</v>
      </c>
      <c r="L8" s="5">
        <v>2488</v>
      </c>
      <c r="M8" s="5">
        <v>2474</v>
      </c>
      <c r="N8" s="5">
        <f>10276-M8-L8-K8</f>
        <v>2414</v>
      </c>
      <c r="O8" s="5">
        <v>3084</v>
      </c>
      <c r="P8" s="5">
        <v>4401</v>
      </c>
      <c r="Q8" s="5">
        <v>3752</v>
      </c>
      <c r="R8" s="5"/>
      <c r="S8" s="5"/>
      <c r="T8" s="5"/>
      <c r="U8" s="5"/>
      <c r="V8" s="5"/>
      <c r="Y8" s="5">
        <v>10068</v>
      </c>
      <c r="Z8" s="3">
        <f t="shared" si="1"/>
        <v>10276</v>
      </c>
      <c r="AA8" s="3">
        <f t="shared" si="2"/>
        <v>11237</v>
      </c>
    </row>
    <row r="9" spans="1:27" s="3" customFormat="1" x14ac:dyDescent="0.2">
      <c r="B9" s="3" t="s">
        <v>27</v>
      </c>
      <c r="C9" s="5"/>
      <c r="D9" s="5"/>
      <c r="E9" s="5"/>
      <c r="F9" s="5"/>
      <c r="G9" s="5"/>
      <c r="H9" s="5"/>
      <c r="I9" s="5"/>
      <c r="J9" s="5"/>
      <c r="K9" s="5">
        <f t="shared" ref="K9:Q9" si="3">SUM(K6:K8)</f>
        <v>25111</v>
      </c>
      <c r="L9" s="5">
        <f t="shared" si="3"/>
        <v>21612</v>
      </c>
      <c r="M9" s="5">
        <f t="shared" si="3"/>
        <v>19936</v>
      </c>
      <c r="N9" s="5">
        <f t="shared" si="3"/>
        <v>18509</v>
      </c>
      <c r="O9" s="5">
        <f t="shared" si="3"/>
        <v>19175</v>
      </c>
      <c r="P9" s="5">
        <f t="shared" si="3"/>
        <v>20227</v>
      </c>
      <c r="Q9" s="5">
        <f t="shared" si="3"/>
        <v>21679</v>
      </c>
      <c r="R9" s="5">
        <f t="shared" ref="R9" si="4">SUM(R6:R8)</f>
        <v>0</v>
      </c>
      <c r="S9" s="5"/>
      <c r="T9" s="5"/>
      <c r="U9" s="5"/>
      <c r="V9" s="5"/>
      <c r="Y9" s="5">
        <f>SUM(Y6:Y8)</f>
        <v>63708</v>
      </c>
      <c r="Z9" s="5">
        <f>SUM(Z6:Z8)</f>
        <v>85168</v>
      </c>
      <c r="AA9" s="5">
        <f>SUM(AA6:AA8)</f>
        <v>61081</v>
      </c>
    </row>
    <row r="10" spans="1:27" s="3" customFormat="1" x14ac:dyDescent="0.2">
      <c r="B10" s="3" t="s">
        <v>28</v>
      </c>
      <c r="C10" s="5"/>
      <c r="D10" s="5"/>
      <c r="E10" s="5"/>
      <c r="F10" s="5"/>
      <c r="G10" s="5"/>
      <c r="H10" s="5"/>
      <c r="I10" s="5"/>
      <c r="J10" s="5"/>
      <c r="K10" s="5">
        <f t="shared" ref="K10:Q10" si="5">+K5-K9</f>
        <v>-24690</v>
      </c>
      <c r="L10" s="5">
        <f t="shared" si="5"/>
        <v>-20907</v>
      </c>
      <c r="M10" s="5">
        <f t="shared" si="5"/>
        <v>-18407</v>
      </c>
      <c r="N10" s="5">
        <f t="shared" si="5"/>
        <v>-16418</v>
      </c>
      <c r="O10" s="5">
        <f t="shared" si="5"/>
        <v>-17516</v>
      </c>
      <c r="P10" s="5">
        <f t="shared" si="5"/>
        <v>-18839</v>
      </c>
      <c r="Q10" s="5">
        <f t="shared" si="5"/>
        <v>-20636</v>
      </c>
      <c r="R10" s="5">
        <f t="shared" ref="R10" si="6">+R5-R9</f>
        <v>0</v>
      </c>
      <c r="S10" s="5"/>
      <c r="T10" s="5"/>
      <c r="U10" s="5"/>
      <c r="V10" s="5"/>
      <c r="Y10" s="5">
        <f>+Y5-Y9</f>
        <v>-59458</v>
      </c>
      <c r="Z10" s="5">
        <f>+Z5-Z9</f>
        <v>-80422</v>
      </c>
      <c r="AA10" s="5">
        <f>+AA5-AA9</f>
        <v>-54791</v>
      </c>
    </row>
    <row r="11" spans="1:27" x14ac:dyDescent="0.2">
      <c r="B11" s="1" t="s">
        <v>29</v>
      </c>
      <c r="K11" s="5">
        <v>-212</v>
      </c>
      <c r="L11" s="5">
        <v>-575</v>
      </c>
      <c r="M11" s="5">
        <v>-1035</v>
      </c>
      <c r="N11" s="5">
        <f>-37-M11-L11-K11-2118</f>
        <v>-333</v>
      </c>
      <c r="O11" s="5">
        <v>-1140</v>
      </c>
      <c r="P11" s="5">
        <v>-1160</v>
      </c>
      <c r="Q11" s="5">
        <v>-1180</v>
      </c>
      <c r="Y11" s="5">
        <v>-2335</v>
      </c>
      <c r="Z11" s="3">
        <f t="shared" ref="Z11" si="7">SUM(K11:N11)</f>
        <v>-2155</v>
      </c>
      <c r="AA11" s="3">
        <f t="shared" ref="AA11:AA13" si="8">SUM(O11:R11)</f>
        <v>-3480</v>
      </c>
    </row>
    <row r="12" spans="1:27" x14ac:dyDescent="0.2">
      <c r="B12" s="1" t="s">
        <v>30</v>
      </c>
      <c r="K12" s="5">
        <f t="shared" ref="K12:R12" si="9">+K10+K11</f>
        <v>-24902</v>
      </c>
      <c r="L12" s="5">
        <f t="shared" si="9"/>
        <v>-21482</v>
      </c>
      <c r="M12" s="5">
        <f t="shared" si="9"/>
        <v>-19442</v>
      </c>
      <c r="N12" s="5">
        <f t="shared" si="9"/>
        <v>-16751</v>
      </c>
      <c r="O12" s="5">
        <f t="shared" si="9"/>
        <v>-18656</v>
      </c>
      <c r="P12" s="5">
        <f t="shared" si="9"/>
        <v>-19999</v>
      </c>
      <c r="Q12" s="5">
        <f t="shared" si="9"/>
        <v>-21816</v>
      </c>
      <c r="R12" s="5">
        <f t="shared" si="9"/>
        <v>0</v>
      </c>
      <c r="Y12" s="5">
        <f>+Y10+Y11</f>
        <v>-61793</v>
      </c>
      <c r="Z12" s="5">
        <f>+Z10+Z11</f>
        <v>-82577</v>
      </c>
      <c r="AA12" s="5">
        <f>+AA10+AA11</f>
        <v>-58271</v>
      </c>
    </row>
    <row r="13" spans="1:27" x14ac:dyDescent="0.2">
      <c r="B13" s="1" t="s">
        <v>31</v>
      </c>
      <c r="K13" s="5">
        <v>0</v>
      </c>
      <c r="L13" s="5">
        <v>0</v>
      </c>
      <c r="M13" s="5">
        <v>0</v>
      </c>
      <c r="N13" s="4">
        <v>0</v>
      </c>
      <c r="O13" s="5">
        <v>0</v>
      </c>
      <c r="P13" s="5">
        <v>0</v>
      </c>
      <c r="Q13" s="5">
        <v>0</v>
      </c>
      <c r="R13" s="5">
        <v>0</v>
      </c>
      <c r="Y13" s="5">
        <v>0</v>
      </c>
      <c r="Z13" s="1">
        <v>0</v>
      </c>
      <c r="AA13" s="3">
        <f t="shared" si="8"/>
        <v>0</v>
      </c>
    </row>
    <row r="14" spans="1:27" x14ac:dyDescent="0.2">
      <c r="B14" s="1" t="s">
        <v>32</v>
      </c>
      <c r="K14" s="5">
        <f t="shared" ref="K14:R14" si="10">+K12-K13</f>
        <v>-24902</v>
      </c>
      <c r="L14" s="5">
        <f t="shared" si="10"/>
        <v>-21482</v>
      </c>
      <c r="M14" s="5">
        <f t="shared" si="10"/>
        <v>-19442</v>
      </c>
      <c r="N14" s="5">
        <f t="shared" si="10"/>
        <v>-16751</v>
      </c>
      <c r="O14" s="5">
        <f t="shared" si="10"/>
        <v>-18656</v>
      </c>
      <c r="P14" s="5">
        <f t="shared" si="10"/>
        <v>-19999</v>
      </c>
      <c r="Q14" s="5">
        <f t="shared" si="10"/>
        <v>-21816</v>
      </c>
      <c r="R14" s="5">
        <f t="shared" si="10"/>
        <v>0</v>
      </c>
      <c r="Y14" s="5">
        <f>+Y12-Y13</f>
        <v>-61793</v>
      </c>
      <c r="Z14" s="5">
        <f>+Z12-Z13</f>
        <v>-82577</v>
      </c>
      <c r="AA14" s="5">
        <f>+AA12-AA13</f>
        <v>-58271</v>
      </c>
    </row>
    <row r="15" spans="1:27" x14ac:dyDescent="0.2">
      <c r="B15" s="1" t="s">
        <v>33</v>
      </c>
      <c r="K15" s="6">
        <f t="shared" ref="K15:R15" si="11">+K14/K16</f>
        <v>-0.20221838160866129</v>
      </c>
      <c r="L15" s="6">
        <f t="shared" si="11"/>
        <v>-0.16870075204552409</v>
      </c>
      <c r="M15" s="6">
        <f t="shared" si="11"/>
        <v>-0.14593556466674945</v>
      </c>
      <c r="N15" s="6">
        <f t="shared" si="11"/>
        <v>-0.12138956800184031</v>
      </c>
      <c r="O15" s="6">
        <f t="shared" si="11"/>
        <v>-0.11565417294526779</v>
      </c>
      <c r="P15" s="6">
        <f t="shared" si="11"/>
        <v>-0.11617930930677366</v>
      </c>
      <c r="Q15" s="6">
        <f t="shared" si="11"/>
        <v>-0.10822205182749896</v>
      </c>
      <c r="R15" s="6">
        <f t="shared" si="11"/>
        <v>0</v>
      </c>
      <c r="Y15" s="6">
        <f>+Y14/Y16</f>
        <v>-0.51645756861826186</v>
      </c>
      <c r="Z15" s="6">
        <f>+Z14/Z16</f>
        <v>-0.59841122063685559</v>
      </c>
      <c r="AA15" s="6">
        <f>+AA14/AA16</f>
        <v>-0.28906340218372717</v>
      </c>
    </row>
    <row r="16" spans="1:27" s="3" customFormat="1" x14ac:dyDescent="0.2">
      <c r="B16" s="3" t="s">
        <v>1</v>
      </c>
      <c r="C16" s="5"/>
      <c r="D16" s="5"/>
      <c r="E16" s="5"/>
      <c r="F16" s="5"/>
      <c r="G16" s="5"/>
      <c r="H16" s="5"/>
      <c r="I16" s="5"/>
      <c r="J16" s="5"/>
      <c r="K16" s="5">
        <v>123144.09699999999</v>
      </c>
      <c r="L16" s="5">
        <v>127337.90300000001</v>
      </c>
      <c r="M16" s="5">
        <v>133223.18</v>
      </c>
      <c r="N16" s="5">
        <v>137993.736</v>
      </c>
      <c r="O16" s="5">
        <v>161308.49</v>
      </c>
      <c r="P16" s="5">
        <v>172139.08499999999</v>
      </c>
      <c r="Q16" s="5">
        <v>201585.533</v>
      </c>
      <c r="R16" s="5">
        <f>+Q16</f>
        <v>201585.533</v>
      </c>
      <c r="S16" s="5"/>
      <c r="T16" s="5"/>
      <c r="U16" s="5"/>
      <c r="V16" s="5"/>
      <c r="Y16" s="5">
        <v>119647.777</v>
      </c>
      <c r="Z16" s="3">
        <f>+N16</f>
        <v>137993.736</v>
      </c>
      <c r="AA16" s="3">
        <f>+Q16</f>
        <v>201585.533</v>
      </c>
    </row>
    <row r="17" spans="2:27" x14ac:dyDescent="0.2">
      <c r="Y17" s="4"/>
    </row>
    <row r="18" spans="2:27" x14ac:dyDescent="0.2">
      <c r="B18" s="1" t="s">
        <v>38</v>
      </c>
      <c r="N18" s="9">
        <f t="shared" ref="N18:P18" si="12">N3/J3-1</f>
        <v>0.2651356993736953</v>
      </c>
      <c r="O18" s="9">
        <f t="shared" si="12"/>
        <v>0.55716993051168662</v>
      </c>
      <c r="P18" s="9">
        <f t="shared" si="12"/>
        <v>0.27885178676039835</v>
      </c>
      <c r="Q18" s="9">
        <f>Q3/M3-1</f>
        <v>-0.27010148321623728</v>
      </c>
      <c r="R18" s="9">
        <f>R3/N3-1</f>
        <v>-0.27392739273927391</v>
      </c>
      <c r="Y18" s="11">
        <f t="shared" ref="Y18" si="13">+Y3/X3-1</f>
        <v>0.14237935977066418</v>
      </c>
      <c r="Z18" s="11">
        <f>+Z3/Y3-1</f>
        <v>0.2382545657326085</v>
      </c>
      <c r="AA18" s="11">
        <f>+AA3/Z3-1</f>
        <v>-1.8464309840126147E-2</v>
      </c>
    </row>
  </sheetData>
  <hyperlinks>
    <hyperlink ref="A1" location="Main!A1" display="Main" xr:uid="{7C0E4B22-6542-4072-8BDD-71314D4BA52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2025-01-06T16:41:12Z</dcterms:created>
  <dcterms:modified xsi:type="dcterms:W3CDTF">2025-03-14T19:14:52Z</dcterms:modified>
</cp:coreProperties>
</file>