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70E3B2B1-C486-4B96-A40C-5ABCB0FA2164}" xr6:coauthVersionLast="47" xr6:coauthVersionMax="47" xr10:uidLastSave="{00000000-0000-0000-0000-000000000000}"/>
  <bookViews>
    <workbookView xWindow="-50745" yWindow="1200" windowWidth="21720" windowHeight="17280" activeTab="2" xr2:uid="{A60D6F5D-C7AD-4CE4-9596-6485E651EC61}"/>
  </bookViews>
  <sheets>
    <sheet name="Main" sheetId="1" r:id="rId1"/>
    <sheet name="Model" sheetId="9" r:id="rId2"/>
    <sheet name="Dupixent" sheetId="8" r:id="rId3"/>
    <sheet name="Eylea" sheetId="3" r:id="rId4"/>
    <sheet name="linvoseltamab" sheetId="11" r:id="rId5"/>
    <sheet name="odronextamab" sheetId="12" r:id="rId6"/>
    <sheet name="pozelimab" sheetId="15" r:id="rId7"/>
    <sheet name="mibavademab" sheetId="16" r:id="rId8"/>
    <sheet name="DB-OTO" sheetId="20" r:id="rId9"/>
    <sheet name="trevogrumab" sheetId="17" r:id="rId10"/>
    <sheet name="fianlimab" sheetId="21" r:id="rId11"/>
    <sheet name="garetosmab" sheetId="19" r:id="rId12"/>
    <sheet name="itepekimab" sheetId="18" r:id="rId13"/>
    <sheet name="REGN7508" sheetId="13" r:id="rId14"/>
    <sheet name="REGN9933" sheetId="14" r:id="rId15"/>
    <sheet name="Arcalyst" sheetId="2" r:id="rId16"/>
    <sheet name="Zaltrap" sheetId="4" r:id="rId17"/>
    <sheet name="VEGF Trap" sheetId="5" r:id="rId18"/>
    <sheet name="Praluent" sheetId="6" r:id="rId19"/>
    <sheet name="Libtayo" sheetId="10" r:id="rId20"/>
    <sheet name="Kevzara" sheetId="7"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B31" i="9" l="1"/>
  <c r="BF31" i="9"/>
  <c r="BB29" i="9"/>
  <c r="BF29" i="9"/>
  <c r="BZ29" i="9" s="1"/>
  <c r="BB23" i="9"/>
  <c r="BF23" i="9"/>
  <c r="BB63" i="9"/>
  <c r="BB54" i="9"/>
  <c r="BE43" i="9"/>
  <c r="BF45" i="9"/>
  <c r="BF63" i="9"/>
  <c r="BF54" i="9"/>
  <c r="BJ5" i="9"/>
  <c r="BI5" i="9"/>
  <c r="BH5" i="9"/>
  <c r="BG5" i="9"/>
  <c r="CA5" i="9" s="1"/>
  <c r="BG4" i="9"/>
  <c r="BG3" i="9"/>
  <c r="BG37" i="9" s="1"/>
  <c r="BZ67" i="9"/>
  <c r="BZ66" i="9"/>
  <c r="BY67" i="9"/>
  <c r="BY66" i="9"/>
  <c r="BX67" i="9"/>
  <c r="BX66" i="9"/>
  <c r="BW67" i="9"/>
  <c r="BW66" i="9"/>
  <c r="BV67" i="9"/>
  <c r="BV66" i="9"/>
  <c r="BU67" i="9"/>
  <c r="BU66" i="9"/>
  <c r="BT67" i="9"/>
  <c r="BT66" i="9"/>
  <c r="BS67" i="9"/>
  <c r="BS66" i="9"/>
  <c r="BR67" i="9"/>
  <c r="BR66" i="9"/>
  <c r="BQ67" i="9"/>
  <c r="BQ66" i="9"/>
  <c r="BP67" i="9"/>
  <c r="BO67" i="9"/>
  <c r="BP66" i="9"/>
  <c r="BO66" i="9"/>
  <c r="BN67" i="9"/>
  <c r="BM67" i="9"/>
  <c r="BN66" i="9"/>
  <c r="BM66" i="9"/>
  <c r="BW7" i="9"/>
  <c r="BV9" i="9"/>
  <c r="BY10" i="9"/>
  <c r="BZ10" i="9"/>
  <c r="BQ22" i="9"/>
  <c r="BR22" i="9"/>
  <c r="BR36" i="9" s="1"/>
  <c r="BQ15" i="9"/>
  <c r="BR15" i="9"/>
  <c r="BS15" i="9"/>
  <c r="BU37" i="9"/>
  <c r="BT37" i="9"/>
  <c r="BS37" i="9"/>
  <c r="BR37" i="9"/>
  <c r="BQ37" i="9"/>
  <c r="BP37" i="9"/>
  <c r="BF38" i="9"/>
  <c r="BF37" i="9"/>
  <c r="BY4" i="9"/>
  <c r="BY3" i="9"/>
  <c r="BZ4" i="9"/>
  <c r="BZ3" i="9"/>
  <c r="BJ27" i="9"/>
  <c r="BJ28" i="9" s="1"/>
  <c r="BJ30" i="9" s="1"/>
  <c r="BJ32" i="9" s="1"/>
  <c r="BI27" i="9"/>
  <c r="BI28" i="9" s="1"/>
  <c r="BI30" i="9" s="1"/>
  <c r="BI32" i="9" s="1"/>
  <c r="BH27" i="9"/>
  <c r="BH28" i="9" s="1"/>
  <c r="BH30" i="9" s="1"/>
  <c r="BH32" i="9" s="1"/>
  <c r="BG27" i="9"/>
  <c r="BG28" i="9" s="1"/>
  <c r="BG30" i="9" s="1"/>
  <c r="BG32" i="9" s="1"/>
  <c r="BJ40" i="9"/>
  <c r="BI40" i="9"/>
  <c r="BH40" i="9"/>
  <c r="BG40" i="9"/>
  <c r="BJ39" i="9"/>
  <c r="BI39" i="9"/>
  <c r="BH39" i="9"/>
  <c r="BG39" i="9"/>
  <c r="BF40" i="9"/>
  <c r="BE40" i="9"/>
  <c r="BF39" i="9"/>
  <c r="BE39" i="9"/>
  <c r="BE37" i="9"/>
  <c r="BZ31" i="9"/>
  <c r="BZ26" i="9"/>
  <c r="BZ25" i="9"/>
  <c r="BZ23" i="9"/>
  <c r="BZ20" i="9"/>
  <c r="BZ17" i="9"/>
  <c r="BZ15" i="9"/>
  <c r="BA21" i="9"/>
  <c r="BE21" i="9"/>
  <c r="BR69" i="9" l="1"/>
  <c r="BH3" i="9"/>
  <c r="BH4" i="9"/>
  <c r="BI4" i="9" s="1"/>
  <c r="BJ4" i="9" s="1"/>
  <c r="BG22" i="9"/>
  <c r="BZ37" i="9"/>
  <c r="BZ38" i="9"/>
  <c r="BF21" i="9"/>
  <c r="BZ14" i="9"/>
  <c r="BZ27" i="9"/>
  <c r="BZ19" i="9"/>
  <c r="CA19" i="9" s="1"/>
  <c r="CB19" i="9" s="1"/>
  <c r="CC19" i="9" s="1"/>
  <c r="CD19" i="9" s="1"/>
  <c r="CE19" i="9" s="1"/>
  <c r="CF19" i="9" s="1"/>
  <c r="CG19" i="9" s="1"/>
  <c r="CH19" i="9" s="1"/>
  <c r="CI19" i="9" s="1"/>
  <c r="CJ19" i="9" s="1"/>
  <c r="CK19" i="9" s="1"/>
  <c r="CA10" i="9"/>
  <c r="CB10" i="9" s="1"/>
  <c r="CC10" i="9" s="1"/>
  <c r="CD10" i="9" s="1"/>
  <c r="CE10" i="9" s="1"/>
  <c r="CF10" i="9" s="1"/>
  <c r="CG10" i="9" s="1"/>
  <c r="CH10" i="9" s="1"/>
  <c r="CI10" i="9" s="1"/>
  <c r="CJ10" i="9" s="1"/>
  <c r="CK10" i="9" s="1"/>
  <c r="BZ9" i="9"/>
  <c r="BZ8" i="9"/>
  <c r="CA8" i="9" s="1"/>
  <c r="CB8" i="9" s="1"/>
  <c r="CC8" i="9" s="1"/>
  <c r="CD8" i="9" s="1"/>
  <c r="CE8" i="9" s="1"/>
  <c r="CF8" i="9" s="1"/>
  <c r="CG8" i="9" s="1"/>
  <c r="CH8" i="9" s="1"/>
  <c r="CI8" i="9" s="1"/>
  <c r="CJ8" i="9" s="1"/>
  <c r="CK8" i="9" s="1"/>
  <c r="BZ7" i="9"/>
  <c r="BZ6" i="9"/>
  <c r="CA6" i="9" s="1"/>
  <c r="CB6" i="9" s="1"/>
  <c r="CC6" i="9" s="1"/>
  <c r="CD6" i="9" s="1"/>
  <c r="CE6" i="9" s="1"/>
  <c r="CF6" i="9" s="1"/>
  <c r="CG6" i="9" s="1"/>
  <c r="CH6" i="9" s="1"/>
  <c r="CI6" i="9" s="1"/>
  <c r="CJ6" i="9" s="1"/>
  <c r="CK6" i="9" s="1"/>
  <c r="BZ5" i="9"/>
  <c r="BG34" i="9"/>
  <c r="BF27" i="9"/>
  <c r="BE27" i="9"/>
  <c r="BE22" i="9"/>
  <c r="N34" i="9"/>
  <c r="N31" i="9"/>
  <c r="N26" i="9"/>
  <c r="N25" i="9"/>
  <c r="N19" i="9"/>
  <c r="N10" i="9"/>
  <c r="N9" i="9"/>
  <c r="N3" i="9"/>
  <c r="M27" i="9"/>
  <c r="M23" i="9"/>
  <c r="M21" i="9"/>
  <c r="M22" i="9" s="1"/>
  <c r="M24" i="9" s="1"/>
  <c r="M28" i="9" s="1"/>
  <c r="M30" i="9" s="1"/>
  <c r="M32" i="9" s="1"/>
  <c r="M33" i="9" s="1"/>
  <c r="K27" i="9"/>
  <c r="K21" i="9"/>
  <c r="J34" i="9"/>
  <c r="J31" i="9"/>
  <c r="J29" i="9"/>
  <c r="J26" i="9"/>
  <c r="J25" i="9"/>
  <c r="J23" i="9"/>
  <c r="F34" i="9"/>
  <c r="F31" i="9"/>
  <c r="F26" i="9"/>
  <c r="F25" i="9"/>
  <c r="F23" i="9"/>
  <c r="J19" i="9"/>
  <c r="BN19" i="9" s="1"/>
  <c r="F19" i="9"/>
  <c r="BM19" i="9" s="1"/>
  <c r="J10" i="9"/>
  <c r="BN10" i="9" s="1"/>
  <c r="F10" i="9"/>
  <c r="BM10" i="9" s="1"/>
  <c r="F9" i="9"/>
  <c r="BM9" i="9" s="1"/>
  <c r="J9" i="9"/>
  <c r="BN9" i="9" s="1"/>
  <c r="J3" i="9"/>
  <c r="BN3" i="9" s="1"/>
  <c r="BM3" i="9"/>
  <c r="BL32" i="9"/>
  <c r="BL33" i="9" s="1"/>
  <c r="BM27" i="9"/>
  <c r="BN27" i="9"/>
  <c r="I27" i="9"/>
  <c r="E21" i="9"/>
  <c r="I21" i="9"/>
  <c r="D29" i="9"/>
  <c r="F29" i="9" s="1"/>
  <c r="D21" i="9"/>
  <c r="CB5" i="9" l="1"/>
  <c r="CC5" i="9" s="1"/>
  <c r="CD5" i="9" s="1"/>
  <c r="CE5" i="9" s="1"/>
  <c r="CF5" i="9" s="1"/>
  <c r="CG5" i="9" s="1"/>
  <c r="CH5" i="9" s="1"/>
  <c r="CI5" i="9" s="1"/>
  <c r="CJ5" i="9" s="1"/>
  <c r="CK5" i="9" s="1"/>
  <c r="BH22" i="9"/>
  <c r="BI3" i="9"/>
  <c r="BH37" i="9"/>
  <c r="CA4" i="9"/>
  <c r="CB4" i="9" s="1"/>
  <c r="CC4" i="9" s="1"/>
  <c r="CD4" i="9" s="1"/>
  <c r="CE4" i="9" s="1"/>
  <c r="CF4" i="9" s="1"/>
  <c r="CG4" i="9" s="1"/>
  <c r="CH4" i="9" s="1"/>
  <c r="CI4" i="9" s="1"/>
  <c r="CJ4" i="9" s="1"/>
  <c r="CK4" i="9" s="1"/>
  <c r="BO37" i="9"/>
  <c r="BN37" i="9"/>
  <c r="N27" i="9"/>
  <c r="J27" i="9"/>
  <c r="BH34" i="9"/>
  <c r="BG33" i="9"/>
  <c r="BE24" i="9"/>
  <c r="BF22" i="9"/>
  <c r="BZ21" i="9"/>
  <c r="BZ22" i="9" s="1"/>
  <c r="BE28" i="9"/>
  <c r="BE30" i="9" s="1"/>
  <c r="BE32" i="9" s="1"/>
  <c r="BE33" i="9" s="1"/>
  <c r="BV3" i="9"/>
  <c r="BV37" i="9" s="1"/>
  <c r="BQ29" i="9"/>
  <c r="BQ27" i="9"/>
  <c r="BQ23" i="9"/>
  <c r="BO29" i="9"/>
  <c r="N29" i="9" s="1"/>
  <c r="BO23" i="9"/>
  <c r="BO27" i="9"/>
  <c r="BP29" i="9"/>
  <c r="BP27" i="9"/>
  <c r="BP23" i="9"/>
  <c r="BU22" i="9"/>
  <c r="BT22" i="9"/>
  <c r="BS22" i="9"/>
  <c r="BP22" i="9"/>
  <c r="BO22" i="9"/>
  <c r="BN22" i="9"/>
  <c r="BL22" i="9"/>
  <c r="L27" i="9"/>
  <c r="L23" i="9"/>
  <c r="H21" i="9"/>
  <c r="H22" i="9" s="1"/>
  <c r="H24" i="9" s="1"/>
  <c r="L21" i="9"/>
  <c r="L22" i="9" s="1"/>
  <c r="K22" i="9"/>
  <c r="K24" i="9" s="1"/>
  <c r="K28" i="9" s="1"/>
  <c r="K30" i="9" s="1"/>
  <c r="K32" i="9" s="1"/>
  <c r="K33" i="9" s="1"/>
  <c r="I22" i="9"/>
  <c r="I24" i="9" s="1"/>
  <c r="I28" i="9" s="1"/>
  <c r="I30" i="9" s="1"/>
  <c r="I32" i="9" s="1"/>
  <c r="I33" i="9" s="1"/>
  <c r="E22" i="9"/>
  <c r="E24" i="9" s="1"/>
  <c r="D22" i="9"/>
  <c r="D24" i="9" s="1"/>
  <c r="C27" i="9"/>
  <c r="C21" i="9"/>
  <c r="C22" i="9" s="1"/>
  <c r="C24" i="9" s="1"/>
  <c r="G21" i="9"/>
  <c r="G22" i="9" s="1"/>
  <c r="G24" i="9" s="1"/>
  <c r="G27" i="9"/>
  <c r="F27" i="9"/>
  <c r="E27" i="9"/>
  <c r="D27" i="9"/>
  <c r="H27" i="9"/>
  <c r="BD40" i="9"/>
  <c r="BC40" i="9"/>
  <c r="BD39" i="9"/>
  <c r="BC39" i="9"/>
  <c r="BD37" i="9"/>
  <c r="BC37" i="9"/>
  <c r="BD27" i="9"/>
  <c r="BC27" i="9"/>
  <c r="BD22" i="9"/>
  <c r="BC22" i="9"/>
  <c r="AX58" i="9"/>
  <c r="AX63" i="9" s="1"/>
  <c r="AX46" i="9"/>
  <c r="AX54" i="9" s="1"/>
  <c r="AX29" i="9"/>
  <c r="AX26" i="9"/>
  <c r="BB27" i="9" s="1"/>
  <c r="AX25" i="9"/>
  <c r="AX23" i="9"/>
  <c r="AX40" i="9"/>
  <c r="AX37" i="9"/>
  <c r="AX10" i="9"/>
  <c r="AX5" i="9"/>
  <c r="BX34" i="9"/>
  <c r="BW34" i="9"/>
  <c r="BV34" i="9"/>
  <c r="BW31" i="9"/>
  <c r="BV31" i="9"/>
  <c r="BY29" i="9"/>
  <c r="BW26" i="9"/>
  <c r="BY25" i="9"/>
  <c r="BW25" i="9"/>
  <c r="BV25" i="9"/>
  <c r="BY17" i="9"/>
  <c r="BY15" i="9"/>
  <c r="BY14" i="9"/>
  <c r="BY13" i="9"/>
  <c r="BY12" i="9"/>
  <c r="BY11" i="9"/>
  <c r="BY9" i="9"/>
  <c r="BX21" i="9"/>
  <c r="BX20" i="9"/>
  <c r="BX19" i="9"/>
  <c r="BX17" i="9"/>
  <c r="BX15" i="9"/>
  <c r="BX14" i="9"/>
  <c r="BX12" i="9"/>
  <c r="BX11" i="9"/>
  <c r="BX9" i="9"/>
  <c r="BX8" i="9"/>
  <c r="BX7" i="9"/>
  <c r="BX6" i="9"/>
  <c r="BX3" i="9"/>
  <c r="BW21" i="9"/>
  <c r="BW20" i="9"/>
  <c r="BW19" i="9"/>
  <c r="BW17" i="9"/>
  <c r="BW15" i="9"/>
  <c r="BW14" i="9"/>
  <c r="BW12" i="9"/>
  <c r="BW11" i="9"/>
  <c r="BW9" i="9"/>
  <c r="BW8" i="9"/>
  <c r="BW6" i="9"/>
  <c r="BW5" i="9"/>
  <c r="BW3" i="9"/>
  <c r="BV21" i="9"/>
  <c r="BV20" i="9"/>
  <c r="BV19" i="9"/>
  <c r="BV17" i="9"/>
  <c r="BV15" i="9"/>
  <c r="BV14" i="9"/>
  <c r="BV12" i="9"/>
  <c r="BV11" i="9"/>
  <c r="BV8" i="9"/>
  <c r="BV7" i="9"/>
  <c r="BV6" i="9"/>
  <c r="BV5" i="9"/>
  <c r="AM29" i="9"/>
  <c r="AM26" i="9"/>
  <c r="BV26" i="9" s="1"/>
  <c r="AM23" i="9"/>
  <c r="AM13" i="9"/>
  <c r="AM10" i="9" s="1"/>
  <c r="AJ10" i="9"/>
  <c r="AJ22" i="9" s="1"/>
  <c r="AI10" i="9"/>
  <c r="AI22" i="9" s="1"/>
  <c r="AQ40" i="9"/>
  <c r="AQ37" i="9"/>
  <c r="AN29" i="9"/>
  <c r="AN27" i="9"/>
  <c r="AN23" i="9"/>
  <c r="AN13" i="9"/>
  <c r="AN10" i="9" s="1"/>
  <c r="AR40" i="9"/>
  <c r="AR37" i="9"/>
  <c r="AW37" i="9"/>
  <c r="AV37" i="9"/>
  <c r="AU37" i="9"/>
  <c r="AT37" i="9"/>
  <c r="AS37" i="9"/>
  <c r="BB40" i="9"/>
  <c r="BA40" i="9"/>
  <c r="AZ40" i="9"/>
  <c r="AY40" i="9"/>
  <c r="BA37" i="9"/>
  <c r="AZ37" i="9"/>
  <c r="AY37" i="9"/>
  <c r="BA27" i="9"/>
  <c r="AY27" i="9"/>
  <c r="AW10" i="9"/>
  <c r="BA39"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4" i="9"/>
  <c r="AZ34" i="9" s="1"/>
  <c r="AW27" i="9"/>
  <c r="AW40" i="9"/>
  <c r="AV40" i="9"/>
  <c r="AU40" i="9"/>
  <c r="AT40" i="9"/>
  <c r="AS40" i="9"/>
  <c r="AO13" i="9"/>
  <c r="AO10" i="9" s="1"/>
  <c r="AO22" i="9" s="1"/>
  <c r="AO24" i="9" s="1"/>
  <c r="AO43" i="9" s="1"/>
  <c r="AS13" i="9"/>
  <c r="AS10" i="9" s="1"/>
  <c r="AS27" i="9"/>
  <c r="AR27" i="9"/>
  <c r="AQ27" i="9"/>
  <c r="AP27" i="9"/>
  <c r="AO27" i="9"/>
  <c r="BB37" i="9"/>
  <c r="AT29" i="9"/>
  <c r="AP23" i="9"/>
  <c r="AT23" i="9"/>
  <c r="AP13" i="9"/>
  <c r="AP10" i="9" s="1"/>
  <c r="AP22" i="9" s="1"/>
  <c r="AT13" i="9"/>
  <c r="AT10" i="9" s="1"/>
  <c r="AT27" i="9"/>
  <c r="AQ13" i="9"/>
  <c r="AQ10" i="9" s="1"/>
  <c r="AU13" i="9"/>
  <c r="AU10" i="9" s="1"/>
  <c r="AQ29" i="9"/>
  <c r="AQ23" i="9"/>
  <c r="AU29" i="9"/>
  <c r="AU27" i="9"/>
  <c r="AU23" i="9"/>
  <c r="AR13" i="9"/>
  <c r="AR10" i="9" s="1"/>
  <c r="AV13" i="9"/>
  <c r="AV10" i="9" s="1"/>
  <c r="AV22" i="9" s="1"/>
  <c r="AV26" i="9"/>
  <c r="AZ27" i="9" s="1"/>
  <c r="AV25" i="9"/>
  <c r="AR29" i="9"/>
  <c r="AR23" i="9"/>
  <c r="AV29" i="9"/>
  <c r="AV23" i="9"/>
  <c r="BU69" i="9" l="1"/>
  <c r="BS36" i="9"/>
  <c r="BS69" i="9"/>
  <c r="BT69" i="9"/>
  <c r="BJ3" i="9"/>
  <c r="BI22" i="9"/>
  <c r="BI36" i="9" s="1"/>
  <c r="BI37" i="9"/>
  <c r="BP69" i="9"/>
  <c r="BQ69" i="9"/>
  <c r="BO69" i="9"/>
  <c r="BW37" i="9"/>
  <c r="AU22" i="9"/>
  <c r="BX10" i="9"/>
  <c r="BV10" i="9"/>
  <c r="BV22" i="9" s="1"/>
  <c r="BV69" i="9" s="1"/>
  <c r="BN24" i="9"/>
  <c r="BN28" i="9" s="1"/>
  <c r="BN30" i="9" s="1"/>
  <c r="BN32" i="9" s="1"/>
  <c r="BN33" i="9" s="1"/>
  <c r="BP36" i="9"/>
  <c r="BQ36" i="9"/>
  <c r="AQ22" i="9"/>
  <c r="AU36" i="9" s="1"/>
  <c r="BW10" i="9"/>
  <c r="BW22" i="9" s="1"/>
  <c r="BW69" i="9" s="1"/>
  <c r="BO36" i="9"/>
  <c r="BU36" i="9"/>
  <c r="BT36" i="9"/>
  <c r="L24" i="9"/>
  <c r="BX37" i="9"/>
  <c r="BY37" i="9"/>
  <c r="BY38" i="9"/>
  <c r="BY40" i="9"/>
  <c r="BW40" i="9"/>
  <c r="J21" i="9"/>
  <c r="J22" i="9" s="1"/>
  <c r="J24" i="9" s="1"/>
  <c r="J28" i="9" s="1"/>
  <c r="J30" i="9" s="1"/>
  <c r="J32" i="9" s="1"/>
  <c r="J33" i="9" s="1"/>
  <c r="BQ24" i="9"/>
  <c r="BQ28" i="9" s="1"/>
  <c r="BQ30" i="9" s="1"/>
  <c r="BQ32" i="9" s="1"/>
  <c r="BQ33" i="9" s="1"/>
  <c r="N21" i="9"/>
  <c r="N22" i="9" s="1"/>
  <c r="BX40" i="9"/>
  <c r="BC24" i="9"/>
  <c r="BC43" i="9" s="1"/>
  <c r="BG36" i="9"/>
  <c r="BD24" i="9"/>
  <c r="BD43" i="9" s="1"/>
  <c r="BH36" i="9"/>
  <c r="AX39" i="9"/>
  <c r="BF24" i="9"/>
  <c r="BZ40" i="9"/>
  <c r="F21" i="9"/>
  <c r="F22" i="9" s="1"/>
  <c r="F24" i="9" s="1"/>
  <c r="F28" i="9" s="1"/>
  <c r="F30" i="9" s="1"/>
  <c r="F32" i="9" s="1"/>
  <c r="F33" i="9" s="1"/>
  <c r="N23" i="9"/>
  <c r="BI34" i="9"/>
  <c r="BH33" i="9"/>
  <c r="BZ24" i="9"/>
  <c r="BZ28" i="9" s="1"/>
  <c r="BZ30" i="9" s="1"/>
  <c r="BZ32" i="9" s="1"/>
  <c r="BO24" i="9"/>
  <c r="BO28" i="9" s="1"/>
  <c r="BO30" i="9" s="1"/>
  <c r="BO32" i="9" s="1"/>
  <c r="BO33" i="9" s="1"/>
  <c r="BP24" i="9"/>
  <c r="BP28" i="9" s="1"/>
  <c r="BP30" i="9" s="1"/>
  <c r="BP32" i="9" s="1"/>
  <c r="BP33" i="9" s="1"/>
  <c r="H28" i="9"/>
  <c r="H30" i="9" s="1"/>
  <c r="H32" i="9" s="1"/>
  <c r="H33" i="9" s="1"/>
  <c r="L28" i="9"/>
  <c r="L30" i="9" s="1"/>
  <c r="L32" i="9" s="1"/>
  <c r="L33" i="9" s="1"/>
  <c r="E28" i="9"/>
  <c r="E30" i="9" s="1"/>
  <c r="E32" i="9" s="1"/>
  <c r="E33" i="9" s="1"/>
  <c r="G28" i="9"/>
  <c r="G30" i="9" s="1"/>
  <c r="G32" i="9" s="1"/>
  <c r="G33" i="9" s="1"/>
  <c r="D28" i="9"/>
  <c r="D30" i="9" s="1"/>
  <c r="D32" i="9" s="1"/>
  <c r="D33" i="9" s="1"/>
  <c r="C28" i="9"/>
  <c r="C30" i="9" s="1"/>
  <c r="C32" i="9" s="1"/>
  <c r="C33" i="9" s="1"/>
  <c r="BY19" i="9"/>
  <c r="AP24" i="9"/>
  <c r="AP43" i="9" s="1"/>
  <c r="BW29" i="9"/>
  <c r="BX25" i="9"/>
  <c r="BW13" i="9"/>
  <c r="BW27" i="9"/>
  <c r="BX26" i="9"/>
  <c r="BV29" i="9"/>
  <c r="AX27" i="9"/>
  <c r="BV27" i="9"/>
  <c r="BX29" i="9"/>
  <c r="BV23" i="9"/>
  <c r="BX13" i="9"/>
  <c r="BW23" i="9"/>
  <c r="BX5" i="9"/>
  <c r="BY7" i="9"/>
  <c r="BV13" i="9"/>
  <c r="BY8" i="9"/>
  <c r="AM27" i="9"/>
  <c r="BY26" i="9"/>
  <c r="BY27" i="9" s="1"/>
  <c r="BY6" i="9"/>
  <c r="AQ39" i="9"/>
  <c r="AM22" i="9"/>
  <c r="AR39" i="9"/>
  <c r="AN22" i="9"/>
  <c r="AV39" i="9"/>
  <c r="AW39" i="9"/>
  <c r="AS39" i="9"/>
  <c r="AY39" i="9"/>
  <c r="AU39" i="9"/>
  <c r="AT39" i="9"/>
  <c r="AZ39" i="9"/>
  <c r="AY22" i="9"/>
  <c r="AU24" i="9"/>
  <c r="AU43" i="9" s="1"/>
  <c r="AT22" i="9"/>
  <c r="AX22" i="9"/>
  <c r="AS22" i="9"/>
  <c r="AS36" i="9" s="1"/>
  <c r="AR22" i="9"/>
  <c r="AV36" i="9" s="1"/>
  <c r="AO28" i="9"/>
  <c r="AO30" i="9" s="1"/>
  <c r="AO32" i="9" s="1"/>
  <c r="AO33" i="9" s="1"/>
  <c r="AW22" i="9"/>
  <c r="AW24" i="9" s="1"/>
  <c r="AV24" i="9"/>
  <c r="AV43" i="9" s="1"/>
  <c r="AV27" i="9"/>
  <c r="J4" i="1"/>
  <c r="BF28" i="9" l="1"/>
  <c r="BF30" i="9" s="1"/>
  <c r="BF32" i="9" s="1"/>
  <c r="BF33" i="9" s="1"/>
  <c r="BF43" i="9"/>
  <c r="AQ24" i="9"/>
  <c r="AQ43" i="9" s="1"/>
  <c r="BJ37" i="9"/>
  <c r="BJ22" i="9"/>
  <c r="BJ36" i="9" s="1"/>
  <c r="CA3" i="9"/>
  <c r="CB3" i="9" s="1"/>
  <c r="CC3" i="9" s="1"/>
  <c r="CD3" i="9" s="1"/>
  <c r="CE3" i="9" s="1"/>
  <c r="CF3" i="9" s="1"/>
  <c r="CG3" i="9" s="1"/>
  <c r="CH3" i="9" s="1"/>
  <c r="CI3" i="9" s="1"/>
  <c r="CJ3" i="9" s="1"/>
  <c r="CK3" i="9" s="1"/>
  <c r="BD28" i="9"/>
  <c r="BD30" i="9" s="1"/>
  <c r="BD32" i="9" s="1"/>
  <c r="BW36" i="9"/>
  <c r="BV36" i="9"/>
  <c r="BC28" i="9"/>
  <c r="BC30" i="9" s="1"/>
  <c r="BC32" i="9" s="1"/>
  <c r="BM21" i="9"/>
  <c r="BM22" i="9" s="1"/>
  <c r="AP28" i="9"/>
  <c r="AP30" i="9" s="1"/>
  <c r="AP32" i="9" s="1"/>
  <c r="AP33" i="9" s="1"/>
  <c r="BJ34" i="9"/>
  <c r="BJ33" i="9" s="1"/>
  <c r="BI33" i="9"/>
  <c r="N24" i="9"/>
  <c r="N28" i="9" s="1"/>
  <c r="N30" i="9" s="1"/>
  <c r="N32" i="9" s="1"/>
  <c r="N33" i="9" s="1"/>
  <c r="BA22" i="9"/>
  <c r="BY5" i="9"/>
  <c r="BZ41" i="9" s="1"/>
  <c r="BX27" i="9"/>
  <c r="AY36" i="9"/>
  <c r="BC36" i="9"/>
  <c r="AX36" i="9"/>
  <c r="BX22" i="9"/>
  <c r="BX69" i="9" s="1"/>
  <c r="BV24" i="9"/>
  <c r="BV28" i="9" s="1"/>
  <c r="BV30" i="9" s="1"/>
  <c r="BV32" i="9" s="1"/>
  <c r="BV33" i="9" s="1"/>
  <c r="BW24" i="9"/>
  <c r="BW28" i="9" s="1"/>
  <c r="BW30" i="9" s="1"/>
  <c r="BW32" i="9" s="1"/>
  <c r="BW33" i="9" s="1"/>
  <c r="AQ36" i="9"/>
  <c r="AM24" i="9"/>
  <c r="AM43" i="9" s="1"/>
  <c r="AX24" i="9"/>
  <c r="AR36" i="9"/>
  <c r="AN24" i="9"/>
  <c r="AS24" i="9"/>
  <c r="AS28" i="9" s="1"/>
  <c r="AS30" i="9" s="1"/>
  <c r="AS32" i="9" s="1"/>
  <c r="AS33" i="9" s="1"/>
  <c r="AZ22" i="9"/>
  <c r="BD36" i="9" s="1"/>
  <c r="BB39" i="9"/>
  <c r="AU28" i="9"/>
  <c r="AU30" i="9" s="1"/>
  <c r="AU32" i="9" s="1"/>
  <c r="AU33" i="9" s="1"/>
  <c r="AR24" i="9"/>
  <c r="AR43" i="9" s="1"/>
  <c r="BX23" i="9"/>
  <c r="AW28" i="9"/>
  <c r="AW30" i="9" s="1"/>
  <c r="AW32" i="9" s="1"/>
  <c r="AW33" i="9" s="1"/>
  <c r="AT24" i="9"/>
  <c r="AT36" i="9"/>
  <c r="AW36" i="9"/>
  <c r="AQ28" i="9"/>
  <c r="AQ30" i="9" s="1"/>
  <c r="AQ32" i="9" s="1"/>
  <c r="AQ33" i="9" s="1"/>
  <c r="J7" i="1"/>
  <c r="AV28" i="9"/>
  <c r="AV30" i="9" s="1"/>
  <c r="AV32" i="9" s="1"/>
  <c r="AV33" i="9" s="1"/>
  <c r="CA22" i="9" l="1"/>
  <c r="BM69" i="9"/>
  <c r="BN69" i="9"/>
  <c r="BM24" i="9"/>
  <c r="BM28" i="9" s="1"/>
  <c r="BM30" i="9" s="1"/>
  <c r="BM32" i="9" s="1"/>
  <c r="BM33" i="9" s="1"/>
  <c r="BM36" i="9"/>
  <c r="BN36" i="9"/>
  <c r="BX36" i="9"/>
  <c r="BE36" i="9"/>
  <c r="BA24" i="9"/>
  <c r="BX24" i="9"/>
  <c r="BX28" i="9" s="1"/>
  <c r="BX30" i="9" s="1"/>
  <c r="BA36" i="9"/>
  <c r="AM28" i="9"/>
  <c r="AM30" i="9" s="1"/>
  <c r="AM32" i="9" s="1"/>
  <c r="AM33" i="9" s="1"/>
  <c r="BY34" i="9"/>
  <c r="BC34" i="9"/>
  <c r="AS43" i="9"/>
  <c r="BY21" i="9"/>
  <c r="BB22" i="9"/>
  <c r="BB24" i="9" s="1"/>
  <c r="AZ36" i="9"/>
  <c r="AZ24" i="9"/>
  <c r="AN43" i="9"/>
  <c r="AN28" i="9"/>
  <c r="AN30" i="9" s="1"/>
  <c r="AN32" i="9" s="1"/>
  <c r="AN33" i="9" s="1"/>
  <c r="AX43" i="9"/>
  <c r="AX28" i="9"/>
  <c r="AX30" i="9" s="1"/>
  <c r="AR28" i="9"/>
  <c r="AR30" i="9" s="1"/>
  <c r="AR32" i="9" s="1"/>
  <c r="AR33" i="9" s="1"/>
  <c r="BY20" i="9"/>
  <c r="AW43" i="9"/>
  <c r="AT43" i="9"/>
  <c r="AT28" i="9"/>
  <c r="AT30" i="9" s="1"/>
  <c r="AT32" i="9" s="1"/>
  <c r="AT33" i="9" s="1"/>
  <c r="CA26" i="9" l="1"/>
  <c r="CA27" i="9" s="1"/>
  <c r="CA24" i="9"/>
  <c r="CA28" i="9" s="1"/>
  <c r="CA30" i="9" s="1"/>
  <c r="CA31" i="9" s="1"/>
  <c r="CA32" i="9" s="1"/>
  <c r="CB22" i="9"/>
  <c r="BY22" i="9"/>
  <c r="BB36" i="9"/>
  <c r="BF36" i="9"/>
  <c r="BD34" i="9"/>
  <c r="BD33" i="9" s="1"/>
  <c r="BC33" i="9"/>
  <c r="AZ28" i="9"/>
  <c r="AZ30" i="9" s="1"/>
  <c r="AZ31" i="9" s="1"/>
  <c r="AZ32" i="9" s="1"/>
  <c r="AZ33" i="9" s="1"/>
  <c r="AZ43" i="9"/>
  <c r="BA28" i="9"/>
  <c r="BA30" i="9" s="1"/>
  <c r="BA31" i="9" s="1"/>
  <c r="BA32" i="9" s="1"/>
  <c r="BA33" i="9" s="1"/>
  <c r="BA43" i="9"/>
  <c r="AX32" i="9"/>
  <c r="AX33" i="9" s="1"/>
  <c r="BX31" i="9"/>
  <c r="BX32" i="9" s="1"/>
  <c r="BX33" i="9" s="1"/>
  <c r="CB26" i="9" l="1"/>
  <c r="CB27" i="9" s="1"/>
  <c r="CB24" i="9"/>
  <c r="CB28" i="9" s="1"/>
  <c r="CB30" i="9" s="1"/>
  <c r="CB31" i="9" s="1"/>
  <c r="CB32" i="9" s="1"/>
  <c r="BY69" i="9"/>
  <c r="BZ69" i="9"/>
  <c r="CC22" i="9"/>
  <c r="BZ36" i="9"/>
  <c r="BY36" i="9"/>
  <c r="BZ34" i="9"/>
  <c r="BB43" i="9"/>
  <c r="BB28" i="9"/>
  <c r="BB30" i="9" s="1"/>
  <c r="CC26" i="9" l="1"/>
  <c r="CC27" i="9" s="1"/>
  <c r="CC24" i="9"/>
  <c r="CD22" i="9"/>
  <c r="CA34" i="9"/>
  <c r="BZ33" i="9"/>
  <c r="BB32" i="9"/>
  <c r="BB33" i="9" s="1"/>
  <c r="BY23" i="9"/>
  <c r="BY24" i="9" s="1"/>
  <c r="BY28" i="9" s="1"/>
  <c r="BY30" i="9" s="1"/>
  <c r="AY24" i="9"/>
  <c r="AY28" i="9" s="1"/>
  <c r="AY30" i="9" s="1"/>
  <c r="AY31" i="9" s="1"/>
  <c r="BY31" i="9" s="1"/>
  <c r="CC28" i="9" l="1"/>
  <c r="CC30" i="9" s="1"/>
  <c r="CC31" i="9" s="1"/>
  <c r="CC32" i="9" s="1"/>
  <c r="CE22" i="9"/>
  <c r="CD24" i="9"/>
  <c r="CD26" i="9"/>
  <c r="CD27" i="9" s="1"/>
  <c r="CD28" i="9" s="1"/>
  <c r="CD30" i="9" s="1"/>
  <c r="CD31" i="9" s="1"/>
  <c r="CD32" i="9" s="1"/>
  <c r="CB34" i="9"/>
  <c r="CA33" i="9"/>
  <c r="AY43" i="9"/>
  <c r="BY32" i="9"/>
  <c r="BY33" i="9" s="1"/>
  <c r="AY32" i="9"/>
  <c r="AY33" i="9" s="1"/>
  <c r="CE26" i="9" l="1"/>
  <c r="CE27" i="9" s="1"/>
  <c r="CE24" i="9"/>
  <c r="CF22" i="9"/>
  <c r="CC34" i="9"/>
  <c r="CB33" i="9"/>
  <c r="CE28" i="9" l="1"/>
  <c r="CE30" i="9" s="1"/>
  <c r="CE31" i="9" s="1"/>
  <c r="CE32" i="9" s="1"/>
  <c r="CG22" i="9"/>
  <c r="CF24" i="9"/>
  <c r="CF26" i="9"/>
  <c r="CF27" i="9" s="1"/>
  <c r="CD34" i="9"/>
  <c r="CC33" i="9"/>
  <c r="CF28" i="9" l="1"/>
  <c r="CF30" i="9" s="1"/>
  <c r="CF31" i="9" s="1"/>
  <c r="CF32" i="9" s="1"/>
  <c r="CG26" i="9"/>
  <c r="CG27" i="9" s="1"/>
  <c r="CG24" i="9"/>
  <c r="CG28" i="9" s="1"/>
  <c r="CG30" i="9" s="1"/>
  <c r="CG31" i="9" s="1"/>
  <c r="CG32" i="9" s="1"/>
  <c r="CH22" i="9"/>
  <c r="CE34" i="9"/>
  <c r="CD33" i="9"/>
  <c r="CI22" i="9" l="1"/>
  <c r="CH24" i="9"/>
  <c r="CH26" i="9"/>
  <c r="CH27" i="9" s="1"/>
  <c r="CF34" i="9"/>
  <c r="CE33" i="9"/>
  <c r="CH28" i="9" l="1"/>
  <c r="CH30" i="9" s="1"/>
  <c r="CH31" i="9" s="1"/>
  <c r="CH32" i="9" s="1"/>
  <c r="CI24" i="9"/>
  <c r="CI26" i="9"/>
  <c r="CI27" i="9" s="1"/>
  <c r="CK22" i="9"/>
  <c r="CJ22" i="9"/>
  <c r="CG34" i="9"/>
  <c r="CF33" i="9"/>
  <c r="CJ24" i="9" l="1"/>
  <c r="CJ26" i="9"/>
  <c r="CJ27" i="9" s="1"/>
  <c r="CK26" i="9"/>
  <c r="CK27" i="9" s="1"/>
  <c r="CK24" i="9"/>
  <c r="CI28" i="9"/>
  <c r="CI30" i="9" s="1"/>
  <c r="CI31" i="9" s="1"/>
  <c r="CI32" i="9" s="1"/>
  <c r="CH34" i="9"/>
  <c r="CG33" i="9"/>
  <c r="CK28" i="9" l="1"/>
  <c r="CK30" i="9" s="1"/>
  <c r="CK31" i="9" s="1"/>
  <c r="CK32" i="9" s="1"/>
  <c r="CL32" i="9" s="1"/>
  <c r="CM32" i="9" s="1"/>
  <c r="CN32" i="9" s="1"/>
  <c r="CO32" i="9" s="1"/>
  <c r="CP32" i="9" s="1"/>
  <c r="CQ32" i="9" s="1"/>
  <c r="CR32" i="9" s="1"/>
  <c r="CS32" i="9" s="1"/>
  <c r="CT32" i="9" s="1"/>
  <c r="CU32" i="9" s="1"/>
  <c r="CV32" i="9" s="1"/>
  <c r="CW32" i="9" s="1"/>
  <c r="CX32" i="9" s="1"/>
  <c r="CY32" i="9" s="1"/>
  <c r="CZ32" i="9" s="1"/>
  <c r="DA32" i="9" s="1"/>
  <c r="DB32" i="9" s="1"/>
  <c r="DC32" i="9" s="1"/>
  <c r="DD32" i="9" s="1"/>
  <c r="DE32" i="9" s="1"/>
  <c r="DF32" i="9" s="1"/>
  <c r="DG32" i="9" s="1"/>
  <c r="DH32" i="9" s="1"/>
  <c r="DI32" i="9" s="1"/>
  <c r="DJ32" i="9" s="1"/>
  <c r="DK32" i="9" s="1"/>
  <c r="DL32" i="9" s="1"/>
  <c r="DM32" i="9" s="1"/>
  <c r="DN32" i="9" s="1"/>
  <c r="DO32" i="9" s="1"/>
  <c r="DP32" i="9" s="1"/>
  <c r="DQ32" i="9" s="1"/>
  <c r="DR32" i="9" s="1"/>
  <c r="DS32" i="9" s="1"/>
  <c r="DT32" i="9" s="1"/>
  <c r="DU32" i="9" s="1"/>
  <c r="DV32" i="9" s="1"/>
  <c r="DW32" i="9" s="1"/>
  <c r="DX32" i="9" s="1"/>
  <c r="DY32" i="9" s="1"/>
  <c r="DZ32" i="9" s="1"/>
  <c r="CJ28" i="9"/>
  <c r="CJ30" i="9" s="1"/>
  <c r="CJ31" i="9" s="1"/>
  <c r="CJ32" i="9" s="1"/>
  <c r="CI34" i="9"/>
  <c r="CH33" i="9"/>
  <c r="CM39" i="9" l="1"/>
  <c r="CJ34" i="9"/>
  <c r="CI33" i="9"/>
  <c r="CK34" i="9" l="1"/>
  <c r="CK33" i="9" s="1"/>
  <c r="CJ3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tc={D3D5216B-4988-49C7-99A4-DA91FFA880E8}</author>
    <author>Martin Shkreli</author>
    <author>tc={A95EDEE9-78F2-4942-8307-5D690E42CB8B}</author>
    <author>tc={C838F7CA-FAD9-482A-B48C-72B198B21072}</author>
    <author>tc={2471E570-2248-4E4F-8018-AEC8997DEC40}</author>
  </authors>
  <commentList>
    <comment ref="AP32"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2"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 ref="BB32" authorId="2" shapeId="0" xr:uid="{D3D5216B-4988-49C7-99A4-DA91FFA880E8}">
      <text>
        <t>[Threaded comment]
Your version of Excel allows you to read this threaded comment; however, any edits to it will get removed if the file is opened in a newer version of Excel. Learn more: https://go.microsoft.com/fwlink/?linkid=870924
Comment:
    1366 reported</t>
      </text>
    </comment>
    <comment ref="BF32" authorId="3" shapeId="0" xr:uid="{8D6C7B3A-5ED9-4D56-BC1E-370A0328DDBE}">
      <text>
        <r>
          <rPr>
            <b/>
            <sz val="9"/>
            <color indexed="81"/>
            <rFont val="Tahoma"/>
            <family val="2"/>
          </rPr>
          <t>Martin Shkreli:</t>
        </r>
        <r>
          <rPr>
            <sz val="9"/>
            <color indexed="81"/>
            <rFont val="Tahoma"/>
            <family val="2"/>
          </rPr>
          <t xml:space="preserve">
1390 reported</t>
        </r>
      </text>
    </comment>
    <comment ref="BB33" authorId="4" shapeId="0" xr:uid="{A95EDEE9-78F2-4942-8307-5D690E42CB8B}">
      <text>
        <t>[Threaded comment]
Your version of Excel allows you to read this threaded comment; however, any edits to it will get removed if the file is opened in a newer version of Excel. Learn more: https://go.microsoft.com/fwlink/?linkid=870924
Comment:
    11.86 reported</t>
      </text>
    </comment>
    <comment ref="BF33" authorId="5" shapeId="0" xr:uid="{C838F7CA-FAD9-482A-B48C-72B198B21072}">
      <text>
        <t>[Threaded comment]
Your version of Excel allows you to read this threaded comment; however, any edits to it will get removed if the file is opened in a newer version of Excel. Learn more: https://go.microsoft.com/fwlink/?linkid=870924
Comment:
    Reported 12.07, including 0.11 acquired IPR&amp;D</t>
      </text>
    </comment>
    <comment ref="BZ36" authorId="6" shapeId="0" xr:uid="{2471E570-2248-4E4F-8018-AEC8997DEC40}">
      <text>
        <t>[Threaded comment]
Your version of Excel allows you to read this threaded comment; however, any edits to it will get removed if the file is opened in a newer version of Excel. Learn more: https://go.microsoft.com/fwlink/?linkid=870924
Comment:
    +10% excluding Ronapreve</t>
      </text>
    </comment>
  </commentList>
</comments>
</file>

<file path=xl/sharedStrings.xml><?xml version="1.0" encoding="utf-8"?>
<sst xmlns="http://schemas.openxmlformats.org/spreadsheetml/2006/main" count="681" uniqueCount="486">
  <si>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</si>
  <si>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</si>
  <si>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</si>
  <si>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</si>
  <si>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</si>
  <si>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</si>
  <si>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</si>
  <si>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</si>
  <si>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</si>
  <si>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</si>
  <si>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</si>
  <si>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</si>
  <si>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</si>
  <si>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</si>
  <si>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</si>
  <si>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</si>
  <si>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</si>
  <si>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</si>
  <si>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</si>
  <si>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</si>
  <si>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</si>
  <si>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</si>
  <si>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</si>
  <si>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</si>
  <si>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</si>
  <si>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</si>
  <si>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</si>
  <si>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</si>
  <si>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</si>
  <si>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</si>
  <si>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</si>
  <si>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</si>
  <si>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</si>
  <si>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</si>
  <si>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</si>
  <si>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</si>
  <si>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</si>
  <si>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</si>
  <si>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</si>
  <si>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</si>
  <si>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</si>
  <si>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</si>
  <si>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</si>
  <si>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</si>
  <si>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</si>
  <si>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</si>
  <si>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</si>
  <si>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</si>
  <si>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</si>
  <si>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</si>
  <si>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</si>
  <si>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</si>
  <si>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</si>
  <si>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</si>
  <si>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</si>
  <si>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</si>
  <si>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</si>
  <si>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</si>
  <si>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</si>
  <si>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</si>
  <si>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</si>
  <si>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</si>
  <si>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</si>
  <si>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</si>
  <si>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</si>
  <si>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</si>
  <si>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</si>
  <si>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</si>
  <si>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</si>
  <si>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</si>
  <si>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</si>
  <si>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</si>
  <si>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</si>
  <si>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</si>
  <si>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</si>
  <si>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</si>
  <si>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</si>
  <si>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</si>
  <si>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</si>
  <si>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</si>
  <si>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</si>
  <si>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</si>
  <si>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</si>
  <si>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</si>
  <si>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</si>
  <si>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</si>
  <si>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</si>
  <si>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</si>
  <si>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</si>
  <si>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</si>
  <si>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</si>
  <si>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</si>
  <si>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</si>
  <si>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</si>
  <si>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</si>
  <si>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</si>
  <si>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</si>
  <si>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</si>
  <si>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</si>
  <si>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</si>
  <si>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</si>
  <si>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</si>
  <si>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</si>
  <si>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</si>
  <si>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</si>
  <si>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</si>
  <si>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</si>
  <si>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</si>
  <si>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</si>
  <si>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</si>
  <si>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</si>
  <si>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</si>
  <si>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</si>
  <si>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</si>
  <si>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</si>
  <si>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</si>
  <si>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</si>
  <si>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</si>
  <si>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</si>
  <si>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</si>
  <si>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</si>
  <si>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</si>
  <si>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</si>
  <si>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</si>
  <si>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</si>
  <si>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</si>
  <si>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</si>
  <si>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</si>
  <si>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</si>
  <si>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</si>
  <si>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</si>
  <si>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</si>
  <si>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</si>
  <si>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</si>
  <si>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</si>
  <si>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</si>
  <si>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</si>
  <si>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</si>
  <si>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</si>
  <si>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</si>
  <si>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</si>
  <si>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</si>
  <si>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</si>
  <si>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</si>
  <si>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</si>
  <si>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</si>
  <si>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</si>
  <si>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</si>
  <si>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</si>
  <si>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</si>
  <si>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</si>
  <si>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</si>
  <si>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</si>
  <si>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</si>
  <si>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</si>
  <si>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</si>
  <si>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</si>
  <si>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</si>
  <si>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</si>
  <si>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</si>
  <si>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</si>
  <si>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</si>
  <si>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</si>
  <si>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</si>
  <si>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</si>
  <si>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</si>
  <si>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</si>
  <si>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</si>
  <si>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</si>
  <si>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</si>
  <si>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</si>
  <si>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</si>
  <si>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</si>
  <si>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</si>
  <si>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</si>
  <si>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</si>
  <si>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</si>
  <si>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</si>
  <si>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</si>
  <si>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</si>
  <si>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</si>
  <si>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</si>
  <si>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</si>
  <si>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</si>
  <si>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</si>
  <si>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</si>
  <si>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</si>
  <si>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</si>
  <si>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Actemra (IL-6R antibody tocilizumab fr DNA), TNFs, etc</t>
  </si>
  <si>
    <t>RA, ankylosing spondylitis</t>
  </si>
  <si>
    <t>fully human monoclonal antibody against IL-R6</t>
  </si>
  <si>
    <t>REGN88</t>
  </si>
  <si>
    <t>Phase 1 in asthma</t>
  </si>
  <si>
    <t>Phase 2 in eosinophilic asthma</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</si>
  <si>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</si>
  <si>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</si>
  <si>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</si>
  <si>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</si>
  <si>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</si>
  <si>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</si>
  <si>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</si>
  <si>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</si>
  <si>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</si>
  <si>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</si>
  <si>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</si>
  <si>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</si>
  <si>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</si>
  <si>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</si>
  <si>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</si>
  <si>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</si>
  <si>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</si>
  <si>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</si>
  <si>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</si>
  <si>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</si>
  <si>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</si>
  <si>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</si>
  <si>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</si>
  <si>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</si>
  <si>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</si>
  <si>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</si>
  <si>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</si>
  <si>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</si>
  <si>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</si>
  <si>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</si>
  <si>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</si>
  <si>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</si>
  <si>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</si>
  <si>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</si>
  <si>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</si>
  <si>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</si>
  <si>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</si>
  <si>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</si>
  <si>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</si>
  <si>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</si>
  <si>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</si>
  <si>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</si>
  <si>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</si>
  <si>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</si>
  <si>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</si>
  <si>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</si>
  <si>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</si>
  <si>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</si>
  <si>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</si>
  <si>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</si>
  <si>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</si>
  <si>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</si>
  <si>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</si>
  <si>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</si>
  <si>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</si>
  <si>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</si>
  <si>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</si>
  <si>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</si>
  <si>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</si>
  <si>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</si>
  <si>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</si>
  <si>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</si>
  <si>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</si>
  <si>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</si>
  <si>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</si>
  <si>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</si>
  <si>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</si>
  <si>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</si>
  <si>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</si>
  <si>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</si>
  <si>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</si>
  <si>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</si>
  <si>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</si>
  <si>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</si>
  <si>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</si>
  <si>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</si>
  <si>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</si>
  <si>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</si>
  <si>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</si>
  <si>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</si>
  <si>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</si>
  <si>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</si>
  <si>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</si>
  <si>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</si>
  <si>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</si>
  <si>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</si>
  <si>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</si>
  <si>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</si>
  <si>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</si>
  <si>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</si>
  <si>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</si>
  <si>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</si>
  <si>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</si>
  <si>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</si>
  <si>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</si>
  <si>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</si>
  <si>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</si>
  <si>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</si>
  <si>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</si>
  <si>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</si>
  <si>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</si>
  <si>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</si>
  <si>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</si>
  <si>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</si>
  <si>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</si>
  <si>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</si>
  <si>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</si>
  <si>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</si>
  <si>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</si>
  <si>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</si>
  <si>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</si>
  <si>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</si>
  <si>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</si>
  <si>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</si>
  <si>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</si>
  <si>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</si>
  <si>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</si>
  <si>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</si>
  <si>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</si>
  <si>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</si>
  <si>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</si>
  <si>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</si>
  <si>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</si>
  <si>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</si>
  <si>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</si>
  <si>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</si>
  <si>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</si>
  <si>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</si>
  <si>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</si>
  <si>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</si>
  <si>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</si>
  <si>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</si>
  <si>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</si>
  <si>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</si>
  <si>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</si>
  <si>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</si>
  <si>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</si>
  <si>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</si>
  <si>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</si>
  <si>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</si>
  <si>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</si>
  <si>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</si>
  <si>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</si>
  <si>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</si>
  <si>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</si>
  <si>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</si>
  <si>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</si>
  <si>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</si>
  <si>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</si>
  <si>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</si>
  <si>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</si>
  <si>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</si>
  <si>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</si>
  <si>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</si>
  <si>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</si>
  <si>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</si>
  <si>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</si>
  <si>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</si>
  <si>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</si>
  <si>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</si>
  <si>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</si>
  <si>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</si>
  <si>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</si>
  <si>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</si>
  <si>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</si>
  <si>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</si>
  <si>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</si>
  <si>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</si>
  <si>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</si>
  <si>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</si>
  <si>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</si>
  <si>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</si>
  <si>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</si>
  <si>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</si>
  <si>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</si>
  <si>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</si>
  <si>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</si>
  <si>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</si>
  <si>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</si>
  <si>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</si>
  <si>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</si>
  <si>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</si>
  <si>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</si>
  <si>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</si>
  <si>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</si>
  <si>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</si>
  <si>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</si>
  <si>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</si>
  <si>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</si>
  <si>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</si>
  <si>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</si>
  <si>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</si>
  <si>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</si>
  <si>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</si>
  <si>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</si>
  <si>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</si>
  <si>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</si>
  <si>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</si>
  <si>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</si>
  <si>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</si>
  <si>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POTS</t>
  </si>
  <si>
    <t>NPR1</t>
  </si>
  <si>
    <t>II</t>
  </si>
  <si>
    <t>Phase III lichen simplex chronicus</t>
  </si>
  <si>
    <t>bullous pemphigoid</t>
  </si>
  <si>
    <t xml:space="preserve">EC approves childhood EoE </t>
  </si>
  <si>
    <t>Net Cash</t>
  </si>
  <si>
    <t>sBLA for CSU resubmitted, 4/18/25 PDUFA</t>
  </si>
  <si>
    <t>atopic dermatitis, asthma, eosinophilic esophagitis (EoE), CSU, bullous pemphigoid</t>
  </si>
  <si>
    <t>Phase III adjuvant CSCC</t>
  </si>
  <si>
    <t>DFS improvement</t>
  </si>
  <si>
    <t>Phase III intralesional early-stage CSCC</t>
  </si>
  <si>
    <t>Lucentis, Avastin</t>
  </si>
  <si>
    <t>Brand</t>
  </si>
  <si>
    <t>R/R Multiple Myeloma</t>
  </si>
  <si>
    <t>Tecvayli, Elrexfio already approved</t>
  </si>
  <si>
    <t>Phase II "LINKER-MM1" n=252 MM - NCT03761108</t>
  </si>
  <si>
    <t>64% ORR</t>
  </si>
  <si>
    <t>MOA</t>
  </si>
  <si>
    <t>R/R FL</t>
  </si>
  <si>
    <t>Epkinly (epcoritamab, ABBV/GMAB), Columvi (glofitamab, Roche) 52-63% ORR, 39% CR</t>
  </si>
  <si>
    <t>Lunsumio (mosunetuzumab), imvotamab (IGM-2323)</t>
  </si>
  <si>
    <t>REGN9933</t>
  </si>
  <si>
    <t>Factor XI catalytic domain antibody</t>
  </si>
  <si>
    <t>Designed to maximize anticoagulant activity while minimizing bleeding risk</t>
  </si>
  <si>
    <t>Phase II</t>
  </si>
  <si>
    <t>robust antithrombotic effect, no clinically relevant bleeding</t>
  </si>
  <si>
    <t>Factor XI  A2 domain antibody</t>
  </si>
  <si>
    <t>For patients with highest bleeding risk</t>
  </si>
  <si>
    <t>C5 antibody</t>
  </si>
  <si>
    <t>combination with cemdisiran vs. ravulizumab - 66th ASH</t>
  </si>
  <si>
    <t>better disease control vs. ravulizumab</t>
  </si>
  <si>
    <t>Phase I with dupilumab in severe food allergy</t>
  </si>
  <si>
    <t>Phase 2/3 in RA</t>
  </si>
  <si>
    <t>Phase 2 in ankylosing spondylitis</t>
  </si>
  <si>
    <t>EC approved polymyalgia rheumatica and pJIA</t>
  </si>
  <si>
    <t>generalized lipodystrophy</t>
  </si>
  <si>
    <t>Phase III initiated</t>
  </si>
  <si>
    <t>agonist antibody to leptin receptor</t>
  </si>
  <si>
    <t>trevogrumab</t>
  </si>
  <si>
    <t>myostatin</t>
  </si>
  <si>
    <t>FOP/obesity</t>
  </si>
  <si>
    <t>obesity</t>
  </si>
  <si>
    <t>itepekimab</t>
  </si>
  <si>
    <t>IL-33</t>
  </si>
  <si>
    <t>CRSsNP</t>
  </si>
  <si>
    <t>myostatin mab</t>
  </si>
  <si>
    <t>Phase II with semaglutide and +- garetosmab</t>
  </si>
  <si>
    <t>Phase II CRS without NP</t>
  </si>
  <si>
    <t>data 2H25</t>
  </si>
  <si>
    <t>CRSsNP, COPD</t>
  </si>
  <si>
    <t>Phase III COPD</t>
  </si>
  <si>
    <t>data 2H25, BLA 2H25</t>
  </si>
  <si>
    <t>more Phase III studies to be initiated 1H25</t>
  </si>
  <si>
    <t>resubmitted BLA 1/2025, decision 2H25</t>
  </si>
  <si>
    <t>Veopoz (pozelimab)</t>
  </si>
  <si>
    <t>BLA 761339 approved 8/18/2023</t>
  </si>
  <si>
    <t>CHAPLE, PNH</t>
  </si>
  <si>
    <t>Ordspono (odronextamab)</t>
  </si>
  <si>
    <t>REGN5713-5715, , REGN1908-1909, mibavademab</t>
  </si>
  <si>
    <t>resubmitted BLA 1/2025, FDA decision mid-2025</t>
  </si>
  <si>
    <t>Phase III - initiate 2025</t>
  </si>
  <si>
    <t>III initiating</t>
  </si>
  <si>
    <t>ubamatamab</t>
  </si>
  <si>
    <t>ovarian cancer</t>
  </si>
  <si>
    <t>MUC16xCD3</t>
  </si>
  <si>
    <t>DB-OTO</t>
  </si>
  <si>
    <t>otoferlin deafness</t>
  </si>
  <si>
    <t>otoferlin AAV</t>
  </si>
  <si>
    <t>Phase III myasthenia gravis with cemdisiran</t>
  </si>
  <si>
    <t>2H25 results</t>
  </si>
  <si>
    <t>Phase II obesity with tirzepatide</t>
  </si>
  <si>
    <t>2H25 data</t>
  </si>
  <si>
    <t>Filing sBLA for Eylea HD for q4w dosing regimen in Q125, FDA decision 2H25</t>
  </si>
  <si>
    <t>Filing sBLA for Eylea HD for RVO in Q125, decision 2H25</t>
  </si>
  <si>
    <t>FDA submission for Eylea HD pre-filled syringe, decision mid-2025</t>
  </si>
  <si>
    <t>fibrodysplasia ossificans progressiva</t>
  </si>
  <si>
    <t>activin A mab</t>
  </si>
  <si>
    <t>Phase III - reports 2H25</t>
  </si>
  <si>
    <t xml:space="preserve">Phase I/II </t>
  </si>
  <si>
    <t>new data mid 2025</t>
  </si>
  <si>
    <t>sBLA two-year wAMD, DME data decision 4/20/2025</t>
  </si>
  <si>
    <t>sBLA for bullous pemphigoid submitted, FDA decision 2H25, submit in EU 1H25</t>
  </si>
  <si>
    <t>submit sBLA for adjuvant CSCC - 1H25</t>
  </si>
  <si>
    <t>Metastatic Melanoma</t>
  </si>
  <si>
    <t>LAG-3 mab</t>
  </si>
  <si>
    <t>Phase III with Libtayo vs. pembro 1L MM</t>
  </si>
  <si>
    <t>Phase II with Libtayo 1L NSCLC</t>
  </si>
  <si>
    <t>1H25 results</t>
  </si>
  <si>
    <t>IL-4R subunit antibody</t>
  </si>
  <si>
    <t>Type II receptor: IL-4Ralpha + IL-13Ralpha1</t>
  </si>
  <si>
    <t>Type I receptor: IL-4Ralpha + common gamma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</si>
</sst>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3"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b/>
      <u/>
      <sz val="10"/>
      <color theme="1"/>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67">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10" fillId="0" borderId="0" xfId="0" applyFont="1"/>
    <xf numFmtId="4" fontId="1" fillId="0" borderId="0" xfId="0" applyNumberFormat="1" applyFont="1" applyAlignment="1">
      <alignment horizontal="right"/>
    </xf>
    <xf numFmtId="4" fontId="1" fillId="0" borderId="0" xfId="0" applyNumberFormat="1" applyFont="1"/>
    <xf numFmtId="0" fontId="0" fillId="0" borderId="0" xfId="0" quotePrefix="1"/>
    <xf numFmtId="9" fontId="0" fillId="0" borderId="0" xfId="0" applyNumberFormat="1" applyAlignment="1">
      <alignment horizontal="center"/>
    </xf>
    <xf numFmtId="9" fontId="2" fillId="0" borderId="0" xfId="0" applyNumberFormat="1" applyFont="1" applyAlignment="1">
      <alignment horizontal="center"/>
    </xf>
    <xf numFmtId="0" fontId="2" fillId="0" borderId="0" xfId="1" applyFont="1" applyFill="1" applyBorder="1" applyAlignment="1" applyProtection="1"/>
    <xf numFmtId="0" fontId="0" fillId="0" borderId="9" xfId="0" applyBorder="1" applyAlignment="1">
      <alignment horizontal="center"/>
    </xf>
    <xf numFmtId="0" fontId="4" fillId="0" borderId="0" xfId="1" applyFill="1" applyAlignment="1" applyProtection="1"/>
    <xf numFmtId="9" fontId="2" fillId="0" borderId="0" xfId="2" applyNumberFormat="1"/>
    <xf numFmtId="0" fontId="2" fillId="0" borderId="0" xfId="2" applyAlignment="1">
      <alignment horizontal="center"/>
    </xf>
    <xf numFmtId="0" fontId="2" fillId="0" borderId="0" xfId="2" applyAlignment="1">
      <alignment horizontal="right"/>
    </xf>
    <xf numFmtId="9" fontId="2" fillId="0" borderId="0" xfId="2" applyNumberFormat="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58</xdr:col>
      <xdr:colOff>13991</xdr:colOff>
      <xdr:row>0</xdr:row>
      <xdr:rowOff>0</xdr:rowOff>
    </xdr:from>
    <xdr:to>
      <xdr:col>58</xdr:col>
      <xdr:colOff>13991</xdr:colOff>
      <xdr:row>91</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001048" y="0"/>
          <a:ext cx="0" cy="143557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75</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2" dT="2022-09-16T10:03:00.58" personId="{6AE02F28-EECC-4040-93BD-26CB9CF8932E}" id="{CFF3BC2E-892D-4995-B558-D2A9395BF1AF}">
    <text>NGNI 1080.2</text>
  </threadedComment>
  <threadedComment ref="AT32" dT="2022-09-16T10:02:53.72" personId="{6AE02F28-EECC-4040-93BD-26CB9CF8932E}" id="{E621A5CA-53E8-48F9-80F2-12D076620DD9}">
    <text>NGNI 2711.5</text>
  </threadedComment>
  <threadedComment ref="BB32" dT="2025-03-01T02:07:28.50" personId="{6AE02F28-EECC-4040-93BD-26CB9CF8932E}" id="{D3D5216B-4988-49C7-99A4-DA91FFA880E8}">
    <text>1366 reported</text>
  </threadedComment>
  <threadedComment ref="BB33" dT="2025-03-01T02:07:37.13" personId="{6AE02F28-EECC-4040-93BD-26CB9CF8932E}" id="{A95EDEE9-78F2-4942-8307-5D690E42CB8B}">
    <text>11.86 reported</text>
  </threadedComment>
  <threadedComment ref="BF33" dT="2025-03-01T02:05:57.11" personId="{6AE02F28-EECC-4040-93BD-26CB9CF8932E}" id="{C838F7CA-FAD9-482A-B48C-72B198B21072}">
    <text>Reported 12.07, including 0.11 acquired IPR&amp;D</text>
  </threadedComment>
  <threadedComment ref="BZ36" dT="2025-03-01T01:58:52.97" personId="{6AE02F28-EECC-4040-93BD-26CB9CF8932E}" id="{2471E570-2248-4E4F-8018-AEC8997DEC40}">
    <text>+10% excluding Ronapreve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54"/>
  <sheetViews>
    <sheetView zoomScale="137" zoomScaleNormal="160" workbookViewId="0">
      <selection activeCell="B7" sqref="B7"/>
    </sheetView>
  </sheetViews>
  <sheetFormatPr defaultColWidth="8.85546875" defaultRowHeight="12.75" x14ac:dyDescent="0.2"/>
  <cols>
    <col min="1" max="1" width="3.7109375" customWidth="1"/>
    <col min="2" max="2" width="19.85546875" bestFit="1" customWidth="1"/>
    <col min="3" max="3" width="20" customWidth="1"/>
    <col min="4" max="4" width="10.42578125" bestFit="1" customWidth="1"/>
    <col min="5" max="5" width="11.7109375" customWidth="1"/>
    <col min="6" max="6" width="13.85546875" customWidth="1"/>
  </cols>
  <sheetData>
    <row r="2" spans="2:11" x14ac:dyDescent="0.2">
      <c r="B2" s="18" t="s">
        <v>48</v>
      </c>
      <c r="C2" s="19" t="s">
        <v>47</v>
      </c>
      <c r="D2" s="19" t="s">
        <v>46</v>
      </c>
      <c r="E2" s="19" t="s">
        <v>44</v>
      </c>
      <c r="F2" s="19" t="s">
        <v>43</v>
      </c>
      <c r="G2" s="20" t="s">
        <v>42</v>
      </c>
      <c r="I2" t="s">
        <v>41</v>
      </c>
      <c r="J2" s="21">
        <v>710</v>
      </c>
      <c r="K2" s="22"/>
    </row>
    <row r="3" spans="2:11" x14ac:dyDescent="0.2">
      <c r="B3" s="23" t="s">
        <v>40</v>
      </c>
      <c r="C3" s="24" t="s">
        <v>39</v>
      </c>
      <c r="D3" s="53">
        <v>39479</v>
      </c>
      <c r="E3" s="25"/>
      <c r="F3" s="26" t="s">
        <v>38</v>
      </c>
      <c r="G3" s="27"/>
      <c r="I3" t="s">
        <v>37</v>
      </c>
      <c r="J3" s="28">
        <v>115.4</v>
      </c>
      <c r="K3" s="22" t="s">
        <v>320</v>
      </c>
    </row>
    <row r="4" spans="2:11" x14ac:dyDescent="0.2">
      <c r="B4" s="29" t="s">
        <v>273</v>
      </c>
      <c r="C4" s="35" t="s">
        <v>30</v>
      </c>
      <c r="D4" s="52">
        <v>40865</v>
      </c>
      <c r="E4" s="30" t="s">
        <v>258</v>
      </c>
      <c r="F4" s="30" t="s">
        <v>238</v>
      </c>
      <c r="G4" s="46"/>
      <c r="I4" t="s">
        <v>34</v>
      </c>
      <c r="J4" s="1">
        <f>J2*J3</f>
        <v>81934</v>
      </c>
      <c r="K4" s="14"/>
    </row>
    <row r="5" spans="2:11" x14ac:dyDescent="0.2">
      <c r="B5" s="29" t="s">
        <v>272</v>
      </c>
      <c r="C5" s="30" t="s">
        <v>232</v>
      </c>
      <c r="D5" s="52">
        <v>41124</v>
      </c>
      <c r="E5" s="30" t="s">
        <v>233</v>
      </c>
      <c r="F5" s="30" t="s">
        <v>238</v>
      </c>
      <c r="G5" s="31"/>
      <c r="I5" t="s">
        <v>32</v>
      </c>
      <c r="J5" s="1">
        <v>17531</v>
      </c>
      <c r="K5" s="22" t="s">
        <v>320</v>
      </c>
    </row>
    <row r="6" spans="2:11" x14ac:dyDescent="0.2">
      <c r="B6" s="29" t="s">
        <v>253</v>
      </c>
      <c r="C6" s="35" t="s">
        <v>254</v>
      </c>
      <c r="D6" s="52">
        <v>42209</v>
      </c>
      <c r="E6" s="30" t="s">
        <v>233</v>
      </c>
      <c r="F6" s="30" t="s">
        <v>255</v>
      </c>
      <c r="G6" s="46"/>
      <c r="I6" t="s">
        <v>29</v>
      </c>
      <c r="J6" s="1">
        <v>1984</v>
      </c>
      <c r="K6" s="22" t="s">
        <v>320</v>
      </c>
    </row>
    <row r="7" spans="2:11" x14ac:dyDescent="0.2">
      <c r="B7" s="29" t="s">
        <v>33</v>
      </c>
      <c r="C7" s="30" t="s">
        <v>235</v>
      </c>
      <c r="D7" s="52">
        <v>42822</v>
      </c>
      <c r="E7" s="30" t="s">
        <v>233</v>
      </c>
      <c r="F7" s="30" t="s">
        <v>234</v>
      </c>
      <c r="G7" s="31"/>
      <c r="I7" s="34" t="s">
        <v>26</v>
      </c>
      <c r="J7" s="1">
        <f>J4-J5+J6</f>
        <v>66387</v>
      </c>
    </row>
    <row r="8" spans="2:11" x14ac:dyDescent="0.2">
      <c r="B8" s="29" t="s">
        <v>256</v>
      </c>
      <c r="C8" s="35" t="s">
        <v>25</v>
      </c>
      <c r="D8" s="52">
        <v>42969</v>
      </c>
      <c r="E8" s="30" t="s">
        <v>233</v>
      </c>
      <c r="F8" s="30" t="s">
        <v>257</v>
      </c>
      <c r="G8" s="46"/>
      <c r="I8" s="34"/>
      <c r="J8" s="1"/>
    </row>
    <row r="9" spans="2:11" x14ac:dyDescent="0.2">
      <c r="B9" s="29" t="s">
        <v>236</v>
      </c>
      <c r="C9" s="30" t="s">
        <v>259</v>
      </c>
      <c r="D9" s="52">
        <v>43371</v>
      </c>
      <c r="E9" s="30"/>
      <c r="F9" s="30" t="s">
        <v>237</v>
      </c>
      <c r="G9" s="31"/>
      <c r="I9" s="34" t="s">
        <v>367</v>
      </c>
      <c r="J9" s="1"/>
    </row>
    <row r="10" spans="2:11" x14ac:dyDescent="0.2">
      <c r="B10" s="29" t="s">
        <v>449</v>
      </c>
      <c r="C10" s="30" t="s">
        <v>261</v>
      </c>
      <c r="D10" s="52">
        <v>45156</v>
      </c>
      <c r="E10" s="58">
        <v>1</v>
      </c>
      <c r="F10" s="30" t="s">
        <v>262</v>
      </c>
      <c r="G10" s="31"/>
      <c r="I10" s="34" t="s">
        <v>317</v>
      </c>
      <c r="J10" s="1"/>
    </row>
    <row r="11" spans="2:11" x14ac:dyDescent="0.2">
      <c r="B11" s="37" t="s">
        <v>279</v>
      </c>
      <c r="C11" s="35" t="s">
        <v>254</v>
      </c>
      <c r="D11" s="52">
        <v>44238</v>
      </c>
      <c r="E11" s="59">
        <v>1</v>
      </c>
      <c r="F11" s="30" t="s">
        <v>280</v>
      </c>
      <c r="G11" s="46"/>
      <c r="I11" s="34" t="s">
        <v>359</v>
      </c>
      <c r="J11" s="36"/>
    </row>
    <row r="12" spans="2:11" x14ac:dyDescent="0.2">
      <c r="B12" s="18"/>
      <c r="C12" s="19"/>
      <c r="D12" s="19" t="s">
        <v>27</v>
      </c>
      <c r="E12" s="19"/>
      <c r="F12" s="19"/>
      <c r="G12" s="20"/>
      <c r="I12" s="34" t="s">
        <v>360</v>
      </c>
    </row>
    <row r="13" spans="2:11" x14ac:dyDescent="0.2">
      <c r="B13" s="23" t="s">
        <v>452</v>
      </c>
      <c r="C13" s="24" t="s">
        <v>268</v>
      </c>
      <c r="D13" s="26" t="s">
        <v>263</v>
      </c>
      <c r="E13" s="25">
        <v>1</v>
      </c>
      <c r="F13" s="26" t="s">
        <v>266</v>
      </c>
      <c r="G13" s="61"/>
    </row>
    <row r="14" spans="2:11" x14ac:dyDescent="0.2">
      <c r="B14" s="29" t="s">
        <v>274</v>
      </c>
      <c r="C14" s="30" t="s">
        <v>275</v>
      </c>
      <c r="D14" s="30" t="s">
        <v>267</v>
      </c>
      <c r="E14" s="59">
        <v>1</v>
      </c>
      <c r="F14" s="30" t="s">
        <v>276</v>
      </c>
      <c r="G14" s="31"/>
    </row>
    <row r="15" spans="2:11" x14ac:dyDescent="0.2">
      <c r="B15" s="29" t="s">
        <v>269</v>
      </c>
      <c r="C15" s="35" t="s">
        <v>271</v>
      </c>
      <c r="D15" s="30" t="s">
        <v>263</v>
      </c>
      <c r="E15" s="58">
        <v>1</v>
      </c>
      <c r="F15" s="30" t="s">
        <v>270</v>
      </c>
      <c r="G15" s="31"/>
    </row>
    <row r="16" spans="2:11" x14ac:dyDescent="0.2">
      <c r="B16" s="29" t="s">
        <v>264</v>
      </c>
      <c r="C16" s="30" t="s">
        <v>387</v>
      </c>
      <c r="D16" s="30" t="s">
        <v>267</v>
      </c>
      <c r="E16" s="58">
        <v>1</v>
      </c>
      <c r="F16" s="30" t="s">
        <v>388</v>
      </c>
      <c r="G16" s="31"/>
    </row>
    <row r="17" spans="2:9" x14ac:dyDescent="0.2">
      <c r="B17" s="29" t="s">
        <v>416</v>
      </c>
      <c r="C17" s="30" t="s">
        <v>282</v>
      </c>
      <c r="D17" s="30" t="s">
        <v>456</v>
      </c>
      <c r="E17" s="35"/>
      <c r="F17" s="30" t="s">
        <v>283</v>
      </c>
      <c r="G17" s="31"/>
    </row>
    <row r="18" spans="2:9" x14ac:dyDescent="0.2">
      <c r="B18" s="29" t="s">
        <v>281</v>
      </c>
      <c r="C18" s="30" t="s">
        <v>282</v>
      </c>
      <c r="D18" s="30" t="s">
        <v>456</v>
      </c>
      <c r="E18" s="35"/>
      <c r="F18" s="30" t="s">
        <v>283</v>
      </c>
      <c r="G18" s="31"/>
    </row>
    <row r="19" spans="2:9" x14ac:dyDescent="0.2">
      <c r="B19" s="37" t="s">
        <v>287</v>
      </c>
      <c r="C19" s="35" t="s">
        <v>290</v>
      </c>
      <c r="D19" s="30"/>
      <c r="E19" s="35" t="s">
        <v>288</v>
      </c>
      <c r="F19" s="30" t="s">
        <v>289</v>
      </c>
      <c r="G19" s="31"/>
    </row>
    <row r="20" spans="2:9" x14ac:dyDescent="0.2">
      <c r="B20" s="37" t="s">
        <v>291</v>
      </c>
      <c r="C20" s="30" t="s">
        <v>292</v>
      </c>
      <c r="D20" s="30"/>
      <c r="E20" s="35"/>
      <c r="F20" s="30" t="s">
        <v>293</v>
      </c>
      <c r="G20" s="31"/>
    </row>
    <row r="21" spans="2:9" x14ac:dyDescent="0.2">
      <c r="B21" s="29" t="s">
        <v>433</v>
      </c>
      <c r="C21" s="30" t="s">
        <v>436</v>
      </c>
      <c r="D21" s="30" t="s">
        <v>396</v>
      </c>
      <c r="E21" s="58">
        <v>1</v>
      </c>
      <c r="F21" s="30" t="s">
        <v>434</v>
      </c>
      <c r="G21" s="31"/>
    </row>
    <row r="22" spans="2:9" x14ac:dyDescent="0.2">
      <c r="B22" s="37" t="s">
        <v>389</v>
      </c>
      <c r="C22" s="30" t="s">
        <v>390</v>
      </c>
      <c r="D22" s="30" t="s">
        <v>391</v>
      </c>
      <c r="E22" s="35" t="s">
        <v>392</v>
      </c>
      <c r="F22" s="30"/>
      <c r="G22" s="31"/>
      <c r="I22" t="s">
        <v>453</v>
      </c>
    </row>
    <row r="23" spans="2:9" x14ac:dyDescent="0.2">
      <c r="B23" s="29" t="s">
        <v>277</v>
      </c>
      <c r="C23" s="30" t="s">
        <v>435</v>
      </c>
      <c r="D23" s="30" t="s">
        <v>396</v>
      </c>
      <c r="E23" s="58">
        <v>1</v>
      </c>
      <c r="F23" s="30" t="s">
        <v>278</v>
      </c>
      <c r="G23" s="31"/>
    </row>
    <row r="24" spans="2:9" x14ac:dyDescent="0.2">
      <c r="B24" s="37" t="s">
        <v>294</v>
      </c>
      <c r="C24" s="30" t="s">
        <v>259</v>
      </c>
      <c r="D24" s="30"/>
      <c r="E24" s="35"/>
      <c r="F24" s="30" t="s">
        <v>295</v>
      </c>
      <c r="G24" s="31"/>
    </row>
    <row r="25" spans="2:9" x14ac:dyDescent="0.2">
      <c r="B25" s="29" t="s">
        <v>437</v>
      </c>
      <c r="C25" s="30" t="s">
        <v>444</v>
      </c>
      <c r="D25" s="30" t="s">
        <v>396</v>
      </c>
      <c r="E25" s="35"/>
      <c r="F25" s="30" t="s">
        <v>438</v>
      </c>
      <c r="G25" s="31"/>
    </row>
    <row r="26" spans="2:9" x14ac:dyDescent="0.2">
      <c r="B26" s="37" t="s">
        <v>284</v>
      </c>
      <c r="C26" s="30" t="s">
        <v>285</v>
      </c>
      <c r="D26" s="30"/>
      <c r="E26" s="35"/>
      <c r="F26" s="30" t="s">
        <v>286</v>
      </c>
      <c r="G26" s="31"/>
    </row>
    <row r="27" spans="2:9" x14ac:dyDescent="0.2">
      <c r="B27" s="37" t="s">
        <v>457</v>
      </c>
      <c r="C27" s="30" t="s">
        <v>458</v>
      </c>
      <c r="D27" s="30"/>
      <c r="E27" s="35"/>
      <c r="F27" s="30" t="s">
        <v>459</v>
      </c>
      <c r="G27" s="31"/>
    </row>
    <row r="28" spans="2:9" x14ac:dyDescent="0.2">
      <c r="B28" s="37" t="s">
        <v>296</v>
      </c>
      <c r="C28" s="30"/>
      <c r="D28" s="30"/>
      <c r="E28" s="35"/>
      <c r="F28" s="30" t="s">
        <v>297</v>
      </c>
      <c r="G28" s="31"/>
    </row>
    <row r="29" spans="2:9" x14ac:dyDescent="0.2">
      <c r="B29" s="37" t="s">
        <v>460</v>
      </c>
      <c r="C29" s="30" t="s">
        <v>461</v>
      </c>
      <c r="D29" s="30" t="s">
        <v>396</v>
      </c>
      <c r="E29" s="35"/>
      <c r="F29" s="30" t="s">
        <v>462</v>
      </c>
      <c r="G29" s="31"/>
    </row>
    <row r="30" spans="2:9" x14ac:dyDescent="0.2">
      <c r="B30" s="37" t="s">
        <v>298</v>
      </c>
      <c r="C30" s="30"/>
      <c r="D30" s="30"/>
      <c r="E30" s="35"/>
      <c r="F30" s="30" t="s">
        <v>299</v>
      </c>
      <c r="G30" s="31"/>
    </row>
    <row r="31" spans="2:9" x14ac:dyDescent="0.2">
      <c r="B31" s="37" t="s">
        <v>393</v>
      </c>
      <c r="C31" s="30" t="s">
        <v>394</v>
      </c>
      <c r="D31" s="30" t="s">
        <v>396</v>
      </c>
      <c r="E31" s="35"/>
      <c r="F31" s="30" t="s">
        <v>395</v>
      </c>
      <c r="G31" s="31"/>
    </row>
    <row r="32" spans="2:9" x14ac:dyDescent="0.2">
      <c r="B32" s="37" t="s">
        <v>300</v>
      </c>
      <c r="C32" s="30" t="s">
        <v>301</v>
      </c>
      <c r="D32" s="30"/>
      <c r="E32" s="35"/>
      <c r="F32" s="30" t="s">
        <v>302</v>
      </c>
      <c r="G32" s="31"/>
    </row>
    <row r="33" spans="2:7" x14ac:dyDescent="0.2">
      <c r="B33" s="47" t="s">
        <v>24</v>
      </c>
      <c r="C33" s="33" t="s">
        <v>23</v>
      </c>
      <c r="D33" s="33" t="s">
        <v>22</v>
      </c>
      <c r="E33" s="32"/>
      <c r="F33" s="33" t="s">
        <v>21</v>
      </c>
      <c r="G33" s="38"/>
    </row>
    <row r="34" spans="2:7" x14ac:dyDescent="0.2">
      <c r="B34" s="60"/>
      <c r="C34" s="30"/>
      <c r="D34" s="30"/>
      <c r="E34" s="35"/>
      <c r="F34" s="30"/>
      <c r="G34" s="35"/>
    </row>
    <row r="35" spans="2:7" x14ac:dyDescent="0.2">
      <c r="B35" s="34"/>
      <c r="C35" s="35"/>
      <c r="D35" s="35"/>
      <c r="E35" s="35"/>
      <c r="F35" s="39" t="s">
        <v>19</v>
      </c>
      <c r="G35" s="35"/>
    </row>
    <row r="36" spans="2:7" x14ac:dyDescent="0.2">
      <c r="B36" s="34"/>
      <c r="C36" s="35"/>
      <c r="D36" s="35"/>
      <c r="E36" s="40"/>
      <c r="F36" s="39" t="s">
        <v>18</v>
      </c>
      <c r="G36" s="35"/>
    </row>
    <row r="37" spans="2:7" x14ac:dyDescent="0.2">
      <c r="B37" s="34"/>
      <c r="C37" s="35"/>
      <c r="D37" s="35"/>
      <c r="E37" s="40"/>
      <c r="F37" s="39" t="s">
        <v>17</v>
      </c>
      <c r="G37" s="35"/>
    </row>
    <row r="38" spans="2:7" x14ac:dyDescent="0.2">
      <c r="B38" s="34"/>
      <c r="C38" s="35"/>
      <c r="D38" s="35"/>
      <c r="E38" s="40"/>
      <c r="F38" s="39" t="s">
        <v>16</v>
      </c>
      <c r="G38" s="35"/>
    </row>
    <row r="39" spans="2:7" x14ac:dyDescent="0.2">
      <c r="C39" s="35"/>
      <c r="D39" s="35"/>
      <c r="E39" s="35"/>
      <c r="F39" s="39" t="s">
        <v>15</v>
      </c>
      <c r="G39" s="35"/>
    </row>
    <row r="40" spans="2:7" x14ac:dyDescent="0.2">
      <c r="C40" s="35"/>
      <c r="D40" s="35"/>
      <c r="E40" s="35"/>
      <c r="F40" s="39" t="s">
        <v>14</v>
      </c>
      <c r="G40" s="35"/>
    </row>
    <row r="41" spans="2:7" x14ac:dyDescent="0.2">
      <c r="C41" s="35"/>
      <c r="D41" s="35"/>
      <c r="E41" s="35"/>
      <c r="F41" s="39" t="s">
        <v>13</v>
      </c>
      <c r="G41" s="35"/>
    </row>
    <row r="42" spans="2:7" x14ac:dyDescent="0.2">
      <c r="C42" s="35"/>
      <c r="D42" s="35"/>
      <c r="E42" s="35"/>
      <c r="F42" s="39" t="s">
        <v>12</v>
      </c>
      <c r="G42" s="35"/>
    </row>
    <row r="43" spans="2:7" x14ac:dyDescent="0.2">
      <c r="C43" s="35"/>
      <c r="D43" s="35"/>
      <c r="E43" s="35"/>
      <c r="F43" s="39" t="s">
        <v>11</v>
      </c>
      <c r="G43" s="35"/>
    </row>
    <row r="44" spans="2:7" x14ac:dyDescent="0.2">
      <c r="C44" s="35"/>
      <c r="D44" s="35"/>
      <c r="E44" s="35"/>
      <c r="F44" s="41" t="s">
        <v>10</v>
      </c>
      <c r="G44" s="35"/>
    </row>
    <row r="45" spans="2:7" x14ac:dyDescent="0.2">
      <c r="C45" s="35"/>
      <c r="D45" s="35"/>
      <c r="E45" s="35"/>
      <c r="F45" s="41" t="s">
        <v>9</v>
      </c>
      <c r="G45" s="35"/>
    </row>
    <row r="46" spans="2:7" x14ac:dyDescent="0.2">
      <c r="C46" s="35"/>
      <c r="D46" s="35"/>
      <c r="E46" s="35"/>
      <c r="F46" s="41" t="s">
        <v>8</v>
      </c>
      <c r="G46" s="35"/>
    </row>
    <row r="47" spans="2:7" x14ac:dyDescent="0.2">
      <c r="C47" s="35"/>
      <c r="D47" s="35"/>
      <c r="E47" s="35"/>
      <c r="F47" s="41" t="s">
        <v>7</v>
      </c>
      <c r="G47" s="35"/>
    </row>
    <row r="48" spans="2:7" x14ac:dyDescent="0.2">
      <c r="C48" s="35"/>
      <c r="D48" s="35"/>
      <c r="E48" s="35"/>
      <c r="F48" s="41" t="s">
        <v>6</v>
      </c>
      <c r="G48" s="35"/>
    </row>
    <row r="49" spans="3:7" x14ac:dyDescent="0.2">
      <c r="C49" s="35"/>
      <c r="D49" s="35"/>
      <c r="E49" s="35"/>
      <c r="F49" s="41" t="s">
        <v>5</v>
      </c>
      <c r="G49" s="35"/>
    </row>
    <row r="50" spans="3:7" x14ac:dyDescent="0.2">
      <c r="C50" s="35"/>
      <c r="D50" s="35"/>
      <c r="E50" s="35"/>
      <c r="F50" s="41" t="s">
        <v>4</v>
      </c>
      <c r="G50" s="35"/>
    </row>
    <row r="51" spans="3:7" x14ac:dyDescent="0.2">
      <c r="C51" s="35"/>
      <c r="D51" s="35"/>
      <c r="E51" s="35"/>
      <c r="F51" s="41" t="s">
        <v>3</v>
      </c>
      <c r="G51" s="35"/>
    </row>
    <row r="52" spans="3:7" x14ac:dyDescent="0.2">
      <c r="C52" s="35"/>
      <c r="D52" s="35"/>
      <c r="E52" s="35"/>
      <c r="F52" s="41" t="s">
        <v>2</v>
      </c>
      <c r="G52" s="35"/>
    </row>
    <row r="53" spans="3:7" x14ac:dyDescent="0.2">
      <c r="C53" s="35"/>
      <c r="D53" s="35"/>
      <c r="E53" s="35"/>
      <c r="F53" s="41" t="s">
        <v>1</v>
      </c>
      <c r="G53" s="35"/>
    </row>
    <row r="54" spans="3:7" x14ac:dyDescent="0.2">
      <c r="C54" s="35"/>
      <c r="D54" s="35"/>
      <c r="E54" s="35"/>
      <c r="F54" s="41" t="s">
        <v>0</v>
      </c>
      <c r="G54" s="35"/>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 ref="B9" location="Libtayo!A1" display="Libtayo (cemiplimab)" xr:uid="{7F5D17B9-00FE-47D6-87D0-5B2F24F89B0F}"/>
    <hyperlink ref="B15" location="linvoseltamab!A1" display="linvoseltamab" xr:uid="{9EF34322-B5DE-405A-A223-F00FD69E4AC1}"/>
    <hyperlink ref="B13" location="odronextamab!A1" display="odronextamab" xr:uid="{FE466630-238D-4B10-B392-91FDCFBDEABC}"/>
    <hyperlink ref="B18" location="REGN7508!A1" display="REGN7508" xr:uid="{BA9EED3F-C6E1-4F40-977A-6B122D6ED6A2}"/>
    <hyperlink ref="B17" location="REGN9933!A1" display="REGN9933" xr:uid="{6073BB30-626C-4AE9-9CD5-C89B25A1BDE7}"/>
    <hyperlink ref="B10" location="pozelimab!A1" display="pozelimab" xr:uid="{6758568C-53ED-40C0-98D9-15C8F236D3F7}"/>
    <hyperlink ref="B14" location="mibavademab!A1" display="mibavademab" xr:uid="{A20A17B8-FD21-43F7-B1CD-F75FC75815B8}"/>
    <hyperlink ref="B21" location="trevogrumab!A1" display="trevogrumab" xr:uid="{866D274B-E9D2-484F-A5BA-7720D3D8A32E}"/>
    <hyperlink ref="B25" location="itepekimab!A1" display="itepekimab" xr:uid="{C265B947-394F-4472-95E2-5CE0E7DE9965}"/>
    <hyperlink ref="B23" location="garetosmab!A1" display="garetosmab" xr:uid="{35EFDBA7-99E5-41BD-BE7A-2291D620CC0F}"/>
    <hyperlink ref="B16" location="fianlimab!A1" display="fianlimab" xr:uid="{A89220F1-FBF2-4AD8-849A-7F678951CC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1EC2-5A4B-49FE-82E1-AE238EDCA55D}">
  <dimension ref="A1:C8"/>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row>
    <row r="3" spans="1:3" x14ac:dyDescent="0.2">
      <c r="B3" t="s">
        <v>378</v>
      </c>
      <c r="C3" t="s">
        <v>433</v>
      </c>
    </row>
    <row r="4" spans="1:3" x14ac:dyDescent="0.2">
      <c r="B4" t="s">
        <v>412</v>
      </c>
      <c r="C4" t="s">
        <v>440</v>
      </c>
    </row>
    <row r="5" spans="1:3" x14ac:dyDescent="0.2">
      <c r="B5" t="s">
        <v>47</v>
      </c>
      <c r="C5" t="s">
        <v>436</v>
      </c>
    </row>
    <row r="6" spans="1:3" x14ac:dyDescent="0.2">
      <c r="B6" t="s">
        <v>65</v>
      </c>
    </row>
    <row r="7" spans="1:3" x14ac:dyDescent="0.2">
      <c r="C7" s="54" t="s">
        <v>441</v>
      </c>
    </row>
    <row r="8" spans="1:3" x14ac:dyDescent="0.2">
      <c r="C8" t="s">
        <v>443</v>
      </c>
    </row>
  </sheetData>
  <hyperlinks>
    <hyperlink ref="A1" location="Main!A1" display="Main" xr:uid="{F4896753-C538-48A4-AE58-1958C6BB606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812C-74CD-4756-9BF1-6B7F162CA2F2}">
  <dimension ref="A1:C12"/>
  <sheetViews>
    <sheetView zoomScale="235" zoomScaleNormal="235" workbookViewId="0">
      <selection activeCell="C13" sqref="C13"/>
    </sheetView>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264</v>
      </c>
    </row>
    <row r="4" spans="1:3" x14ac:dyDescent="0.2">
      <c r="B4" t="s">
        <v>47</v>
      </c>
      <c r="C4" t="s">
        <v>478</v>
      </c>
    </row>
    <row r="5" spans="1:3" x14ac:dyDescent="0.2">
      <c r="B5" t="s">
        <v>412</v>
      </c>
      <c r="C5" t="s">
        <v>479</v>
      </c>
    </row>
    <row r="6" spans="1:3" x14ac:dyDescent="0.2">
      <c r="B6" t="s">
        <v>65</v>
      </c>
    </row>
    <row r="7" spans="1:3" x14ac:dyDescent="0.2">
      <c r="C7" s="54" t="s">
        <v>480</v>
      </c>
    </row>
    <row r="8" spans="1:3" x14ac:dyDescent="0.2">
      <c r="C8" t="s">
        <v>464</v>
      </c>
    </row>
    <row r="11" spans="1:3" x14ac:dyDescent="0.2">
      <c r="C11" s="54" t="s">
        <v>481</v>
      </c>
    </row>
    <row r="12" spans="1:3" x14ac:dyDescent="0.2">
      <c r="C12" t="s">
        <v>482</v>
      </c>
    </row>
  </sheetData>
  <hyperlinks>
    <hyperlink ref="A1" location="Main!A1" display="Main" xr:uid="{AB40CBEC-4532-4BF6-8274-758E729BB8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3F31-5886-4D2F-9CC5-0FEF387C8ED8}">
  <dimension ref="A1:C7"/>
  <sheetViews>
    <sheetView zoomScale="205" zoomScaleNormal="20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277</v>
      </c>
    </row>
    <row r="4" spans="1:3" x14ac:dyDescent="0.2">
      <c r="B4" t="s">
        <v>47</v>
      </c>
      <c r="C4" t="s">
        <v>470</v>
      </c>
    </row>
    <row r="5" spans="1:3" x14ac:dyDescent="0.2">
      <c r="B5" t="s">
        <v>412</v>
      </c>
      <c r="C5" t="s">
        <v>471</v>
      </c>
    </row>
    <row r="6" spans="1:3" x14ac:dyDescent="0.2">
      <c r="B6" t="s">
        <v>65</v>
      </c>
    </row>
    <row r="7" spans="1:3" x14ac:dyDescent="0.2">
      <c r="C7" s="54" t="s">
        <v>472</v>
      </c>
    </row>
  </sheetData>
  <hyperlinks>
    <hyperlink ref="A1" location="Main!A1" display="Main" xr:uid="{48E87823-DE66-4E27-B714-E9C7F575BF9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835F-6C5E-42B0-A176-0B0DAC34DD63}">
  <dimension ref="A1:C13"/>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t="s">
        <v>437</v>
      </c>
    </row>
    <row r="4" spans="1:3" x14ac:dyDescent="0.2">
      <c r="B4" t="s">
        <v>412</v>
      </c>
      <c r="C4" t="s">
        <v>438</v>
      </c>
    </row>
    <row r="5" spans="1:3" x14ac:dyDescent="0.2">
      <c r="B5" t="s">
        <v>47</v>
      </c>
      <c r="C5" t="s">
        <v>439</v>
      </c>
    </row>
    <row r="6" spans="1:3" x14ac:dyDescent="0.2">
      <c r="B6" t="s">
        <v>65</v>
      </c>
    </row>
    <row r="7" spans="1:3" x14ac:dyDescent="0.2">
      <c r="C7" s="54" t="s">
        <v>442</v>
      </c>
    </row>
    <row r="10" spans="1:3" x14ac:dyDescent="0.2">
      <c r="C10" s="54" t="s">
        <v>445</v>
      </c>
    </row>
    <row r="11" spans="1:3" x14ac:dyDescent="0.2">
      <c r="C11" t="s">
        <v>446</v>
      </c>
    </row>
    <row r="13" spans="1:3" x14ac:dyDescent="0.2">
      <c r="C13" t="s">
        <v>447</v>
      </c>
    </row>
  </sheetData>
  <hyperlinks>
    <hyperlink ref="A1" location="Main!A1" display="Main" xr:uid="{1A25C32C-88C8-4231-90CC-4A4B737BC1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96A6-ABE8-4587-9E4B-81D5B9206A84}">
  <dimension ref="A1:C12"/>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c r="C2" t="s">
        <v>281</v>
      </c>
    </row>
    <row r="3" spans="1:3" x14ac:dyDescent="0.2">
      <c r="B3" t="s">
        <v>47</v>
      </c>
    </row>
    <row r="4" spans="1:3" x14ac:dyDescent="0.2">
      <c r="B4" t="s">
        <v>412</v>
      </c>
      <c r="C4" t="s">
        <v>417</v>
      </c>
    </row>
    <row r="5" spans="1:3" x14ac:dyDescent="0.2">
      <c r="C5" t="s">
        <v>418</v>
      </c>
    </row>
    <row r="6" spans="1:3" x14ac:dyDescent="0.2">
      <c r="B6" t="s">
        <v>65</v>
      </c>
    </row>
    <row r="7" spans="1:3" x14ac:dyDescent="0.2">
      <c r="C7" s="54" t="s">
        <v>455</v>
      </c>
    </row>
    <row r="11" spans="1:3" x14ac:dyDescent="0.2">
      <c r="C11" s="54" t="s">
        <v>419</v>
      </c>
    </row>
    <row r="12" spans="1:3" x14ac:dyDescent="0.2">
      <c r="C12" t="s">
        <v>420</v>
      </c>
    </row>
  </sheetData>
  <hyperlinks>
    <hyperlink ref="A1" location="Main!A1" display="Main" xr:uid="{ECED9906-3877-4162-A6E8-6EDFB5D2C55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FB1-7A08-4161-BF26-C3B1E1BB2FA2}">
  <dimension ref="A1:C12"/>
  <sheetViews>
    <sheetView zoomScale="190" zoomScaleNormal="190" workbookViewId="0">
      <selection activeCell="C7" sqref="C7"/>
    </sheetView>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c r="C2" t="s">
        <v>416</v>
      </c>
    </row>
    <row r="3" spans="1:3" x14ac:dyDescent="0.2">
      <c r="B3" t="s">
        <v>47</v>
      </c>
    </row>
    <row r="4" spans="1:3" x14ac:dyDescent="0.2">
      <c r="B4" t="s">
        <v>412</v>
      </c>
      <c r="C4" t="s">
        <v>421</v>
      </c>
    </row>
    <row r="5" spans="1:3" x14ac:dyDescent="0.2">
      <c r="C5" t="s">
        <v>422</v>
      </c>
    </row>
    <row r="6" spans="1:3" x14ac:dyDescent="0.2">
      <c r="B6" t="s">
        <v>65</v>
      </c>
    </row>
    <row r="7" spans="1:3" x14ac:dyDescent="0.2">
      <c r="C7" s="54" t="s">
        <v>455</v>
      </c>
    </row>
    <row r="11" spans="1:3" x14ac:dyDescent="0.2">
      <c r="C11" s="54" t="s">
        <v>419</v>
      </c>
    </row>
    <row r="12" spans="1:3" x14ac:dyDescent="0.2">
      <c r="C12" t="s">
        <v>420</v>
      </c>
    </row>
  </sheetData>
  <hyperlinks>
    <hyperlink ref="A1" location="Main!A1" display="Main" xr:uid="{DE93BB85-5A91-4184-9544-84BA7E4856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78</v>
      </c>
    </row>
    <row r="2" spans="1:4" x14ac:dyDescent="0.2">
      <c r="B2" s="2" t="s">
        <v>77</v>
      </c>
      <c r="C2" s="2" t="s">
        <v>76</v>
      </c>
    </row>
    <row r="3" spans="1:4" x14ac:dyDescent="0.2">
      <c r="B3" s="2" t="s">
        <v>75</v>
      </c>
      <c r="C3" s="2" t="s">
        <v>74</v>
      </c>
    </row>
    <row r="4" spans="1:4" x14ac:dyDescent="0.2">
      <c r="B4" s="2" t="s">
        <v>47</v>
      </c>
      <c r="C4" s="2" t="s">
        <v>73</v>
      </c>
    </row>
    <row r="5" spans="1:4" x14ac:dyDescent="0.2">
      <c r="C5" s="2" t="s">
        <v>72</v>
      </c>
    </row>
    <row r="6" spans="1:4" x14ac:dyDescent="0.2">
      <c r="B6" s="2" t="s">
        <v>43</v>
      </c>
      <c r="C6" s="2" t="s">
        <v>71</v>
      </c>
    </row>
    <row r="7" spans="1:4" x14ac:dyDescent="0.2">
      <c r="C7" s="2" t="s">
        <v>70</v>
      </c>
    </row>
    <row r="8" spans="1:4" x14ac:dyDescent="0.2">
      <c r="C8" s="2" t="s">
        <v>69</v>
      </c>
    </row>
    <row r="9" spans="1:4" x14ac:dyDescent="0.2">
      <c r="C9" s="2" t="s">
        <v>68</v>
      </c>
    </row>
    <row r="10" spans="1:4" x14ac:dyDescent="0.2">
      <c r="C10" s="2" t="s">
        <v>67</v>
      </c>
    </row>
    <row r="11" spans="1:4" x14ac:dyDescent="0.2">
      <c r="C11" s="2" t="s">
        <v>66</v>
      </c>
    </row>
    <row r="12" spans="1:4" x14ac:dyDescent="0.2">
      <c r="B12" s="2" t="s">
        <v>65</v>
      </c>
    </row>
    <row r="13" spans="1:4" x14ac:dyDescent="0.2">
      <c r="C13" s="7" t="s">
        <v>64</v>
      </c>
    </row>
    <row r="14" spans="1:4" x14ac:dyDescent="0.2">
      <c r="C14" s="2" t="s">
        <v>63</v>
      </c>
    </row>
    <row r="15" spans="1:4" x14ac:dyDescent="0.2">
      <c r="D15" s="2" t="s">
        <v>62</v>
      </c>
    </row>
    <row r="16" spans="1:4" x14ac:dyDescent="0.2">
      <c r="C16" s="2" t="s">
        <v>61</v>
      </c>
    </row>
    <row r="17" spans="3:6" x14ac:dyDescent="0.2">
      <c r="D17" s="2" t="s">
        <v>60</v>
      </c>
    </row>
    <row r="18" spans="3:6" x14ac:dyDescent="0.2">
      <c r="C18" s="2" t="s">
        <v>59</v>
      </c>
    </row>
    <row r="19" spans="3:6" x14ac:dyDescent="0.2">
      <c r="D19" s="6" t="s">
        <v>58</v>
      </c>
    </row>
    <row r="21" spans="3:6" x14ac:dyDescent="0.2">
      <c r="C21" s="5" t="s">
        <v>57</v>
      </c>
    </row>
    <row r="22" spans="3:6" x14ac:dyDescent="0.2">
      <c r="C22" s="2" t="s">
        <v>56</v>
      </c>
      <c r="D22" s="3"/>
    </row>
    <row r="23" spans="3:6" x14ac:dyDescent="0.2">
      <c r="D23" s="2" t="s">
        <v>55</v>
      </c>
      <c r="E23" s="2" t="s">
        <v>54</v>
      </c>
      <c r="F23" s="2" t="s">
        <v>53</v>
      </c>
    </row>
    <row r="24" spans="3:6" x14ac:dyDescent="0.2">
      <c r="C24" s="4" t="s">
        <v>52</v>
      </c>
      <c r="D24" s="3">
        <v>1.23</v>
      </c>
      <c r="E24" s="2">
        <v>0.35</v>
      </c>
      <c r="F24" s="2">
        <v>0.34</v>
      </c>
    </row>
    <row r="26" spans="3:6" x14ac:dyDescent="0.2">
      <c r="C26" s="2" t="s">
        <v>51</v>
      </c>
    </row>
    <row r="27" spans="3:6" x14ac:dyDescent="0.2">
      <c r="C27" s="2" t="s">
        <v>50</v>
      </c>
    </row>
    <row r="28" spans="3:6" x14ac:dyDescent="0.2">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9" bestFit="1" customWidth="1"/>
    <col min="2" max="2" width="17.42578125" style="9" bestFit="1" customWidth="1"/>
    <col min="3" max="3" width="9.140625" style="9"/>
    <col min="4" max="4" width="10.85546875" style="9" bestFit="1" customWidth="1"/>
    <col min="5" max="16384" width="9.140625" style="9"/>
  </cols>
  <sheetData>
    <row r="1" spans="1:6" x14ac:dyDescent="0.2">
      <c r="A1" s="8" t="s">
        <v>78</v>
      </c>
      <c r="B1" s="2"/>
      <c r="C1" s="2"/>
      <c r="D1" s="2"/>
    </row>
    <row r="2" spans="1:6" x14ac:dyDescent="0.2">
      <c r="A2" s="2"/>
      <c r="B2" s="2" t="s">
        <v>77</v>
      </c>
      <c r="C2" s="2" t="s">
        <v>36</v>
      </c>
      <c r="D2" s="2"/>
    </row>
    <row r="3" spans="1:6" x14ac:dyDescent="0.2">
      <c r="A3" s="2"/>
      <c r="B3" s="2" t="s">
        <v>75</v>
      </c>
      <c r="C3" s="9" t="s">
        <v>134</v>
      </c>
      <c r="D3" s="2"/>
    </row>
    <row r="4" spans="1:6" x14ac:dyDescent="0.2">
      <c r="A4" s="2"/>
      <c r="B4" s="2" t="s">
        <v>43</v>
      </c>
      <c r="C4" s="2" t="s">
        <v>152</v>
      </c>
      <c r="D4" s="2"/>
    </row>
    <row r="5" spans="1:6" x14ac:dyDescent="0.2">
      <c r="A5" s="2"/>
      <c r="B5" s="2" t="s">
        <v>47</v>
      </c>
      <c r="C5" s="2" t="s">
        <v>35</v>
      </c>
      <c r="D5" s="2"/>
    </row>
    <row r="6" spans="1:6" x14ac:dyDescent="0.2">
      <c r="A6" s="2"/>
      <c r="B6" s="2" t="s">
        <v>45</v>
      </c>
      <c r="C6" s="2"/>
      <c r="D6" s="2"/>
    </row>
    <row r="7" spans="1:6" x14ac:dyDescent="0.2">
      <c r="A7" s="2"/>
      <c r="B7" s="2" t="s">
        <v>44</v>
      </c>
      <c r="C7" s="2" t="s">
        <v>151</v>
      </c>
      <c r="D7" s="2"/>
    </row>
    <row r="8" spans="1:6" x14ac:dyDescent="0.2">
      <c r="A8" s="2"/>
      <c r="B8" s="2" t="s">
        <v>131</v>
      </c>
      <c r="C8" s="2" t="s">
        <v>150</v>
      </c>
      <c r="D8" s="2"/>
    </row>
    <row r="9" spans="1:6" x14ac:dyDescent="0.2">
      <c r="A9" s="2"/>
      <c r="B9" s="2" t="s">
        <v>65</v>
      </c>
      <c r="C9" s="2"/>
      <c r="D9" s="2"/>
    </row>
    <row r="11" spans="1:6" x14ac:dyDescent="0.2">
      <c r="C11" s="10" t="s">
        <v>149</v>
      </c>
    </row>
    <row r="12" spans="1:6" x14ac:dyDescent="0.2">
      <c r="C12" s="9" t="s">
        <v>148</v>
      </c>
      <c r="E12" s="9" t="s">
        <v>147</v>
      </c>
    </row>
    <row r="13" spans="1:6" x14ac:dyDescent="0.2">
      <c r="C13" s="9" t="s">
        <v>146</v>
      </c>
      <c r="D13" s="9" t="s">
        <v>145</v>
      </c>
      <c r="E13" s="9" t="s">
        <v>144</v>
      </c>
      <c r="F13" s="9" t="s">
        <v>143</v>
      </c>
    </row>
    <row r="14" spans="1:6" x14ac:dyDescent="0.2">
      <c r="B14" s="9" t="s">
        <v>116</v>
      </c>
      <c r="C14" s="9">
        <v>292</v>
      </c>
      <c r="D14" s="9">
        <v>293</v>
      </c>
      <c r="E14" s="9">
        <v>612</v>
      </c>
      <c r="F14" s="9">
        <v>614</v>
      </c>
    </row>
    <row r="15" spans="1:6" x14ac:dyDescent="0.2">
      <c r="B15" s="9" t="s">
        <v>142</v>
      </c>
      <c r="C15" s="11">
        <v>8.5999999999999993E-2</v>
      </c>
      <c r="D15" s="11">
        <v>0.22700000000000001</v>
      </c>
      <c r="E15" s="11">
        <v>0.111</v>
      </c>
      <c r="F15" s="11">
        <v>0.19800000000000001</v>
      </c>
    </row>
    <row r="16" spans="1:6" x14ac:dyDescent="0.2">
      <c r="B16" s="9" t="s">
        <v>141</v>
      </c>
      <c r="C16" s="9">
        <v>4.5</v>
      </c>
      <c r="D16" s="9">
        <v>7.5</v>
      </c>
      <c r="E16" s="9">
        <v>4.7</v>
      </c>
      <c r="F16" s="9">
        <v>6.9</v>
      </c>
    </row>
    <row r="17" spans="2:6" x14ac:dyDescent="0.2">
      <c r="B17" s="9" t="s">
        <v>140</v>
      </c>
      <c r="C17" s="9">
        <v>10.8</v>
      </c>
      <c r="D17" s="9">
        <v>12.9</v>
      </c>
      <c r="E17" s="9">
        <v>12.1</v>
      </c>
      <c r="F17" s="9">
        <v>13.5</v>
      </c>
    </row>
    <row r="19" spans="2:6" x14ac:dyDescent="0.2">
      <c r="C19" s="9" t="s">
        <v>139</v>
      </c>
    </row>
    <row r="20" spans="2:6" x14ac:dyDescent="0.2">
      <c r="C20" s="9" t="s">
        <v>138</v>
      </c>
    </row>
    <row r="22" spans="2:6" x14ac:dyDescent="0.2">
      <c r="C22" s="10" t="s">
        <v>137</v>
      </c>
    </row>
    <row r="23" spans="2:6" x14ac:dyDescent="0.2">
      <c r="C23" s="9" t="s">
        <v>136</v>
      </c>
    </row>
    <row r="24" spans="2:6" x14ac:dyDescent="0.2">
      <c r="C24" s="9" t="s">
        <v>135</v>
      </c>
    </row>
  </sheetData>
  <hyperlinks>
    <hyperlink ref="A1" location="Main!A1" display="Main" xr:uid="{C182237B-2283-4E6B-8D81-C09B2FE4724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78</v>
      </c>
    </row>
    <row r="2" spans="1:3" x14ac:dyDescent="0.2">
      <c r="B2" s="2" t="s">
        <v>77</v>
      </c>
      <c r="C2" s="2" t="s">
        <v>171</v>
      </c>
    </row>
    <row r="3" spans="1:3" x14ac:dyDescent="0.2">
      <c r="B3" s="2" t="s">
        <v>75</v>
      </c>
      <c r="C3" s="2" t="s">
        <v>170</v>
      </c>
    </row>
    <row r="4" spans="1:3" x14ac:dyDescent="0.2">
      <c r="B4" s="2" t="s">
        <v>47</v>
      </c>
      <c r="C4" s="2" t="s">
        <v>169</v>
      </c>
    </row>
    <row r="5" spans="1:3" x14ac:dyDescent="0.2">
      <c r="B5" s="2" t="s">
        <v>43</v>
      </c>
      <c r="C5" s="2" t="s">
        <v>168</v>
      </c>
    </row>
    <row r="6" spans="1:3" x14ac:dyDescent="0.2">
      <c r="B6" s="2" t="s">
        <v>44</v>
      </c>
      <c r="C6" s="2" t="s">
        <v>167</v>
      </c>
    </row>
    <row r="7" spans="1:3" x14ac:dyDescent="0.2">
      <c r="B7" s="2" t="s">
        <v>65</v>
      </c>
    </row>
    <row r="8" spans="1:3" x14ac:dyDescent="0.2">
      <c r="C8" s="5" t="s">
        <v>166</v>
      </c>
    </row>
    <row r="10" spans="1:3" x14ac:dyDescent="0.2">
      <c r="C10" s="5" t="s">
        <v>165</v>
      </c>
    </row>
    <row r="11" spans="1:3" x14ac:dyDescent="0.2">
      <c r="C11" s="5"/>
    </row>
    <row r="12" spans="1:3" x14ac:dyDescent="0.2">
      <c r="C12" s="5" t="s">
        <v>164</v>
      </c>
    </row>
    <row r="13" spans="1:3" x14ac:dyDescent="0.2">
      <c r="C13" s="5"/>
    </row>
    <row r="14" spans="1:3" x14ac:dyDescent="0.2">
      <c r="C14" s="5" t="s">
        <v>163</v>
      </c>
    </row>
    <row r="16" spans="1:3" x14ac:dyDescent="0.2">
      <c r="C16" s="5" t="s">
        <v>162</v>
      </c>
    </row>
    <row r="17" spans="3:3" x14ac:dyDescent="0.2">
      <c r="C17" s="2" t="s">
        <v>161</v>
      </c>
    </row>
    <row r="18" spans="3:3" x14ac:dyDescent="0.2">
      <c r="C18" s="2" t="s">
        <v>160</v>
      </c>
    </row>
    <row r="20" spans="3:3" x14ac:dyDescent="0.2">
      <c r="C20" s="5" t="s">
        <v>159</v>
      </c>
    </row>
    <row r="21" spans="3:3" x14ac:dyDescent="0.2">
      <c r="C21" s="2" t="s">
        <v>158</v>
      </c>
    </row>
    <row r="22" spans="3:3" x14ac:dyDescent="0.2">
      <c r="C22" s="2" t="s">
        <v>157</v>
      </c>
    </row>
    <row r="24" spans="3:3" x14ac:dyDescent="0.2">
      <c r="C24" s="5" t="s">
        <v>156</v>
      </c>
    </row>
    <row r="25" spans="3:3" x14ac:dyDescent="0.2">
      <c r="C25" s="2" t="s">
        <v>155</v>
      </c>
    </row>
    <row r="27" spans="3:3" x14ac:dyDescent="0.2">
      <c r="C27" s="12" t="s">
        <v>154</v>
      </c>
    </row>
    <row r="28" spans="3:3" x14ac:dyDescent="0.2">
      <c r="C28" s="12" t="s">
        <v>153</v>
      </c>
    </row>
  </sheetData>
  <hyperlinks>
    <hyperlink ref="A1" location="Main!A1" display="Main" xr:uid="{3B461243-A27C-412E-8A2C-014DB1DF39EA}"/>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208</v>
      </c>
    </row>
    <row r="3" spans="1:3" x14ac:dyDescent="0.2">
      <c r="B3" s="9" t="s">
        <v>75</v>
      </c>
      <c r="C3" s="9" t="s">
        <v>185</v>
      </c>
    </row>
    <row r="4" spans="1:3" x14ac:dyDescent="0.2">
      <c r="B4" s="9" t="s">
        <v>43</v>
      </c>
      <c r="C4" s="9" t="s">
        <v>184</v>
      </c>
    </row>
    <row r="5" spans="1:3" x14ac:dyDescent="0.2">
      <c r="B5" s="9" t="s">
        <v>47</v>
      </c>
      <c r="C5" s="9" t="s">
        <v>183</v>
      </c>
    </row>
    <row r="6" spans="1:3" x14ac:dyDescent="0.2">
      <c r="B6" s="9" t="s">
        <v>45</v>
      </c>
      <c r="C6" s="9" t="s">
        <v>182</v>
      </c>
    </row>
    <row r="7" spans="1:3" x14ac:dyDescent="0.2">
      <c r="B7" s="9" t="s">
        <v>44</v>
      </c>
      <c r="C7" s="9" t="s">
        <v>20</v>
      </c>
    </row>
    <row r="8" spans="1:3" x14ac:dyDescent="0.2">
      <c r="B8" s="9" t="s">
        <v>131</v>
      </c>
      <c r="C8" s="9" t="s">
        <v>181</v>
      </c>
    </row>
    <row r="9" spans="1:3" x14ac:dyDescent="0.2">
      <c r="B9" s="9" t="s">
        <v>65</v>
      </c>
    </row>
    <row r="10" spans="1:3" x14ac:dyDescent="0.2">
      <c r="C10" s="10" t="s">
        <v>180</v>
      </c>
    </row>
    <row r="13" spans="1:3" x14ac:dyDescent="0.2">
      <c r="C13" s="10" t="s">
        <v>179</v>
      </c>
    </row>
    <row r="14" spans="1:3" x14ac:dyDescent="0.2">
      <c r="C14" s="9" t="s">
        <v>178</v>
      </c>
    </row>
    <row r="15" spans="1:3" x14ac:dyDescent="0.2">
      <c r="C15" s="9" t="s">
        <v>177</v>
      </c>
    </row>
    <row r="16" spans="1:3" x14ac:dyDescent="0.2">
      <c r="C16" s="9" t="s">
        <v>176</v>
      </c>
    </row>
    <row r="17" spans="3:3" x14ac:dyDescent="0.2">
      <c r="C17" s="9" t="s">
        <v>175</v>
      </c>
    </row>
    <row r="19" spans="3:3" x14ac:dyDescent="0.2">
      <c r="C19" s="10" t="s">
        <v>174</v>
      </c>
    </row>
    <row r="20" spans="3:3" x14ac:dyDescent="0.2">
      <c r="C20" s="9" t="s">
        <v>173</v>
      </c>
    </row>
    <row r="21" spans="3:3" x14ac:dyDescent="0.2">
      <c r="C21" s="9" t="s">
        <v>172</v>
      </c>
    </row>
  </sheetData>
  <hyperlinks>
    <hyperlink ref="A1" location="Main!A1" display="Main" xr:uid="{018ACD3C-B36E-4B21-86E9-837BC80B5F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69"/>
  <sheetViews>
    <sheetView zoomScale="190" zoomScaleNormal="190" workbookViewId="0">
      <pane xSplit="2" ySplit="2" topLeftCell="BC3" activePane="bottomRight" state="frozen"/>
      <selection pane="topRight" activeCell="C1" sqref="C1"/>
      <selection pane="bottomLeft" activeCell="A3" sqref="A3"/>
      <selection pane="bottomRight"/>
    </sheetView>
  </sheetViews>
  <sheetFormatPr defaultColWidth="8.85546875" defaultRowHeight="12.75" x14ac:dyDescent="0.2"/>
  <cols>
    <col min="1" max="1" width="5" bestFit="1" customWidth="1"/>
    <col min="2" max="2" width="20" bestFit="1" customWidth="1"/>
    <col min="3" max="34" width="8.85546875" style="14"/>
    <col min="35" max="50" width="9.140625" style="14"/>
    <col min="91" max="91" width="10.7109375" bestFit="1" customWidth="1"/>
  </cols>
  <sheetData>
    <row r="1" spans="1:98" x14ac:dyDescent="0.2">
      <c r="A1" s="13" t="s">
        <v>78</v>
      </c>
    </row>
    <row r="2" spans="1:98" x14ac:dyDescent="0.2">
      <c r="C2" s="14" t="s">
        <v>355</v>
      </c>
      <c r="D2" s="14" t="s">
        <v>356</v>
      </c>
      <c r="E2" s="14" t="s">
        <v>357</v>
      </c>
      <c r="F2" s="14" t="s">
        <v>358</v>
      </c>
      <c r="G2" s="14" t="s">
        <v>351</v>
      </c>
      <c r="H2" s="14" t="s">
        <v>352</v>
      </c>
      <c r="I2" s="14" t="s">
        <v>353</v>
      </c>
      <c r="J2" s="14" t="s">
        <v>354</v>
      </c>
      <c r="K2" s="14" t="s">
        <v>347</v>
      </c>
      <c r="L2" s="14" t="s">
        <v>348</v>
      </c>
      <c r="M2" s="14" t="s">
        <v>349</v>
      </c>
      <c r="N2" s="14" t="s">
        <v>350</v>
      </c>
      <c r="O2" s="14" t="s">
        <v>343</v>
      </c>
      <c r="P2" s="14" t="s">
        <v>344</v>
      </c>
      <c r="Q2" s="14" t="s">
        <v>345</v>
      </c>
      <c r="R2" s="14" t="s">
        <v>346</v>
      </c>
      <c r="S2" s="14" t="s">
        <v>339</v>
      </c>
      <c r="T2" s="14" t="s">
        <v>340</v>
      </c>
      <c r="U2" s="14" t="s">
        <v>341</v>
      </c>
      <c r="V2" s="14" t="s">
        <v>342</v>
      </c>
      <c r="W2" s="14" t="s">
        <v>335</v>
      </c>
      <c r="X2" s="14" t="s">
        <v>336</v>
      </c>
      <c r="Y2" s="14" t="s">
        <v>337</v>
      </c>
      <c r="Z2" s="14" t="s">
        <v>338</v>
      </c>
      <c r="AA2" s="14" t="s">
        <v>331</v>
      </c>
      <c r="AB2" s="14" t="s">
        <v>332</v>
      </c>
      <c r="AC2" s="14" t="s">
        <v>333</v>
      </c>
      <c r="AD2" s="14" t="s">
        <v>334</v>
      </c>
      <c r="AE2" s="14" t="s">
        <v>327</v>
      </c>
      <c r="AF2" s="14" t="s">
        <v>328</v>
      </c>
      <c r="AG2" s="14" t="s">
        <v>329</v>
      </c>
      <c r="AH2" s="14" t="s">
        <v>330</v>
      </c>
      <c r="AI2" s="14" t="s">
        <v>249</v>
      </c>
      <c r="AJ2" s="14" t="s">
        <v>250</v>
      </c>
      <c r="AK2" s="14" t="s">
        <v>251</v>
      </c>
      <c r="AL2" s="14" t="s">
        <v>252</v>
      </c>
      <c r="AM2" s="14" t="s">
        <v>196</v>
      </c>
      <c r="AN2" s="14" t="s">
        <v>197</v>
      </c>
      <c r="AO2" s="14" t="s">
        <v>198</v>
      </c>
      <c r="AP2" s="14" t="s">
        <v>199</v>
      </c>
      <c r="AQ2" s="14" t="s">
        <v>200</v>
      </c>
      <c r="AR2" s="14" t="s">
        <v>201</v>
      </c>
      <c r="AS2" s="14" t="s">
        <v>202</v>
      </c>
      <c r="AT2" s="14" t="s">
        <v>203</v>
      </c>
      <c r="AU2" s="14" t="s">
        <v>204</v>
      </c>
      <c r="AV2" s="14" t="s">
        <v>28</v>
      </c>
      <c r="AW2" s="14" t="s">
        <v>205</v>
      </c>
      <c r="AX2" s="14" t="s">
        <v>206</v>
      </c>
      <c r="AY2" s="14" t="s">
        <v>243</v>
      </c>
      <c r="AZ2" s="14" t="s">
        <v>244</v>
      </c>
      <c r="BA2" s="14" t="s">
        <v>245</v>
      </c>
      <c r="BB2" s="14" t="s">
        <v>246</v>
      </c>
      <c r="BC2" s="14" t="s">
        <v>319</v>
      </c>
      <c r="BD2" s="14" t="s">
        <v>320</v>
      </c>
      <c r="BE2" s="14" t="s">
        <v>321</v>
      </c>
      <c r="BF2" s="14" t="s">
        <v>322</v>
      </c>
      <c r="BG2" s="14" t="s">
        <v>323</v>
      </c>
      <c r="BH2" s="14" t="s">
        <v>324</v>
      </c>
      <c r="BI2" s="14" t="s">
        <v>325</v>
      </c>
      <c r="BJ2" s="14" t="s">
        <v>326</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31</v>
      </c>
      <c r="C3" s="15">
        <v>0</v>
      </c>
      <c r="D3" s="15">
        <v>0</v>
      </c>
      <c r="E3" s="15">
        <v>0</v>
      </c>
      <c r="F3" s="15">
        <v>24.8</v>
      </c>
      <c r="G3" s="15">
        <v>123.5</v>
      </c>
      <c r="H3" s="15">
        <v>194</v>
      </c>
      <c r="I3" s="15">
        <v>244.4</v>
      </c>
      <c r="J3" s="15">
        <f>837.9-I3-H3-G3</f>
        <v>276</v>
      </c>
      <c r="K3" s="15">
        <v>313.89999999999998</v>
      </c>
      <c r="L3" s="15">
        <v>329.8</v>
      </c>
      <c r="M3" s="15">
        <v>363.1</v>
      </c>
      <c r="N3" s="15">
        <f>+BO3-M3-L3-K3</f>
        <v>401.9</v>
      </c>
      <c r="O3" s="15"/>
      <c r="P3" s="15"/>
      <c r="Q3" s="15"/>
      <c r="R3" s="15"/>
      <c r="S3" s="15"/>
      <c r="T3" s="15"/>
      <c r="U3" s="15"/>
      <c r="V3" s="15"/>
      <c r="W3" s="15"/>
      <c r="X3" s="15"/>
      <c r="Y3" s="15"/>
      <c r="Z3" s="15"/>
      <c r="AA3" s="15"/>
      <c r="AB3" s="15"/>
      <c r="AC3" s="15"/>
      <c r="AD3" s="15"/>
      <c r="AE3" s="15"/>
      <c r="AF3" s="15"/>
      <c r="AG3" s="15"/>
      <c r="AH3" s="15"/>
      <c r="AI3" s="15">
        <v>1074.0999999999999</v>
      </c>
      <c r="AJ3" s="15">
        <v>1160</v>
      </c>
      <c r="AK3" s="15"/>
      <c r="AL3" s="15"/>
      <c r="AM3" s="15">
        <v>1172</v>
      </c>
      <c r="AN3" s="15">
        <v>1114</v>
      </c>
      <c r="AO3" s="15">
        <v>1318</v>
      </c>
      <c r="AP3" s="15">
        <v>1343</v>
      </c>
      <c r="AQ3" s="15">
        <v>1347</v>
      </c>
      <c r="AR3" s="15">
        <v>1425</v>
      </c>
      <c r="AS3" s="15">
        <v>1473</v>
      </c>
      <c r="AT3" s="15">
        <v>1547</v>
      </c>
      <c r="AU3" s="15">
        <v>1518</v>
      </c>
      <c r="AV3" s="15">
        <v>1621</v>
      </c>
      <c r="AW3" s="15">
        <v>1629</v>
      </c>
      <c r="AX3" s="15">
        <v>1496</v>
      </c>
      <c r="AY3" s="15">
        <v>1434</v>
      </c>
      <c r="AZ3" s="15">
        <v>1500</v>
      </c>
      <c r="BA3" s="15">
        <v>1448</v>
      </c>
      <c r="BB3" s="15">
        <v>1338</v>
      </c>
      <c r="BC3" s="15">
        <v>1202</v>
      </c>
      <c r="BD3" s="15">
        <v>1231</v>
      </c>
      <c r="BE3" s="15">
        <v>1145</v>
      </c>
      <c r="BF3" s="15">
        <v>1190</v>
      </c>
      <c r="BG3" s="15">
        <f>+BF3*0.85</f>
        <v>1011.5</v>
      </c>
      <c r="BH3" s="15">
        <f>+BG3*0.85</f>
        <v>859.77499999999998</v>
      </c>
      <c r="BI3" s="15">
        <f>+BH3*0.85</f>
        <v>730.80874999999992</v>
      </c>
      <c r="BJ3" s="15">
        <f>+BI3*0.85</f>
        <v>621.18743749999987</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4768</v>
      </c>
      <c r="CA3" s="1">
        <f>SUM(BG3:BJ3)</f>
        <v>3223.2711874999995</v>
      </c>
      <c r="CB3" s="1">
        <f>CA3*0.7</f>
        <v>2256.2898312499997</v>
      </c>
      <c r="CC3" s="1">
        <f t="shared" ref="CC3:CK3" si="1">CB3*0.7</f>
        <v>1579.4028818749996</v>
      </c>
      <c r="CD3" s="1">
        <f t="shared" si="1"/>
        <v>1105.5820173124996</v>
      </c>
      <c r="CE3" s="1">
        <f t="shared" si="1"/>
        <v>773.90741211874968</v>
      </c>
      <c r="CF3" s="1">
        <f t="shared" si="1"/>
        <v>541.73518848312472</v>
      </c>
      <c r="CG3" s="1">
        <f t="shared" si="1"/>
        <v>379.21463193818727</v>
      </c>
      <c r="CH3" s="1">
        <f t="shared" si="1"/>
        <v>265.45024235673105</v>
      </c>
      <c r="CI3" s="1">
        <f t="shared" si="1"/>
        <v>185.81516964971172</v>
      </c>
      <c r="CJ3" s="1">
        <f t="shared" si="1"/>
        <v>130.0706187547982</v>
      </c>
      <c r="CK3" s="1">
        <f t="shared" si="1"/>
        <v>91.049433128358743</v>
      </c>
    </row>
    <row r="4" spans="1:98" s="1" customFormat="1" x14ac:dyDescent="0.2">
      <c r="B4" s="1" t="s">
        <v>318</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v>0</v>
      </c>
      <c r="AZ4" s="15">
        <v>0</v>
      </c>
      <c r="BA4" s="15">
        <v>43</v>
      </c>
      <c r="BB4" s="15">
        <v>123</v>
      </c>
      <c r="BC4" s="15">
        <v>200</v>
      </c>
      <c r="BD4" s="15">
        <v>304</v>
      </c>
      <c r="BE4" s="15">
        <v>392</v>
      </c>
      <c r="BF4" s="15">
        <v>305</v>
      </c>
      <c r="BG4" s="15">
        <f>+BF4+15</f>
        <v>320</v>
      </c>
      <c r="BH4" s="15">
        <f>+BG4+15</f>
        <v>335</v>
      </c>
      <c r="BI4" s="15">
        <f>+BH4+15</f>
        <v>350</v>
      </c>
      <c r="BJ4" s="15">
        <f>+BI4+15</f>
        <v>365</v>
      </c>
      <c r="BY4" s="1">
        <f>SUM(AY4:BB4)</f>
        <v>166</v>
      </c>
      <c r="BZ4" s="1">
        <f>SUM(Model!BC4:BF4)</f>
        <v>1201</v>
      </c>
      <c r="CA4" s="1">
        <f>SUM(BG4:BJ4)</f>
        <v>1370</v>
      </c>
      <c r="CB4" s="1">
        <f>+CA4*1.1</f>
        <v>1507.0000000000002</v>
      </c>
      <c r="CC4" s="1">
        <f>+CB4*0.7</f>
        <v>1054.9000000000001</v>
      </c>
      <c r="CD4" s="1">
        <f t="shared" ref="CD4:CK4" si="2">+CC4*0.7</f>
        <v>738.43000000000006</v>
      </c>
      <c r="CE4" s="1">
        <f t="shared" si="2"/>
        <v>516.90100000000007</v>
      </c>
      <c r="CF4" s="1">
        <f t="shared" si="2"/>
        <v>361.83070000000004</v>
      </c>
      <c r="CG4" s="1">
        <f t="shared" si="2"/>
        <v>253.28149000000002</v>
      </c>
      <c r="CH4" s="1">
        <f t="shared" si="2"/>
        <v>177.297043</v>
      </c>
      <c r="CI4" s="1">
        <f t="shared" si="2"/>
        <v>124.10793009999999</v>
      </c>
      <c r="CJ4" s="1">
        <f t="shared" si="2"/>
        <v>86.875551069999986</v>
      </c>
      <c r="CK4" s="1">
        <f t="shared" si="2"/>
        <v>60.812885748999989</v>
      </c>
    </row>
    <row r="5" spans="1:98" s="1" customFormat="1" x14ac:dyDescent="0.2">
      <c r="B5" s="1" t="s">
        <v>207</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v>26.8</v>
      </c>
      <c r="AJ5" s="15">
        <v>40.799999999999997</v>
      </c>
      <c r="AK5" s="15"/>
      <c r="AL5" s="15"/>
      <c r="AM5" s="15">
        <v>61.7</v>
      </c>
      <c r="AN5" s="15">
        <v>63.3</v>
      </c>
      <c r="AO5" s="15">
        <v>72</v>
      </c>
      <c r="AP5" s="15">
        <v>74</v>
      </c>
      <c r="AQ5" s="15">
        <v>69</v>
      </c>
      <c r="AR5" s="15">
        <v>78</v>
      </c>
      <c r="AS5" s="15">
        <v>78</v>
      </c>
      <c r="AT5" s="15">
        <v>81</v>
      </c>
      <c r="AU5" s="15">
        <v>79</v>
      </c>
      <c r="AV5" s="15">
        <v>91</v>
      </c>
      <c r="AW5" s="15">
        <f>95+31</f>
        <v>126</v>
      </c>
      <c r="AX5" s="15">
        <f>110+42</f>
        <v>152</v>
      </c>
      <c r="AY5" s="1">
        <v>177</v>
      </c>
      <c r="AZ5" s="1">
        <v>210</v>
      </c>
      <c r="BA5" s="1">
        <v>232</v>
      </c>
      <c r="BB5" s="1">
        <v>244</v>
      </c>
      <c r="BC5" s="1">
        <v>264</v>
      </c>
      <c r="BD5" s="1">
        <v>297</v>
      </c>
      <c r="BE5" s="1">
        <v>289</v>
      </c>
      <c r="BF5" s="1">
        <v>367</v>
      </c>
      <c r="BG5" s="1">
        <f>+BC5*1.2</f>
        <v>316.8</v>
      </c>
      <c r="BH5" s="1">
        <f>+BD5*1.2</f>
        <v>356.4</v>
      </c>
      <c r="BI5" s="1">
        <f>+BE5*1.2</f>
        <v>346.8</v>
      </c>
      <c r="BJ5" s="1">
        <f>+BF5*1.2</f>
        <v>440.4</v>
      </c>
      <c r="BT5" s="1">
        <v>14.8</v>
      </c>
      <c r="BU5" s="1">
        <v>175.7</v>
      </c>
      <c r="BV5" s="1">
        <f t="shared" ref="BV5:BV21" si="3">SUM(AM5:AP5)</f>
        <v>271</v>
      </c>
      <c r="BW5" s="1">
        <f t="shared" ref="BW5:BW21" si="4">SUM(AQ5:AT5)</f>
        <v>306</v>
      </c>
      <c r="BX5" s="1">
        <f t="shared" ref="BX5:BX21" si="5">SUM(AU5:AX5)</f>
        <v>448</v>
      </c>
      <c r="BY5" s="1">
        <f t="shared" ref="BY5:BY21" si="6">SUM(AY5:BB5)</f>
        <v>863</v>
      </c>
      <c r="BZ5" s="1">
        <f>SUM(Model!BC5:BF5)</f>
        <v>1217</v>
      </c>
      <c r="CA5" s="1">
        <f>SUM(BG5:BJ5)</f>
        <v>1460.4</v>
      </c>
      <c r="CB5" s="1">
        <f t="shared" ref="CB5:CK5" si="7">CA5*1.01</f>
        <v>1475.0040000000001</v>
      </c>
      <c r="CC5" s="1">
        <f t="shared" si="7"/>
        <v>1489.7540400000003</v>
      </c>
      <c r="CD5" s="1">
        <f t="shared" si="7"/>
        <v>1504.6515804000003</v>
      </c>
      <c r="CE5" s="1">
        <f t="shared" si="7"/>
        <v>1519.6980962040002</v>
      </c>
      <c r="CF5" s="1">
        <f t="shared" si="7"/>
        <v>1534.8950771660402</v>
      </c>
      <c r="CG5" s="1">
        <f t="shared" si="7"/>
        <v>1550.2440279377006</v>
      </c>
      <c r="CH5" s="1">
        <f t="shared" si="7"/>
        <v>1565.7464682170776</v>
      </c>
      <c r="CI5" s="1">
        <f t="shared" si="7"/>
        <v>1581.4039328992483</v>
      </c>
      <c r="CJ5" s="1">
        <f t="shared" si="7"/>
        <v>1597.2179722282408</v>
      </c>
      <c r="CK5" s="1">
        <f t="shared" si="7"/>
        <v>1613.1901519505232</v>
      </c>
    </row>
    <row r="6" spans="1:98" s="1" customFormat="1" x14ac:dyDescent="0.2">
      <c r="B6" s="1" t="s">
        <v>208</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v>0</v>
      </c>
      <c r="AJ6" s="15">
        <v>26.5</v>
      </c>
      <c r="AK6" s="15"/>
      <c r="AL6" s="15"/>
      <c r="AM6" s="15">
        <v>0</v>
      </c>
      <c r="AN6" s="15">
        <v>47.2</v>
      </c>
      <c r="AO6" s="15">
        <v>49</v>
      </c>
      <c r="AP6" s="15">
        <v>55</v>
      </c>
      <c r="AQ6" s="15">
        <v>43</v>
      </c>
      <c r="AR6" s="15">
        <v>42</v>
      </c>
      <c r="AS6" s="15">
        <v>45</v>
      </c>
      <c r="AT6" s="15">
        <v>40</v>
      </c>
      <c r="AU6" s="15">
        <v>34</v>
      </c>
      <c r="AV6" s="15">
        <v>31</v>
      </c>
      <c r="AW6" s="15">
        <v>30</v>
      </c>
      <c r="AX6" s="15">
        <v>36</v>
      </c>
      <c r="AY6" s="1">
        <v>40</v>
      </c>
      <c r="AZ6" s="1">
        <v>41</v>
      </c>
      <c r="BA6" s="1">
        <v>40</v>
      </c>
      <c r="BB6" s="1">
        <v>61</v>
      </c>
      <c r="BC6" s="1">
        <v>70</v>
      </c>
      <c r="BD6" s="1">
        <v>56</v>
      </c>
      <c r="BE6" s="1">
        <v>53</v>
      </c>
      <c r="BF6" s="1">
        <v>63</v>
      </c>
      <c r="BT6" s="1">
        <v>181.3</v>
      </c>
      <c r="BU6" s="1">
        <v>126</v>
      </c>
      <c r="BV6" s="1">
        <f t="shared" si="3"/>
        <v>151.19999999999999</v>
      </c>
      <c r="BW6" s="1">
        <f t="shared" si="4"/>
        <v>170</v>
      </c>
      <c r="BX6" s="1">
        <f t="shared" si="5"/>
        <v>131</v>
      </c>
      <c r="BY6" s="1">
        <f t="shared" si="6"/>
        <v>182</v>
      </c>
      <c r="BZ6" s="1">
        <f>SUM(Model!BC6:BF6)</f>
        <v>242</v>
      </c>
      <c r="CA6" s="1">
        <f>BZ6*1.01</f>
        <v>244.42000000000002</v>
      </c>
      <c r="CB6" s="1">
        <f t="shared" ref="CB6:CK8" si="8">CA6*1.01</f>
        <v>246.86420000000001</v>
      </c>
      <c r="CC6" s="1">
        <f t="shared" si="8"/>
        <v>249.332842</v>
      </c>
      <c r="CD6" s="1">
        <f t="shared" si="8"/>
        <v>251.82617042000001</v>
      </c>
      <c r="CE6" s="1">
        <f t="shared" si="8"/>
        <v>254.34443212420001</v>
      </c>
      <c r="CF6" s="1">
        <f t="shared" si="8"/>
        <v>256.88787644544203</v>
      </c>
      <c r="CG6" s="1">
        <f t="shared" si="8"/>
        <v>259.45675520989647</v>
      </c>
      <c r="CH6" s="1">
        <f t="shared" si="8"/>
        <v>262.05132276199544</v>
      </c>
      <c r="CI6" s="1">
        <f t="shared" si="8"/>
        <v>264.67183598961537</v>
      </c>
      <c r="CJ6" s="1">
        <f t="shared" si="8"/>
        <v>267.31855434951154</v>
      </c>
      <c r="CK6" s="1">
        <f t="shared" si="8"/>
        <v>269.99173989300664</v>
      </c>
    </row>
    <row r="7" spans="1:98" s="1" customFormat="1" x14ac:dyDescent="0.2">
      <c r="B7" s="1" t="s">
        <v>247</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v>0</v>
      </c>
      <c r="AJ7" s="15">
        <v>0</v>
      </c>
      <c r="AK7" s="15"/>
      <c r="AL7" s="15"/>
      <c r="AM7" s="15">
        <v>0</v>
      </c>
      <c r="AN7" s="15">
        <v>0</v>
      </c>
      <c r="AO7" s="15">
        <v>40</v>
      </c>
      <c r="AP7" s="15">
        <v>146</v>
      </c>
      <c r="AQ7" s="15">
        <v>262</v>
      </c>
      <c r="AR7" s="15">
        <v>2591</v>
      </c>
      <c r="AS7" s="15">
        <v>677</v>
      </c>
      <c r="AT7" s="15">
        <v>2298</v>
      </c>
      <c r="AU7" s="15">
        <v>0</v>
      </c>
      <c r="AV7" s="15">
        <v>0</v>
      </c>
      <c r="AW7" s="15">
        <v>3</v>
      </c>
      <c r="AX7" s="15">
        <v>0</v>
      </c>
      <c r="AY7" s="15">
        <v>2</v>
      </c>
      <c r="AZ7" s="15">
        <v>2</v>
      </c>
      <c r="BA7" s="15">
        <v>4</v>
      </c>
      <c r="BB7" s="15">
        <v>62</v>
      </c>
      <c r="BC7" s="15">
        <v>1</v>
      </c>
      <c r="BD7" s="15">
        <v>0</v>
      </c>
      <c r="BE7" s="15">
        <v>35</v>
      </c>
      <c r="BF7" s="15">
        <v>40</v>
      </c>
      <c r="BG7" s="15"/>
      <c r="BH7" s="15"/>
      <c r="BT7" s="1">
        <v>0</v>
      </c>
      <c r="BU7" s="1">
        <v>0</v>
      </c>
      <c r="BV7" s="1">
        <f t="shared" si="3"/>
        <v>186</v>
      </c>
      <c r="BW7" s="1">
        <f t="shared" si="4"/>
        <v>5828</v>
      </c>
      <c r="BX7" s="1">
        <f t="shared" si="5"/>
        <v>3</v>
      </c>
      <c r="BY7" s="1">
        <f t="shared" si="6"/>
        <v>70</v>
      </c>
      <c r="BZ7" s="1">
        <f>SUM(Model!BC7:BF7)</f>
        <v>76</v>
      </c>
    </row>
    <row r="8" spans="1:98" s="1" customFormat="1" x14ac:dyDescent="0.2">
      <c r="B8" s="1" t="s">
        <v>209</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v>0</v>
      </c>
      <c r="AJ8" s="15">
        <v>0</v>
      </c>
      <c r="AK8" s="15"/>
      <c r="AL8" s="15"/>
      <c r="AM8" s="15">
        <v>0</v>
      </c>
      <c r="AN8" s="15">
        <v>0</v>
      </c>
      <c r="AO8" s="15">
        <v>0</v>
      </c>
      <c r="AP8" s="15">
        <v>0</v>
      </c>
      <c r="AQ8" s="15">
        <v>1</v>
      </c>
      <c r="AR8" s="15">
        <v>2</v>
      </c>
      <c r="AS8" s="15">
        <v>7</v>
      </c>
      <c r="AT8" s="15">
        <v>9</v>
      </c>
      <c r="AU8" s="15">
        <v>8</v>
      </c>
      <c r="AV8" s="15">
        <v>11</v>
      </c>
      <c r="AW8" s="15">
        <v>14</v>
      </c>
      <c r="AX8" s="15">
        <v>15</v>
      </c>
      <c r="AY8" s="1">
        <v>15</v>
      </c>
      <c r="AZ8" s="1">
        <v>19</v>
      </c>
      <c r="BA8" s="1">
        <v>19</v>
      </c>
      <c r="BB8" s="1">
        <v>24</v>
      </c>
      <c r="BC8" s="1">
        <v>24</v>
      </c>
      <c r="BD8" s="1">
        <v>31</v>
      </c>
      <c r="BE8" s="1">
        <v>32</v>
      </c>
      <c r="BF8" s="1">
        <v>38</v>
      </c>
      <c r="BT8" s="1">
        <v>0</v>
      </c>
      <c r="BU8" s="1">
        <v>0</v>
      </c>
      <c r="BV8" s="1">
        <f t="shared" si="3"/>
        <v>0</v>
      </c>
      <c r="BW8" s="1">
        <f t="shared" si="4"/>
        <v>19</v>
      </c>
      <c r="BX8" s="1">
        <f t="shared" si="5"/>
        <v>48</v>
      </c>
      <c r="BY8" s="1">
        <f t="shared" si="6"/>
        <v>77</v>
      </c>
      <c r="BZ8" s="1">
        <f>SUM(Model!BC8:BF8)</f>
        <v>125</v>
      </c>
      <c r="CA8" s="1">
        <f>BZ8*1.01</f>
        <v>126.25</v>
      </c>
      <c r="CB8" s="1">
        <f t="shared" si="8"/>
        <v>127.5125</v>
      </c>
      <c r="CC8" s="1">
        <f t="shared" si="8"/>
        <v>128.78762499999999</v>
      </c>
      <c r="CD8" s="1">
        <f t="shared" si="8"/>
        <v>130.07550125</v>
      </c>
      <c r="CE8" s="1">
        <f t="shared" si="8"/>
        <v>131.37625626249999</v>
      </c>
      <c r="CF8" s="1">
        <f t="shared" si="8"/>
        <v>132.69001882512498</v>
      </c>
      <c r="CG8" s="1">
        <f t="shared" si="8"/>
        <v>134.01691901337622</v>
      </c>
      <c r="CH8" s="1">
        <f t="shared" si="8"/>
        <v>135.35708820350999</v>
      </c>
      <c r="CI8" s="1">
        <f t="shared" si="8"/>
        <v>136.7106590855451</v>
      </c>
      <c r="CJ8" s="1">
        <f t="shared" si="8"/>
        <v>138.07776567640056</v>
      </c>
      <c r="CK8" s="1">
        <f t="shared" si="8"/>
        <v>139.45854333316456</v>
      </c>
    </row>
    <row r="9" spans="1:98" s="1" customFormat="1" x14ac:dyDescent="0.2">
      <c r="B9" s="1" t="s">
        <v>231</v>
      </c>
      <c r="C9" s="15">
        <v>4.4000000000000004</v>
      </c>
      <c r="D9" s="15">
        <v>5.0389999999999997</v>
      </c>
      <c r="E9" s="15">
        <v>5.5</v>
      </c>
      <c r="F9" s="15">
        <f>19.9-E9-D9-C9</f>
        <v>4.9609999999999985</v>
      </c>
      <c r="G9" s="15">
        <v>4.4000000000000004</v>
      </c>
      <c r="H9" s="15">
        <v>5.5</v>
      </c>
      <c r="I9" s="15">
        <v>4.8</v>
      </c>
      <c r="J9" s="15">
        <f>20.2-I9-H9-G9</f>
        <v>5.4999999999999982</v>
      </c>
      <c r="K9" s="15">
        <v>4.8</v>
      </c>
      <c r="L9" s="15">
        <v>4.0999999999999996</v>
      </c>
      <c r="M9" s="15">
        <v>4</v>
      </c>
      <c r="N9" s="15">
        <f t="shared" ref="N9:N10" si="9">+BO9-M9-L9-K9</f>
        <v>4.200000000000002</v>
      </c>
      <c r="O9" s="15"/>
      <c r="P9" s="15"/>
      <c r="Q9" s="15"/>
      <c r="R9" s="15"/>
      <c r="S9" s="15"/>
      <c r="T9" s="15"/>
      <c r="U9" s="15"/>
      <c r="V9" s="15"/>
      <c r="W9" s="15"/>
      <c r="X9" s="15"/>
      <c r="Y9" s="15"/>
      <c r="Z9" s="15"/>
      <c r="AA9" s="15"/>
      <c r="AB9" s="15"/>
      <c r="AC9" s="15"/>
      <c r="AD9" s="15"/>
      <c r="AE9" s="15"/>
      <c r="AF9" s="15"/>
      <c r="AG9" s="15"/>
      <c r="AH9" s="15"/>
      <c r="AI9" s="15">
        <v>3.5</v>
      </c>
      <c r="AJ9" s="15">
        <v>4.2</v>
      </c>
      <c r="AK9" s="15"/>
      <c r="AL9" s="15"/>
      <c r="AM9" s="15">
        <v>3</v>
      </c>
      <c r="AN9" s="15">
        <v>2.7</v>
      </c>
      <c r="AO9" s="15">
        <v>3</v>
      </c>
      <c r="AP9" s="15">
        <v>4</v>
      </c>
      <c r="AQ9" s="15">
        <v>3</v>
      </c>
      <c r="AR9" s="15">
        <v>0</v>
      </c>
      <c r="AS9" s="15">
        <v>0</v>
      </c>
      <c r="AT9" s="15">
        <v>0</v>
      </c>
      <c r="AU9" s="15">
        <v>0</v>
      </c>
      <c r="AV9" s="15">
        <v>0</v>
      </c>
      <c r="AW9" s="15">
        <v>0</v>
      </c>
      <c r="AX9" s="15">
        <v>0</v>
      </c>
      <c r="AY9" s="15">
        <v>0</v>
      </c>
      <c r="AZ9" s="15">
        <v>0</v>
      </c>
      <c r="BA9" s="15">
        <v>0</v>
      </c>
      <c r="BB9" s="15"/>
      <c r="BC9" s="15"/>
      <c r="BD9" s="15"/>
      <c r="BE9" s="15"/>
      <c r="BF9" s="15"/>
      <c r="BG9" s="15"/>
      <c r="BH9" s="15"/>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
      <c r="B10" s="1" t="s">
        <v>20</v>
      </c>
      <c r="C10" s="15">
        <v>85.328999999999994</v>
      </c>
      <c r="D10" s="15">
        <v>84.445999999999998</v>
      </c>
      <c r="E10" s="15">
        <v>79.8</v>
      </c>
      <c r="F10" s="15">
        <f>326.6-E10-D10-C10</f>
        <v>77.02500000000002</v>
      </c>
      <c r="G10" s="15">
        <v>85.004999999999995</v>
      </c>
      <c r="H10" s="15">
        <v>88.988</v>
      </c>
      <c r="I10" s="15">
        <v>145</v>
      </c>
      <c r="J10" s="15">
        <f>423.8-I10-H10-G10</f>
        <v>104.80700000000002</v>
      </c>
      <c r="K10" s="15">
        <v>99.272999999999996</v>
      </c>
      <c r="L10" s="15">
        <v>85.528999999999996</v>
      </c>
      <c r="M10" s="15">
        <v>134.35900000000001</v>
      </c>
      <c r="N10" s="15">
        <f t="shared" si="9"/>
        <v>110.93899999999999</v>
      </c>
      <c r="O10" s="15"/>
      <c r="P10" s="15"/>
      <c r="Q10" s="15"/>
      <c r="R10" s="15"/>
      <c r="S10" s="15"/>
      <c r="T10" s="15"/>
      <c r="U10" s="15"/>
      <c r="V10" s="15"/>
      <c r="W10" s="15"/>
      <c r="X10" s="15"/>
      <c r="Y10" s="15"/>
      <c r="Z10" s="15"/>
      <c r="AA10" s="15"/>
      <c r="AB10" s="15"/>
      <c r="AC10" s="15"/>
      <c r="AD10" s="15"/>
      <c r="AE10" s="15"/>
      <c r="AF10" s="15"/>
      <c r="AG10" s="15"/>
      <c r="AH10" s="15"/>
      <c r="AI10" s="15">
        <f t="shared" ref="AI10:AJ10" si="10">SUM(AI11:AI13)</f>
        <v>0</v>
      </c>
      <c r="AJ10" s="15">
        <f t="shared" si="10"/>
        <v>0</v>
      </c>
      <c r="AK10" s="15"/>
      <c r="AL10" s="15"/>
      <c r="AM10" s="15">
        <f t="shared" ref="AM10:AS10" si="11">SUM(AM11:AM13)</f>
        <v>246.9</v>
      </c>
      <c r="AN10" s="15">
        <f t="shared" si="11"/>
        <v>269.10000000000002</v>
      </c>
      <c r="AO10" s="15">
        <f t="shared" si="11"/>
        <v>353.3</v>
      </c>
      <c r="AP10" s="15">
        <f t="shared" si="11"/>
        <v>317.10000000000002</v>
      </c>
      <c r="AQ10" s="15">
        <f t="shared" si="11"/>
        <v>364.80000000000007</v>
      </c>
      <c r="AR10" s="15">
        <f t="shared" si="11"/>
        <v>437.7</v>
      </c>
      <c r="AS10" s="15">
        <f t="shared" si="11"/>
        <v>581.80000000000007</v>
      </c>
      <c r="AT10" s="15">
        <f>SUM(AT11:AT13)</f>
        <v>517.9</v>
      </c>
      <c r="AU10" s="15">
        <f>SUM(AU11:AU13)</f>
        <v>630.9</v>
      </c>
      <c r="AV10" s="15">
        <f>SUM(AV11:AV13)</f>
        <v>677.5</v>
      </c>
      <c r="AW10" s="15">
        <f>SUM(AW11:AW13)</f>
        <v>711.4</v>
      </c>
      <c r="AX10" s="15">
        <f>SUM(AX11:AX13)</f>
        <v>835.9</v>
      </c>
      <c r="AY10" s="15">
        <v>798</v>
      </c>
      <c r="AZ10" s="15">
        <v>944</v>
      </c>
      <c r="BA10" s="15">
        <v>1065</v>
      </c>
      <c r="BB10" s="15">
        <v>993</v>
      </c>
      <c r="BC10" s="15">
        <v>910</v>
      </c>
      <c r="BD10" s="15">
        <v>1146</v>
      </c>
      <c r="BE10" s="15">
        <v>1263</v>
      </c>
      <c r="BF10" s="15">
        <v>1213</v>
      </c>
      <c r="BG10" s="15"/>
      <c r="BH10" s="15"/>
      <c r="BL10" s="1">
        <v>311.33199999999999</v>
      </c>
      <c r="BM10" s="1">
        <f>SUM(C10:F10)</f>
        <v>326.60000000000002</v>
      </c>
      <c r="BN10" s="1">
        <f>SUM(G10:J10)</f>
        <v>423.8</v>
      </c>
      <c r="BO10" s="1">
        <v>430.1</v>
      </c>
      <c r="BP10" s="1">
        <v>541.29999999999995</v>
      </c>
      <c r="BQ10" s="1">
        <v>758.9</v>
      </c>
      <c r="BR10" s="1">
        <v>658.7</v>
      </c>
      <c r="BS10" s="1">
        <v>877.2</v>
      </c>
      <c r="BT10" s="1">
        <v>1111.0999999999999</v>
      </c>
      <c r="BU10" s="1">
        <v>1426.8</v>
      </c>
      <c r="BV10" s="1">
        <f t="shared" si="3"/>
        <v>1186.4000000000001</v>
      </c>
      <c r="BW10" s="1">
        <f t="shared" si="4"/>
        <v>1902.2000000000003</v>
      </c>
      <c r="BX10" s="1">
        <f t="shared" si="5"/>
        <v>2855.7000000000003</v>
      </c>
      <c r="BY10" s="1">
        <f t="shared" si="6"/>
        <v>3800</v>
      </c>
      <c r="BZ10" s="1">
        <f>SUM(Model!BC10:BF10)</f>
        <v>4532</v>
      </c>
      <c r="CA10" s="1">
        <f>BZ10*1.1</f>
        <v>4985.2000000000007</v>
      </c>
      <c r="CB10" s="1">
        <f>CA10*1.1</f>
        <v>5483.7200000000012</v>
      </c>
      <c r="CC10" s="1">
        <f>CB10*1.1</f>
        <v>6032.0920000000015</v>
      </c>
      <c r="CD10" s="1">
        <f>CC10*1.05</f>
        <v>6333.696600000002</v>
      </c>
      <c r="CE10" s="1">
        <f>CD10*1.05</f>
        <v>6650.3814300000022</v>
      </c>
      <c r="CF10" s="1">
        <f>CE10*1.05</f>
        <v>6982.900501500003</v>
      </c>
      <c r="CG10" s="1">
        <f>CF10*1.05</f>
        <v>7332.0455265750034</v>
      </c>
      <c r="CH10" s="1">
        <f>CG10*1.01</f>
        <v>7405.3659818407532</v>
      </c>
      <c r="CI10" s="1">
        <f>CH10*1.01</f>
        <v>7479.4196416591612</v>
      </c>
      <c r="CJ10" s="1">
        <f>CI10*1.01</f>
        <v>7554.2138380757533</v>
      </c>
      <c r="CK10" s="1">
        <f>CJ10*1.01</f>
        <v>7629.7559764565112</v>
      </c>
    </row>
    <row r="11" spans="1:98" s="1" customFormat="1" x14ac:dyDescent="0.2">
      <c r="B11" s="1" t="s">
        <v>225</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170.9</v>
      </c>
      <c r="AN11" s="15">
        <v>171.9</v>
      </c>
      <c r="AO11" s="15">
        <v>212.8</v>
      </c>
      <c r="AP11" s="15">
        <v>229.6</v>
      </c>
      <c r="AQ11" s="15">
        <v>260.60000000000002</v>
      </c>
      <c r="AR11" s="15">
        <v>327.60000000000002</v>
      </c>
      <c r="AS11" s="15">
        <v>387</v>
      </c>
      <c r="AT11" s="15">
        <v>387.8</v>
      </c>
      <c r="AU11" s="15">
        <v>415.3</v>
      </c>
      <c r="AV11" s="15">
        <v>496.6</v>
      </c>
      <c r="AW11" s="15">
        <v>551.1</v>
      </c>
      <c r="AX11" s="15">
        <v>619</v>
      </c>
      <c r="BV11" s="1">
        <f t="shared" si="3"/>
        <v>785.2</v>
      </c>
      <c r="BW11" s="1">
        <f t="shared" si="4"/>
        <v>1363</v>
      </c>
      <c r="BX11" s="1">
        <f t="shared" si="5"/>
        <v>2082</v>
      </c>
      <c r="BY11" s="1">
        <f t="shared" si="6"/>
        <v>0</v>
      </c>
    </row>
    <row r="12" spans="1:98" s="1" customFormat="1" x14ac:dyDescent="0.2">
      <c r="B12" s="1" t="s">
        <v>226</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80.099999999999994</v>
      </c>
      <c r="AN12" s="15">
        <v>100.6</v>
      </c>
      <c r="AO12" s="15">
        <v>94.3</v>
      </c>
      <c r="AP12" s="15">
        <v>93</v>
      </c>
      <c r="AQ12" s="15">
        <v>105.6</v>
      </c>
      <c r="AR12" s="15">
        <v>110.9</v>
      </c>
      <c r="AS12" s="15">
        <v>144.69999999999999</v>
      </c>
      <c r="AT12" s="15">
        <v>127.6</v>
      </c>
      <c r="AU12" s="15">
        <v>160.80000000000001</v>
      </c>
      <c r="AV12" s="15">
        <v>145.5</v>
      </c>
      <c r="AW12" s="15">
        <v>160.5</v>
      </c>
      <c r="AX12" s="15">
        <v>166.9</v>
      </c>
      <c r="BV12" s="1">
        <f t="shared" si="3"/>
        <v>368</v>
      </c>
      <c r="BW12" s="1">
        <f t="shared" si="4"/>
        <v>488.79999999999995</v>
      </c>
      <c r="BX12" s="1">
        <f t="shared" si="5"/>
        <v>633.70000000000005</v>
      </c>
      <c r="BY12" s="1">
        <f t="shared" si="6"/>
        <v>0</v>
      </c>
    </row>
    <row r="13" spans="1:98" s="1" customFormat="1" x14ac:dyDescent="0.2">
      <c r="B13" s="1" t="s">
        <v>227</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f>-6.2+2.1</f>
        <v>-4.0999999999999996</v>
      </c>
      <c r="AN13" s="15">
        <f>-6.4+3</f>
        <v>-3.4000000000000004</v>
      </c>
      <c r="AO13" s="15">
        <f>50-4.7+0.9</f>
        <v>46.199999999999996</v>
      </c>
      <c r="AP13" s="15">
        <f>-8.4+2.9</f>
        <v>-5.5</v>
      </c>
      <c r="AQ13" s="15">
        <f>-6.1+4.7</f>
        <v>-1.3999999999999995</v>
      </c>
      <c r="AR13" s="15">
        <f>-3.5+2.7</f>
        <v>-0.79999999999999982</v>
      </c>
      <c r="AS13" s="15">
        <f>50+3.1-3</f>
        <v>50.1</v>
      </c>
      <c r="AT13" s="15">
        <f>-1+3.5</f>
        <v>2.5</v>
      </c>
      <c r="AU13" s="15">
        <f>50+2.8+2</f>
        <v>54.8</v>
      </c>
      <c r="AV13" s="15">
        <f>28.9+3.9+2.6</f>
        <v>35.4</v>
      </c>
      <c r="AW13" s="15">
        <v>-0.2</v>
      </c>
      <c r="AX13" s="15">
        <v>50</v>
      </c>
      <c r="BV13" s="1">
        <f t="shared" si="3"/>
        <v>33.199999999999996</v>
      </c>
      <c r="BW13" s="1">
        <f t="shared" si="4"/>
        <v>50.400000000000006</v>
      </c>
      <c r="BX13" s="1">
        <f t="shared" si="5"/>
        <v>140</v>
      </c>
      <c r="BY13" s="1">
        <f t="shared" si="6"/>
        <v>0</v>
      </c>
    </row>
    <row r="14" spans="1:98" s="1" customFormat="1" x14ac:dyDescent="0.2">
      <c r="B14" s="1" t="s">
        <v>228</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v>557.29999999999995</v>
      </c>
      <c r="AK14" s="15"/>
      <c r="AL14" s="15"/>
      <c r="AM14" s="15">
        <v>855</v>
      </c>
      <c r="AN14" s="15">
        <v>945</v>
      </c>
      <c r="AO14" s="15">
        <v>1072.5999999999999</v>
      </c>
      <c r="AP14" s="15">
        <v>1172</v>
      </c>
      <c r="AQ14" s="15">
        <v>1262.9000000000001</v>
      </c>
      <c r="AR14" s="15">
        <v>1499</v>
      </c>
      <c r="AS14" s="15">
        <v>1662.9</v>
      </c>
      <c r="AT14" s="15">
        <v>1773.8</v>
      </c>
      <c r="AU14" s="15">
        <v>1810.4</v>
      </c>
      <c r="AV14" s="15">
        <v>2091.8000000000002</v>
      </c>
      <c r="AW14" s="15">
        <v>2330.1</v>
      </c>
      <c r="AX14" s="15">
        <v>2448.9</v>
      </c>
      <c r="AY14" s="1">
        <v>2485</v>
      </c>
      <c r="AZ14" s="1">
        <v>2789.4</v>
      </c>
      <c r="BA14" s="1">
        <v>3097.6</v>
      </c>
      <c r="BB14" s="1">
        <v>3216.1</v>
      </c>
      <c r="BC14" s="1">
        <v>3076.8</v>
      </c>
      <c r="BD14" s="1">
        <v>3556.4</v>
      </c>
      <c r="BE14" s="1">
        <v>3817.2</v>
      </c>
      <c r="BF14" s="1">
        <v>3697.6</v>
      </c>
      <c r="BQ14" s="1">
        <v>0</v>
      </c>
      <c r="BR14" s="1">
        <v>0</v>
      </c>
      <c r="BS14" s="1">
        <v>256.5</v>
      </c>
      <c r="BT14" s="1">
        <v>922</v>
      </c>
      <c r="BU14" s="1">
        <v>2315.6</v>
      </c>
      <c r="BV14" s="1">
        <f t="shared" si="3"/>
        <v>4044.6</v>
      </c>
      <c r="BW14" s="1">
        <f t="shared" si="4"/>
        <v>6198.6</v>
      </c>
      <c r="BX14" s="1">
        <f t="shared" si="5"/>
        <v>8681.2000000000007</v>
      </c>
      <c r="BY14" s="1">
        <f t="shared" si="6"/>
        <v>11588.1</v>
      </c>
      <c r="BZ14" s="1">
        <f>SUM(BC14:BF14)</f>
        <v>14148.000000000002</v>
      </c>
    </row>
    <row r="15" spans="1:98" s="1" customFormat="1" x14ac:dyDescent="0.2">
      <c r="B15" s="1" t="s">
        <v>229</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v>73.7</v>
      </c>
      <c r="AK15" s="15"/>
      <c r="AL15" s="15"/>
      <c r="AM15" s="15"/>
      <c r="AN15" s="15">
        <v>86.6</v>
      </c>
      <c r="AO15" s="15">
        <v>91.5</v>
      </c>
      <c r="AP15" s="15">
        <v>100.9</v>
      </c>
      <c r="AQ15" s="15">
        <v>104.6</v>
      </c>
      <c r="AR15" s="15">
        <v>99.4</v>
      </c>
      <c r="AS15" s="15">
        <v>114.5</v>
      </c>
      <c r="AT15" s="15">
        <v>102.6</v>
      </c>
      <c r="AU15" s="15">
        <v>111.4</v>
      </c>
      <c r="AV15" s="15">
        <v>108.9</v>
      </c>
      <c r="AW15" s="15">
        <v>113.7</v>
      </c>
      <c r="AX15" s="15">
        <v>133.4</v>
      </c>
      <c r="AY15" s="1">
        <v>145.9</v>
      </c>
      <c r="AZ15" s="1">
        <v>140.30000000000001</v>
      </c>
      <c r="BA15" s="1">
        <v>165.5</v>
      </c>
      <c r="BB15" s="1">
        <v>187.2</v>
      </c>
      <c r="BC15" s="1">
        <v>201.3</v>
      </c>
      <c r="BD15" s="1">
        <v>191.9</v>
      </c>
      <c r="BE15" s="1">
        <v>191.4</v>
      </c>
      <c r="BF15" s="1">
        <v>180.4</v>
      </c>
      <c r="BQ15" s="1">
        <f>9.5+1</f>
        <v>10.5</v>
      </c>
      <c r="BR15" s="1">
        <f>94.4+21.9</f>
        <v>116.30000000000001</v>
      </c>
      <c r="BS15" s="1">
        <f>131.4+63.3</f>
        <v>194.7</v>
      </c>
      <c r="BV15" s="1">
        <f t="shared" si="3"/>
        <v>279</v>
      </c>
      <c r="BW15" s="1">
        <f t="shared" si="4"/>
        <v>421.1</v>
      </c>
      <c r="BX15" s="1">
        <f t="shared" si="5"/>
        <v>467.4</v>
      </c>
      <c r="BY15" s="1">
        <f t="shared" si="6"/>
        <v>638.90000000000009</v>
      </c>
      <c r="BZ15" s="1">
        <f>SUM(BC15:BF15)</f>
        <v>765</v>
      </c>
    </row>
    <row r="16" spans="1:98" s="1" customFormat="1" x14ac:dyDescent="0.2">
      <c r="B16" s="1" t="s">
        <v>383</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BQ16" s="1">
        <v>85.7</v>
      </c>
      <c r="BR16" s="1">
        <v>72.3</v>
      </c>
      <c r="BS16" s="1">
        <v>83.8</v>
      </c>
    </row>
    <row r="17" spans="2:130" s="1" customFormat="1" x14ac:dyDescent="0.2">
      <c r="B17" s="1" t="s">
        <v>230</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v>58.5</v>
      </c>
      <c r="AK17" s="15"/>
      <c r="AL17" s="15"/>
      <c r="AM17" s="15"/>
      <c r="AN17" s="15">
        <v>68.3</v>
      </c>
      <c r="AO17" s="15">
        <v>70</v>
      </c>
      <c r="AP17" s="15">
        <v>71.5</v>
      </c>
      <c r="AQ17" s="15">
        <v>69.099999999999994</v>
      </c>
      <c r="AR17" s="15">
        <v>66.7</v>
      </c>
      <c r="AS17" s="15">
        <v>97.8</v>
      </c>
      <c r="AT17" s="15">
        <v>103.9</v>
      </c>
      <c r="AU17" s="15">
        <v>106.4</v>
      </c>
      <c r="AV17" s="15">
        <v>82.3</v>
      </c>
      <c r="AW17" s="15">
        <v>88.1</v>
      </c>
      <c r="AX17" s="15">
        <v>81.2</v>
      </c>
      <c r="AY17" s="1">
        <v>78.5</v>
      </c>
      <c r="AZ17" s="1">
        <v>99.5</v>
      </c>
      <c r="BA17" s="1">
        <v>95.7</v>
      </c>
      <c r="BB17" s="1">
        <v>112.2</v>
      </c>
      <c r="BC17" s="1">
        <v>94.1</v>
      </c>
      <c r="BD17" s="1">
        <v>109.7</v>
      </c>
      <c r="BE17" s="1">
        <v>120.1</v>
      </c>
      <c r="BF17" s="1">
        <v>134.80000000000001</v>
      </c>
      <c r="BQ17" s="1">
        <v>0</v>
      </c>
      <c r="BR17" s="1">
        <v>0</v>
      </c>
      <c r="BS17" s="1">
        <v>13.3</v>
      </c>
      <c r="BV17" s="1">
        <f t="shared" si="3"/>
        <v>209.8</v>
      </c>
      <c r="BW17" s="1">
        <f t="shared" si="4"/>
        <v>337.5</v>
      </c>
      <c r="BX17" s="1">
        <f t="shared" si="5"/>
        <v>357.99999999999994</v>
      </c>
      <c r="BY17" s="1">
        <f t="shared" si="6"/>
        <v>385.9</v>
      </c>
      <c r="BZ17" s="1">
        <f>SUM(BC17:BF17)</f>
        <v>458.7</v>
      </c>
    </row>
    <row r="18" spans="2:130" s="1" customFormat="1" x14ac:dyDescent="0.2">
      <c r="B18" s="1" t="s">
        <v>361</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BQ18" s="1">
        <v>1413.3</v>
      </c>
      <c r="BR18" s="1">
        <v>1872.3</v>
      </c>
      <c r="BS18" s="1">
        <v>2226.9</v>
      </c>
      <c r="BT18" s="48" t="s">
        <v>362</v>
      </c>
      <c r="BU18" s="48" t="s">
        <v>363</v>
      </c>
      <c r="BV18" s="48">
        <v>2962</v>
      </c>
    </row>
    <row r="19" spans="2:130" s="1" customFormat="1" x14ac:dyDescent="0.2">
      <c r="B19" s="1" t="s">
        <v>210</v>
      </c>
      <c r="C19" s="15">
        <v>12.481</v>
      </c>
      <c r="D19" s="15">
        <v>11.122999999999999</v>
      </c>
      <c r="E19" s="15">
        <v>10.1</v>
      </c>
      <c r="F19" s="15">
        <f>43.1-E19-D19-C19</f>
        <v>9.3960000000000026</v>
      </c>
      <c r="G19" s="15">
        <v>12.483000000000001</v>
      </c>
      <c r="H19" s="15">
        <v>9.1240000000000006</v>
      </c>
      <c r="I19" s="15">
        <v>26.7</v>
      </c>
      <c r="J19" s="15">
        <f>70.1-I19-H19-G19</f>
        <v>21.792999999999989</v>
      </c>
      <c r="K19" s="15">
        <v>14.907</v>
      </c>
      <c r="L19" s="15">
        <v>31.103999999999999</v>
      </c>
      <c r="M19" s="15">
        <v>88.582999999999998</v>
      </c>
      <c r="N19" s="15">
        <f>+BO19-M19-L19-K19</f>
        <v>85.706000000000017</v>
      </c>
      <c r="O19" s="15"/>
      <c r="P19" s="15"/>
      <c r="Q19" s="15"/>
      <c r="R19" s="15"/>
      <c r="S19" s="15"/>
      <c r="T19" s="15"/>
      <c r="U19" s="15"/>
      <c r="V19" s="15"/>
      <c r="W19" s="15"/>
      <c r="X19" s="15"/>
      <c r="Y19" s="15"/>
      <c r="Z19" s="15"/>
      <c r="AA19" s="15"/>
      <c r="AB19" s="15"/>
      <c r="AC19" s="15"/>
      <c r="AD19" s="15"/>
      <c r="AE19" s="15"/>
      <c r="AF19" s="15"/>
      <c r="AG19" s="15"/>
      <c r="AH19" s="15"/>
      <c r="AI19" s="15">
        <v>264</v>
      </c>
      <c r="AJ19" s="15"/>
      <c r="AK19" s="15"/>
      <c r="AL19" s="15"/>
      <c r="AM19" s="15">
        <v>281.39999999999998</v>
      </c>
      <c r="AN19" s="15">
        <v>244.2</v>
      </c>
      <c r="AO19" s="15">
        <v>299.89999999999998</v>
      </c>
      <c r="AP19" s="15">
        <v>360.6</v>
      </c>
      <c r="AQ19" s="15">
        <v>322.8</v>
      </c>
      <c r="AR19" s="15">
        <v>349</v>
      </c>
      <c r="AS19" s="15">
        <v>365</v>
      </c>
      <c r="AT19" s="15">
        <v>372.4</v>
      </c>
      <c r="AU19" s="15">
        <v>385.3</v>
      </c>
      <c r="AV19" s="15">
        <v>358</v>
      </c>
      <c r="AW19" s="15">
        <v>333</v>
      </c>
      <c r="AX19" s="15">
        <v>355.1</v>
      </c>
      <c r="AY19" s="15">
        <v>357</v>
      </c>
      <c r="AZ19" s="15">
        <v>377</v>
      </c>
      <c r="BA19" s="15">
        <v>377</v>
      </c>
      <c r="BB19" s="15">
        <v>377</v>
      </c>
      <c r="BC19" s="15">
        <v>356</v>
      </c>
      <c r="BD19" s="15">
        <v>375</v>
      </c>
      <c r="BE19" s="15">
        <v>391</v>
      </c>
      <c r="BF19" s="15">
        <v>377</v>
      </c>
      <c r="BG19" s="15"/>
      <c r="BH19" s="15"/>
      <c r="BM19" s="1">
        <f>SUM(C19:F19)</f>
        <v>43.1</v>
      </c>
      <c r="BN19" s="1">
        <f>SUM(G19:J19)</f>
        <v>70.099999999999994</v>
      </c>
      <c r="BO19" s="1">
        <v>220.3</v>
      </c>
      <c r="BP19" s="1">
        <v>495.6</v>
      </c>
      <c r="BQ19" s="1">
        <v>580.5</v>
      </c>
      <c r="BR19" s="1">
        <v>744.3</v>
      </c>
      <c r="BS19" s="1">
        <v>938.1</v>
      </c>
      <c r="BT19" s="1">
        <v>1076.7</v>
      </c>
      <c r="BU19" s="1">
        <v>1188.8</v>
      </c>
      <c r="BV19" s="1">
        <f t="shared" si="3"/>
        <v>1186.0999999999999</v>
      </c>
      <c r="BW19" s="1">
        <f t="shared" si="4"/>
        <v>1409.1999999999998</v>
      </c>
      <c r="BX19" s="1">
        <f t="shared" si="5"/>
        <v>1431.4</v>
      </c>
      <c r="BY19" s="1">
        <f t="shared" si="6"/>
        <v>1488</v>
      </c>
      <c r="BZ19" s="1">
        <f>SUM(Model!BC19:BF19)</f>
        <v>1499</v>
      </c>
      <c r="CA19" s="1">
        <f t="shared" ref="CA19:CK19" si="12">BZ19*0.8</f>
        <v>1199.2</v>
      </c>
      <c r="CB19" s="1">
        <f t="shared" si="12"/>
        <v>959.36000000000013</v>
      </c>
      <c r="CC19" s="1">
        <f t="shared" si="12"/>
        <v>767.48800000000017</v>
      </c>
      <c r="CD19" s="1">
        <f t="shared" si="12"/>
        <v>613.99040000000014</v>
      </c>
      <c r="CE19" s="1">
        <f t="shared" si="12"/>
        <v>491.19232000000011</v>
      </c>
      <c r="CF19" s="1">
        <f t="shared" si="12"/>
        <v>392.95385600000009</v>
      </c>
      <c r="CG19" s="1">
        <f t="shared" si="12"/>
        <v>314.36308480000008</v>
      </c>
      <c r="CH19" s="1">
        <f t="shared" si="12"/>
        <v>251.49046784000006</v>
      </c>
      <c r="CI19" s="1">
        <f t="shared" si="12"/>
        <v>201.19237427200005</v>
      </c>
      <c r="CJ19" s="1">
        <f t="shared" si="12"/>
        <v>160.95389941760004</v>
      </c>
      <c r="CK19" s="1">
        <f t="shared" si="12"/>
        <v>128.76311953408003</v>
      </c>
    </row>
    <row r="20" spans="2:130" s="1" customFormat="1" x14ac:dyDescent="0.2">
      <c r="B20" s="1" t="s">
        <v>211</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v>0</v>
      </c>
      <c r="AJ20" s="15">
        <v>0</v>
      </c>
      <c r="AK20" s="15">
        <v>0</v>
      </c>
      <c r="AL20" s="15">
        <v>0</v>
      </c>
      <c r="AM20" s="15">
        <v>0</v>
      </c>
      <c r="AN20" s="15">
        <v>0</v>
      </c>
      <c r="AO20" s="15">
        <v>0</v>
      </c>
      <c r="AP20" s="15">
        <v>0</v>
      </c>
      <c r="AQ20" s="15">
        <v>66.8</v>
      </c>
      <c r="AR20" s="15">
        <v>168</v>
      </c>
      <c r="AS20" s="15">
        <v>127.1</v>
      </c>
      <c r="AT20" s="15">
        <v>0</v>
      </c>
      <c r="AU20" s="15">
        <v>216.3</v>
      </c>
      <c r="AV20" s="15">
        <v>8</v>
      </c>
      <c r="AW20" s="15">
        <v>6</v>
      </c>
      <c r="AX20" s="15">
        <v>396.4</v>
      </c>
      <c r="AY20" s="1">
        <v>223</v>
      </c>
      <c r="AZ20" s="1">
        <v>-4</v>
      </c>
      <c r="BC20" s="1">
        <v>1</v>
      </c>
      <c r="BD20" s="1">
        <v>3</v>
      </c>
      <c r="BV20" s="1">
        <f t="shared" si="3"/>
        <v>0</v>
      </c>
      <c r="BW20" s="1">
        <f t="shared" si="4"/>
        <v>361.9</v>
      </c>
      <c r="BX20" s="1">
        <f t="shared" si="5"/>
        <v>626.70000000000005</v>
      </c>
      <c r="BY20" s="1">
        <f t="shared" si="6"/>
        <v>219</v>
      </c>
      <c r="BZ20" s="1">
        <f>SUM(BC20:BF20)</f>
        <v>4</v>
      </c>
    </row>
    <row r="21" spans="2:130" s="1" customFormat="1" x14ac:dyDescent="0.2">
      <c r="B21" s="1" t="s">
        <v>212</v>
      </c>
      <c r="C21" s="15">
        <f t="shared" ref="C21" si="13">7.845+2.122</f>
        <v>9.9669999999999987</v>
      </c>
      <c r="D21" s="15">
        <f>5.228+1.974</f>
        <v>7.202</v>
      </c>
      <c r="E21" s="15">
        <f>5.9+1.5</f>
        <v>7.4</v>
      </c>
      <c r="F21" s="15">
        <f>24.8+6.6-E21-D21-C21</f>
        <v>6.8310000000000031</v>
      </c>
      <c r="G21" s="15">
        <f>5.893+0.477</f>
        <v>6.37</v>
      </c>
      <c r="H21" s="15">
        <f>5.893+0.875</f>
        <v>6.7679999999999998</v>
      </c>
      <c r="I21" s="15">
        <f>5.9+0.9</f>
        <v>6.8000000000000007</v>
      </c>
      <c r="J21" s="15">
        <f>23.6+2.9-I21-H21-G21</f>
        <v>6.5619999999999985</v>
      </c>
      <c r="K21" s="15">
        <f>5.893+0.851</f>
        <v>6.7439999999999998</v>
      </c>
      <c r="L21" s="15">
        <f>5.893+1.223</f>
        <v>7.1159999999999997</v>
      </c>
      <c r="M21" s="15">
        <f>5.893+1.074</f>
        <v>6.9669999999999996</v>
      </c>
      <c r="N21" s="15">
        <f>+BO21-M21-L21-K21</f>
        <v>7.6730000000000018</v>
      </c>
      <c r="O21" s="15"/>
      <c r="P21" s="15"/>
      <c r="Q21" s="15"/>
      <c r="R21" s="15"/>
      <c r="S21" s="15"/>
      <c r="T21" s="15"/>
      <c r="U21" s="15"/>
      <c r="V21" s="15"/>
      <c r="W21" s="15"/>
      <c r="X21" s="15"/>
      <c r="Y21" s="15"/>
      <c r="Z21" s="15"/>
      <c r="AA21" s="15"/>
      <c r="AB21" s="15"/>
      <c r="AC21" s="15"/>
      <c r="AD21" s="15"/>
      <c r="AE21" s="15"/>
      <c r="AF21" s="15"/>
      <c r="AG21" s="15"/>
      <c r="AH21" s="15"/>
      <c r="AI21" s="15">
        <v>22.2</v>
      </c>
      <c r="AJ21" s="15"/>
      <c r="AK21" s="15"/>
      <c r="AL21" s="15"/>
      <c r="AM21" s="15">
        <v>63.2</v>
      </c>
      <c r="AN21" s="15">
        <v>211.8</v>
      </c>
      <c r="AO21" s="15">
        <v>158.6</v>
      </c>
      <c r="AP21" s="15"/>
      <c r="AQ21" s="15">
        <v>50</v>
      </c>
      <c r="AR21" s="15">
        <v>46</v>
      </c>
      <c r="AS21" s="15">
        <v>99</v>
      </c>
      <c r="AT21" s="15">
        <v>86.2</v>
      </c>
      <c r="AU21" s="15">
        <v>94</v>
      </c>
      <c r="AV21" s="15">
        <v>59</v>
      </c>
      <c r="AW21" s="15">
        <v>84</v>
      </c>
      <c r="AX21" s="15">
        <v>127.7</v>
      </c>
      <c r="AY21" s="1">
        <v>116</v>
      </c>
      <c r="AZ21" s="1">
        <v>69</v>
      </c>
      <c r="BA21" s="1">
        <f>138-3</f>
        <v>135</v>
      </c>
      <c r="BB21" s="1">
        <v>212</v>
      </c>
      <c r="BC21" s="1">
        <v>117</v>
      </c>
      <c r="BD21" s="1">
        <v>104</v>
      </c>
      <c r="BE21" s="1">
        <f>114+6</f>
        <v>120</v>
      </c>
      <c r="BF21" s="1">
        <f>17+179</f>
        <v>196</v>
      </c>
      <c r="BM21" s="1">
        <f>SUM(C21:F21)</f>
        <v>31.4</v>
      </c>
      <c r="BN21" s="1">
        <v>26.5</v>
      </c>
      <c r="BO21" s="1">
        <v>28.5</v>
      </c>
      <c r="BP21" s="1">
        <v>31.9</v>
      </c>
      <c r="BQ21" s="1">
        <v>74.8</v>
      </c>
      <c r="BR21" s="1">
        <v>119</v>
      </c>
      <c r="BS21" s="1">
        <v>338.5</v>
      </c>
      <c r="BT21" s="1">
        <v>416.8</v>
      </c>
      <c r="BU21" s="1">
        <v>413.4</v>
      </c>
      <c r="BV21" s="1">
        <f t="shared" si="3"/>
        <v>433.6</v>
      </c>
      <c r="BW21" s="1">
        <f t="shared" si="4"/>
        <v>281.2</v>
      </c>
      <c r="BX21" s="1">
        <f t="shared" si="5"/>
        <v>364.7</v>
      </c>
      <c r="BY21" s="1">
        <f t="shared" si="6"/>
        <v>532</v>
      </c>
      <c r="BZ21" s="1">
        <f>SUM(BC21:BF21)</f>
        <v>537</v>
      </c>
    </row>
    <row r="22" spans="2:130" s="16" customFormat="1" x14ac:dyDescent="0.2">
      <c r="B22" s="16" t="s">
        <v>213</v>
      </c>
      <c r="C22" s="17">
        <f t="shared" ref="C22:F22" si="14">+C21+C19+C10+C3+C9</f>
        <v>112.17699999999999</v>
      </c>
      <c r="D22" s="17">
        <f t="shared" si="14"/>
        <v>107.81</v>
      </c>
      <c r="E22" s="17">
        <f t="shared" si="14"/>
        <v>102.8</v>
      </c>
      <c r="F22" s="17">
        <f t="shared" si="14"/>
        <v>123.01300000000002</v>
      </c>
      <c r="G22" s="17">
        <f>+G21+G19+G10+G3+G9</f>
        <v>231.75800000000001</v>
      </c>
      <c r="H22" s="17">
        <f t="shared" ref="H22:N22" si="15">+H21+H19+H10+H3+H9</f>
        <v>304.38</v>
      </c>
      <c r="I22" s="17">
        <f t="shared" si="15"/>
        <v>427.7</v>
      </c>
      <c r="J22" s="17">
        <f t="shared" si="15"/>
        <v>414.66200000000003</v>
      </c>
      <c r="K22" s="17">
        <f t="shared" si="15"/>
        <v>439.62399999999997</v>
      </c>
      <c r="L22" s="17">
        <f t="shared" si="15"/>
        <v>457.649</v>
      </c>
      <c r="M22" s="17">
        <f t="shared" si="15"/>
        <v>597.00900000000001</v>
      </c>
      <c r="N22" s="17">
        <f t="shared" si="15"/>
        <v>610.41800000000001</v>
      </c>
      <c r="O22" s="17"/>
      <c r="P22" s="17"/>
      <c r="Q22" s="17"/>
      <c r="R22" s="17"/>
      <c r="S22" s="17"/>
      <c r="T22" s="17"/>
      <c r="U22" s="17"/>
      <c r="V22" s="17"/>
      <c r="W22" s="17"/>
      <c r="X22" s="17"/>
      <c r="Y22" s="17"/>
      <c r="Z22" s="17"/>
      <c r="AA22" s="17"/>
      <c r="AB22" s="17"/>
      <c r="AC22" s="17"/>
      <c r="AD22" s="17"/>
      <c r="AE22" s="17"/>
      <c r="AF22" s="17"/>
      <c r="AG22" s="17"/>
      <c r="AH22" s="17"/>
      <c r="AI22" s="17">
        <f t="shared" ref="AI22:AJ22" si="16">SUM(AI3:AI10)+AI19+AI20+AI21</f>
        <v>1390.6</v>
      </c>
      <c r="AJ22" s="17">
        <f t="shared" si="16"/>
        <v>1231.5</v>
      </c>
      <c r="AK22" s="17"/>
      <c r="AL22" s="17"/>
      <c r="AM22" s="17">
        <f t="shared" ref="AM22:AP22" si="17">SUM(AM3:AM10)+AM19+AM20+AM21</f>
        <v>1828.2</v>
      </c>
      <c r="AN22" s="17">
        <f t="shared" si="17"/>
        <v>1952.3000000000002</v>
      </c>
      <c r="AO22" s="17">
        <f t="shared" si="17"/>
        <v>2293.7999999999997</v>
      </c>
      <c r="AP22" s="17">
        <f t="shared" si="17"/>
        <v>2299.6999999999998</v>
      </c>
      <c r="AQ22" s="17">
        <f t="shared" ref="AQ22:AV22" si="18">SUM(AQ3:AQ10)+AQ19+AQ20+AQ21</f>
        <v>2529.4000000000005</v>
      </c>
      <c r="AR22" s="17">
        <f t="shared" si="18"/>
        <v>5138.7</v>
      </c>
      <c r="AS22" s="17">
        <f>SUM(AS3:AS10)+AS19+AS20+AS21</f>
        <v>3452.9</v>
      </c>
      <c r="AT22" s="17">
        <f t="shared" si="18"/>
        <v>4951.4999999999991</v>
      </c>
      <c r="AU22" s="17">
        <f t="shared" si="18"/>
        <v>2965.5000000000005</v>
      </c>
      <c r="AV22" s="17">
        <f t="shared" si="18"/>
        <v>2856.5</v>
      </c>
      <c r="AW22" s="17">
        <f t="shared" ref="AW22:BJ22" si="19">SUM(AW3:AW10)+AW19+AW20+AW21</f>
        <v>2936.4</v>
      </c>
      <c r="AX22" s="17">
        <f t="shared" si="19"/>
        <v>3414.1</v>
      </c>
      <c r="AY22" s="17">
        <f t="shared" si="19"/>
        <v>3162</v>
      </c>
      <c r="AZ22" s="17">
        <f t="shared" si="19"/>
        <v>3158</v>
      </c>
      <c r="BA22" s="17">
        <f t="shared" si="19"/>
        <v>3363</v>
      </c>
      <c r="BB22" s="17">
        <f t="shared" si="19"/>
        <v>3434</v>
      </c>
      <c r="BC22" s="17">
        <f t="shared" si="19"/>
        <v>3145</v>
      </c>
      <c r="BD22" s="17">
        <f t="shared" si="19"/>
        <v>3547</v>
      </c>
      <c r="BE22" s="17">
        <f t="shared" si="19"/>
        <v>3720</v>
      </c>
      <c r="BF22" s="17">
        <f t="shared" si="19"/>
        <v>3789</v>
      </c>
      <c r="BG22" s="17">
        <f t="shared" si="19"/>
        <v>1648.3</v>
      </c>
      <c r="BH22" s="17">
        <f t="shared" si="19"/>
        <v>1551.1750000000002</v>
      </c>
      <c r="BI22" s="17">
        <f t="shared" si="19"/>
        <v>1427.6087499999999</v>
      </c>
      <c r="BJ22" s="17">
        <f t="shared" si="19"/>
        <v>1426.5874374999999</v>
      </c>
      <c r="BL22" s="17">
        <f t="shared" ref="BL22:BU22" si="20">SUM(BL3:BL10)+BL19+BL20+BL21</f>
        <v>336.58600000000001</v>
      </c>
      <c r="BM22" s="17">
        <f>SUM(BM3:BM10)+BM19+BM20+BM21</f>
        <v>445.8</v>
      </c>
      <c r="BN22" s="17">
        <f t="shared" si="20"/>
        <v>1378.5</v>
      </c>
      <c r="BO22" s="17">
        <f t="shared" si="20"/>
        <v>2104.7000000000003</v>
      </c>
      <c r="BP22" s="17">
        <f t="shared" si="20"/>
        <v>2819.6000000000004</v>
      </c>
      <c r="BQ22" s="17">
        <f>SUM(BQ3:BQ10)+BQ19+BQ20+BQ21</f>
        <v>4103.7</v>
      </c>
      <c r="BR22" s="17">
        <f>SUM(BR3:BR10)+BR19+BR20+BR21</f>
        <v>4860.4000000000005</v>
      </c>
      <c r="BS22" s="17">
        <f t="shared" si="20"/>
        <v>5872.2000000000007</v>
      </c>
      <c r="BT22" s="17">
        <f t="shared" si="20"/>
        <v>6892.1</v>
      </c>
      <c r="BU22" s="17">
        <f t="shared" si="20"/>
        <v>7989.4</v>
      </c>
      <c r="BV22" s="17">
        <f t="shared" ref="BV22:CA22" si="21">SUM(BV3:BV10)+BV19+BV20+BV21</f>
        <v>8374</v>
      </c>
      <c r="BW22" s="17">
        <f t="shared" si="21"/>
        <v>16072.500000000002</v>
      </c>
      <c r="BX22" s="17">
        <f t="shared" si="21"/>
        <v>12172.500000000002</v>
      </c>
      <c r="BY22" s="17">
        <f t="shared" si="21"/>
        <v>13117</v>
      </c>
      <c r="BZ22" s="17">
        <f t="shared" si="21"/>
        <v>14201</v>
      </c>
      <c r="CA22" s="17">
        <f t="shared" si="21"/>
        <v>12608.741187500002</v>
      </c>
      <c r="CB22" s="17">
        <f t="shared" ref="CB22:CK22" si="22">SUM(CB3:CB10)+CB19+CB20+CB21</f>
        <v>12055.750531250002</v>
      </c>
      <c r="CC22" s="17">
        <f t="shared" si="22"/>
        <v>11301.757388875001</v>
      </c>
      <c r="CD22" s="17">
        <f t="shared" si="22"/>
        <v>10678.252269382503</v>
      </c>
      <c r="CE22" s="17">
        <f t="shared" si="22"/>
        <v>10337.800946709453</v>
      </c>
      <c r="CF22" s="17">
        <f t="shared" si="22"/>
        <v>10203.893218419735</v>
      </c>
      <c r="CG22" s="17">
        <f t="shared" si="22"/>
        <v>10222.622435474164</v>
      </c>
      <c r="CH22" s="17">
        <f t="shared" si="22"/>
        <v>10062.758614220067</v>
      </c>
      <c r="CI22" s="17">
        <f t="shared" si="22"/>
        <v>9973.3215436552819</v>
      </c>
      <c r="CJ22" s="17">
        <f t="shared" si="22"/>
        <v>9934.7281995723042</v>
      </c>
      <c r="CK22" s="17">
        <f t="shared" si="22"/>
        <v>9933.0218500446445</v>
      </c>
    </row>
    <row r="23" spans="2:130" s="1" customFormat="1" x14ac:dyDescent="0.2">
      <c r="B23" s="1" t="s">
        <v>214</v>
      </c>
      <c r="C23" s="15">
        <v>0.38200000000000001</v>
      </c>
      <c r="D23" s="15">
        <v>0.39500000000000002</v>
      </c>
      <c r="E23" s="15">
        <v>0.45</v>
      </c>
      <c r="F23" s="15">
        <f>BM23-E23-D23-C23</f>
        <v>2.9889999999999999</v>
      </c>
      <c r="G23" s="15">
        <v>12.298</v>
      </c>
      <c r="H23" s="15">
        <v>21.843</v>
      </c>
      <c r="I23" s="15">
        <v>20.145</v>
      </c>
      <c r="J23" s="15">
        <f>+BN23-I23-H23-G23</f>
        <v>30.168999999999997</v>
      </c>
      <c r="K23" s="15">
        <v>29.055</v>
      </c>
      <c r="L23" s="15">
        <f>27.283+12.33</f>
        <v>39.613</v>
      </c>
      <c r="M23" s="15">
        <f>28.253+10.32</f>
        <v>38.573</v>
      </c>
      <c r="N23" s="15">
        <f>+BO23-M23-L23-K23</f>
        <v>48.114000000000011</v>
      </c>
      <c r="O23" s="15"/>
      <c r="P23" s="15"/>
      <c r="Q23" s="15"/>
      <c r="R23" s="15"/>
      <c r="S23" s="15"/>
      <c r="T23" s="15"/>
      <c r="U23" s="15"/>
      <c r="V23" s="15"/>
      <c r="W23" s="15"/>
      <c r="X23" s="15"/>
      <c r="Y23" s="15"/>
      <c r="Z23" s="15"/>
      <c r="AA23" s="15"/>
      <c r="AB23" s="15"/>
      <c r="AC23" s="15"/>
      <c r="AD23" s="15"/>
      <c r="AE23" s="15"/>
      <c r="AF23" s="15"/>
      <c r="AG23" s="15"/>
      <c r="AH23" s="15"/>
      <c r="AI23" s="15"/>
      <c r="AJ23" s="15">
        <v>58.2</v>
      </c>
      <c r="AK23" s="15"/>
      <c r="AL23" s="15"/>
      <c r="AM23" s="15">
        <f>78.8+138.5</f>
        <v>217.3</v>
      </c>
      <c r="AN23" s="15">
        <f>93.2+173</f>
        <v>266.2</v>
      </c>
      <c r="AO23" s="15">
        <v>122</v>
      </c>
      <c r="AP23" s="15">
        <f>166+173.5</f>
        <v>339.5</v>
      </c>
      <c r="AQ23" s="15">
        <f>183.2+124.8</f>
        <v>308</v>
      </c>
      <c r="AR23" s="15">
        <f>539.4+154.3</f>
        <v>693.7</v>
      </c>
      <c r="AS23" s="15">
        <v>224</v>
      </c>
      <c r="AT23" s="15">
        <f>559+170.9</f>
        <v>729.9</v>
      </c>
      <c r="AU23" s="15">
        <f>207.3+197.6</f>
        <v>404.9</v>
      </c>
      <c r="AV23" s="15">
        <f>149.2+147.9</f>
        <v>297.10000000000002</v>
      </c>
      <c r="AW23" s="15">
        <v>109</v>
      </c>
      <c r="AX23" s="15">
        <f>302.2+238.4-133.7-19.7</f>
        <v>387.20000000000005</v>
      </c>
      <c r="AY23" s="15">
        <v>168</v>
      </c>
      <c r="AZ23" s="15">
        <v>163</v>
      </c>
      <c r="BA23" s="15">
        <v>180.8</v>
      </c>
      <c r="BB23" s="15">
        <f>258.9+210.2</f>
        <v>469.09999999999997</v>
      </c>
      <c r="BC23" s="15">
        <v>196</v>
      </c>
      <c r="BD23" s="15">
        <v>214</v>
      </c>
      <c r="BE23" s="15">
        <v>217.4</v>
      </c>
      <c r="BF23" s="15">
        <f>270.8+238.6</f>
        <v>509.4</v>
      </c>
      <c r="BG23" s="15"/>
      <c r="BH23" s="15"/>
      <c r="BM23" s="1">
        <v>4.2160000000000002</v>
      </c>
      <c r="BN23" s="1">
        <v>84.454999999999998</v>
      </c>
      <c r="BO23" s="1">
        <f>118.048+37.307</f>
        <v>155.35500000000002</v>
      </c>
      <c r="BP23" s="1">
        <f>129.03+75.988</f>
        <v>205.018</v>
      </c>
      <c r="BQ23" s="1">
        <f>151.007+241.702</f>
        <v>392.709</v>
      </c>
      <c r="BV23" s="1">
        <f t="shared" ref="BV23" si="23">SUM(AM23:AP23)</f>
        <v>945</v>
      </c>
      <c r="BW23" s="1">
        <f t="shared" ref="BW23" si="24">SUM(AQ23:AT23)</f>
        <v>1955.6</v>
      </c>
      <c r="BX23" s="1">
        <f t="shared" ref="BX23" si="25">SUM(AU23:AX23)</f>
        <v>1198.2</v>
      </c>
      <c r="BY23" s="1">
        <f t="shared" ref="BY23" si="26">SUM(AY23:BB23)</f>
        <v>980.9</v>
      </c>
      <c r="BZ23" s="1">
        <f>SUM(BC23:BF23)</f>
        <v>1136.8</v>
      </c>
    </row>
    <row r="24" spans="2:130" s="1" customFormat="1" x14ac:dyDescent="0.2">
      <c r="B24" s="1" t="s">
        <v>215</v>
      </c>
      <c r="C24" s="15">
        <f t="shared" ref="C24:F24" si="27">+C22-C23</f>
        <v>111.79499999999999</v>
      </c>
      <c r="D24" s="15">
        <f t="shared" si="27"/>
        <v>107.41500000000001</v>
      </c>
      <c r="E24" s="15">
        <f t="shared" si="27"/>
        <v>102.35</v>
      </c>
      <c r="F24" s="15">
        <f t="shared" si="27"/>
        <v>120.02400000000002</v>
      </c>
      <c r="G24" s="15">
        <f t="shared" ref="G24:N24" si="28">+G22-G23</f>
        <v>219.46</v>
      </c>
      <c r="H24" s="15">
        <f t="shared" si="28"/>
        <v>282.53699999999998</v>
      </c>
      <c r="I24" s="15">
        <f t="shared" si="28"/>
        <v>407.55500000000001</v>
      </c>
      <c r="J24" s="15">
        <f t="shared" si="28"/>
        <v>384.49300000000005</v>
      </c>
      <c r="K24" s="15">
        <f t="shared" si="28"/>
        <v>410.56899999999996</v>
      </c>
      <c r="L24" s="15">
        <f t="shared" si="28"/>
        <v>418.036</v>
      </c>
      <c r="M24" s="15">
        <f t="shared" si="28"/>
        <v>558.43600000000004</v>
      </c>
      <c r="N24" s="15">
        <f t="shared" si="28"/>
        <v>562.30399999999997</v>
      </c>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f t="shared" ref="AM24" si="29">+AM22-AM23</f>
        <v>1610.9</v>
      </c>
      <c r="AN24" s="15">
        <f t="shared" ref="AN24:AV24" si="30">+AN22-AN23</f>
        <v>1686.1000000000001</v>
      </c>
      <c r="AO24" s="15">
        <f t="shared" si="30"/>
        <v>2171.7999999999997</v>
      </c>
      <c r="AP24" s="15">
        <f t="shared" si="30"/>
        <v>1960.1999999999998</v>
      </c>
      <c r="AQ24" s="15">
        <f t="shared" si="30"/>
        <v>2221.4000000000005</v>
      </c>
      <c r="AR24" s="15">
        <f t="shared" si="30"/>
        <v>4445</v>
      </c>
      <c r="AS24" s="15">
        <f t="shared" si="30"/>
        <v>3228.9</v>
      </c>
      <c r="AT24" s="15">
        <f t="shared" si="30"/>
        <v>4221.5999999999995</v>
      </c>
      <c r="AU24" s="15">
        <f t="shared" si="30"/>
        <v>2560.6000000000004</v>
      </c>
      <c r="AV24" s="15">
        <f t="shared" si="30"/>
        <v>2559.4</v>
      </c>
      <c r="AW24" s="15">
        <f>+AW22-AW23</f>
        <v>2827.4</v>
      </c>
      <c r="AX24" s="15">
        <f>+AX22-AX23</f>
        <v>3026.8999999999996</v>
      </c>
      <c r="AY24" s="15">
        <f>AY22-AY23</f>
        <v>2994</v>
      </c>
      <c r="AZ24" s="15">
        <f>AZ22-AZ23</f>
        <v>2995</v>
      </c>
      <c r="BA24" s="15">
        <f>+BA22-BA23</f>
        <v>3182.2</v>
      </c>
      <c r="BB24" s="15">
        <f>+BB22-BB23</f>
        <v>2964.9</v>
      </c>
      <c r="BC24" s="15">
        <f>BC22-BC23</f>
        <v>2949</v>
      </c>
      <c r="BD24" s="15">
        <f>BD22-BD23</f>
        <v>3333</v>
      </c>
      <c r="BE24" s="15">
        <f>+BE22-BE23</f>
        <v>3502.6</v>
      </c>
      <c r="BF24" s="15">
        <f>+BF22-BF23</f>
        <v>3279.6</v>
      </c>
      <c r="BG24" s="15"/>
      <c r="BH24" s="15"/>
      <c r="BM24" s="1">
        <f>+BM22-BM23</f>
        <v>441.584</v>
      </c>
      <c r="BN24" s="1">
        <f>+BN22-BN23</f>
        <v>1294.0450000000001</v>
      </c>
      <c r="BO24" s="1">
        <f>+BO22-BO23</f>
        <v>1949.3450000000003</v>
      </c>
      <c r="BP24" s="1">
        <f>+BP22-BP23</f>
        <v>2614.5820000000003</v>
      </c>
      <c r="BQ24" s="1">
        <f>+BQ22-BQ23</f>
        <v>3710.991</v>
      </c>
      <c r="BV24" s="1">
        <f>+BV22-BV23</f>
        <v>7429</v>
      </c>
      <c r="BW24" s="1">
        <f t="shared" ref="BW24:BY24" si="31">+BW22-BW23</f>
        <v>14116.900000000001</v>
      </c>
      <c r="BX24" s="1">
        <f t="shared" si="31"/>
        <v>10974.300000000001</v>
      </c>
      <c r="BY24" s="1">
        <f t="shared" si="31"/>
        <v>12136.1</v>
      </c>
      <c r="BZ24" s="1">
        <f>+BZ22-BZ23</f>
        <v>13064.2</v>
      </c>
      <c r="CA24" s="1">
        <f>CA22*0.9</f>
        <v>11347.867068750002</v>
      </c>
      <c r="CB24" s="1">
        <f t="shared" ref="CB24:CK24" si="32">CB22*0.9</f>
        <v>10850.175478125002</v>
      </c>
      <c r="CC24" s="1">
        <f t="shared" si="32"/>
        <v>10171.581649987502</v>
      </c>
      <c r="CD24" s="1">
        <f t="shared" si="32"/>
        <v>9610.4270424442529</v>
      </c>
      <c r="CE24" s="1">
        <f t="shared" si="32"/>
        <v>9304.0208520385077</v>
      </c>
      <c r="CF24" s="1">
        <f t="shared" si="32"/>
        <v>9183.5038965777621</v>
      </c>
      <c r="CG24" s="1">
        <f t="shared" si="32"/>
        <v>9200.3601919267476</v>
      </c>
      <c r="CH24" s="1">
        <f t="shared" si="32"/>
        <v>9056.4827527980615</v>
      </c>
      <c r="CI24" s="1">
        <f t="shared" si="32"/>
        <v>8975.9893892897544</v>
      </c>
      <c r="CJ24" s="1">
        <f t="shared" si="32"/>
        <v>8941.2553796150733</v>
      </c>
      <c r="CK24" s="1">
        <f t="shared" si="32"/>
        <v>8939.7196650401802</v>
      </c>
    </row>
    <row r="25" spans="2:130" s="1" customFormat="1" x14ac:dyDescent="0.2">
      <c r="B25" s="1" t="s">
        <v>216</v>
      </c>
      <c r="C25" s="15">
        <v>129.392</v>
      </c>
      <c r="D25" s="15">
        <v>143.149</v>
      </c>
      <c r="E25" s="15">
        <v>127.92400000000001</v>
      </c>
      <c r="F25" s="15">
        <f>BM25-E25-D25-C25</f>
        <v>129.041</v>
      </c>
      <c r="G25" s="15">
        <v>138.86199999999999</v>
      </c>
      <c r="H25" s="15">
        <v>147.37299999999999</v>
      </c>
      <c r="I25" s="15">
        <v>158.29499999999999</v>
      </c>
      <c r="J25" s="15">
        <f>+BN25-I25-H25-G25</f>
        <v>181.02400000000003</v>
      </c>
      <c r="K25" s="15">
        <v>180.29900000000001</v>
      </c>
      <c r="L25" s="15">
        <v>187.46299999999999</v>
      </c>
      <c r="M25" s="15">
        <v>224.04499999999999</v>
      </c>
      <c r="N25" s="15">
        <f>+BO25-M25-L25-K25</f>
        <v>268.1400000000001</v>
      </c>
      <c r="O25" s="15"/>
      <c r="P25" s="15"/>
      <c r="Q25" s="15"/>
      <c r="R25" s="15"/>
      <c r="S25" s="15"/>
      <c r="T25" s="15"/>
      <c r="U25" s="15"/>
      <c r="V25" s="15"/>
      <c r="W25" s="15"/>
      <c r="X25" s="15"/>
      <c r="Y25" s="15"/>
      <c r="Z25" s="15"/>
      <c r="AA25" s="15"/>
      <c r="AB25" s="15"/>
      <c r="AC25" s="15"/>
      <c r="AD25" s="15"/>
      <c r="AE25" s="15"/>
      <c r="AF25" s="15"/>
      <c r="AG25" s="15"/>
      <c r="AH25" s="15"/>
      <c r="AI25" s="15"/>
      <c r="AJ25" s="15">
        <v>426.2</v>
      </c>
      <c r="AK25" s="15"/>
      <c r="AL25" s="15"/>
      <c r="AM25" s="15">
        <v>583.9</v>
      </c>
      <c r="AN25" s="15">
        <v>580.1</v>
      </c>
      <c r="AO25" s="15">
        <v>629</v>
      </c>
      <c r="AP25" s="15">
        <v>675</v>
      </c>
      <c r="AQ25" s="15">
        <v>742.9</v>
      </c>
      <c r="AR25" s="15">
        <v>714.2</v>
      </c>
      <c r="AS25" s="15">
        <v>592</v>
      </c>
      <c r="AT25" s="15">
        <v>639</v>
      </c>
      <c r="AU25" s="15">
        <v>843.8</v>
      </c>
      <c r="AV25" s="15">
        <f>794.3-14.6</f>
        <v>779.69999999999993</v>
      </c>
      <c r="AW25" s="15">
        <v>817</v>
      </c>
      <c r="AX25" s="15">
        <f>1043.1-1.4</f>
        <v>1041.6999999999998</v>
      </c>
      <c r="AY25" s="1">
        <v>960</v>
      </c>
      <c r="AZ25" s="1">
        <v>974</v>
      </c>
      <c r="BA25" s="1">
        <v>954.4</v>
      </c>
      <c r="BB25" s="1">
        <v>1030.9000000000001</v>
      </c>
      <c r="BC25" s="1">
        <v>1122</v>
      </c>
      <c r="BD25" s="1">
        <v>1072</v>
      </c>
      <c r="BE25" s="15">
        <v>1145.8</v>
      </c>
      <c r="BF25" s="1">
        <v>1223.5999999999999</v>
      </c>
      <c r="BM25" s="1">
        <v>529.50599999999997</v>
      </c>
      <c r="BN25" s="1">
        <v>625.55399999999997</v>
      </c>
      <c r="BO25" s="1">
        <v>859.947</v>
      </c>
      <c r="BP25" s="1">
        <v>1271.3530000000001</v>
      </c>
      <c r="BQ25" s="1">
        <v>1620.577</v>
      </c>
      <c r="BV25" s="1">
        <f t="shared" ref="BV25:BV26" si="33">SUM(AM25:AP25)</f>
        <v>2468</v>
      </c>
      <c r="BW25" s="1">
        <f t="shared" ref="BW25:BW26" si="34">SUM(AQ25:AT25)</f>
        <v>2688.1</v>
      </c>
      <c r="BX25" s="1">
        <f t="shared" ref="BX25:BX26" si="35">SUM(AU25:AX25)</f>
        <v>3482.2</v>
      </c>
      <c r="BY25" s="1">
        <f t="shared" ref="BY25:BY26" si="36">SUM(AY25:BB25)</f>
        <v>3919.3</v>
      </c>
      <c r="BZ25" s="1">
        <f>SUM(BC25:BF25)</f>
        <v>4563.3999999999996</v>
      </c>
    </row>
    <row r="26" spans="2:130" s="1" customFormat="1" x14ac:dyDescent="0.2">
      <c r="B26" s="1" t="s">
        <v>217</v>
      </c>
      <c r="C26" s="15">
        <v>23.411000000000001</v>
      </c>
      <c r="D26" s="15">
        <v>24.585000000000001</v>
      </c>
      <c r="E26" s="15">
        <v>32.915999999999997</v>
      </c>
      <c r="F26" s="15">
        <f>BM26-E26-D26-C26</f>
        <v>36.348999999999997</v>
      </c>
      <c r="G26" s="15">
        <v>58.427999999999997</v>
      </c>
      <c r="H26" s="15">
        <v>47.704999999999998</v>
      </c>
      <c r="I26" s="15">
        <v>46.883000000000003</v>
      </c>
      <c r="J26" s="15">
        <f>+BN26-I26-H26-G26</f>
        <v>57.73899999999999</v>
      </c>
      <c r="K26" s="15">
        <v>77.260000000000005</v>
      </c>
      <c r="L26" s="15">
        <v>72.462999999999994</v>
      </c>
      <c r="M26" s="15">
        <v>97.606999999999999</v>
      </c>
      <c r="N26" s="15">
        <f>+BO26-M26-L26-K26</f>
        <v>82.085000000000022</v>
      </c>
      <c r="O26" s="15"/>
      <c r="P26" s="15"/>
      <c r="Q26" s="15"/>
      <c r="R26" s="15"/>
      <c r="S26" s="15"/>
      <c r="T26" s="15"/>
      <c r="U26" s="15"/>
      <c r="V26" s="15"/>
      <c r="W26" s="15"/>
      <c r="X26" s="15"/>
      <c r="Y26" s="15"/>
      <c r="Z26" s="15"/>
      <c r="AA26" s="15"/>
      <c r="AB26" s="15"/>
      <c r="AC26" s="15"/>
      <c r="AD26" s="15"/>
      <c r="AE26" s="15"/>
      <c r="AF26" s="15"/>
      <c r="AG26" s="15"/>
      <c r="AH26" s="15"/>
      <c r="AI26" s="15"/>
      <c r="AJ26" s="15">
        <v>251.9</v>
      </c>
      <c r="AK26" s="15"/>
      <c r="AL26" s="15"/>
      <c r="AM26" s="15">
        <f>367.3-20.2</f>
        <v>347.1</v>
      </c>
      <c r="AN26" s="15">
        <v>301.39999999999998</v>
      </c>
      <c r="AO26" s="15">
        <v>291</v>
      </c>
      <c r="AP26" s="15">
        <v>381</v>
      </c>
      <c r="AQ26" s="15">
        <v>405.6</v>
      </c>
      <c r="AR26" s="15">
        <v>414.7</v>
      </c>
      <c r="AS26" s="15">
        <v>391</v>
      </c>
      <c r="AT26" s="15">
        <v>495</v>
      </c>
      <c r="AU26" s="15">
        <v>450</v>
      </c>
      <c r="AV26" s="15">
        <f>476.3-1.1</f>
        <v>475.2</v>
      </c>
      <c r="AW26" s="15">
        <v>467</v>
      </c>
      <c r="AX26" s="15">
        <f>660.5-3.5</f>
        <v>657</v>
      </c>
      <c r="AY26" s="15">
        <v>515</v>
      </c>
      <c r="AZ26" s="15">
        <v>562</v>
      </c>
      <c r="BA26" s="15">
        <v>533.70000000000005</v>
      </c>
      <c r="BB26" s="15">
        <v>621.79999999999995</v>
      </c>
      <c r="BC26" s="15">
        <v>584</v>
      </c>
      <c r="BD26" s="15">
        <v>667</v>
      </c>
      <c r="BE26" s="15">
        <v>613.1</v>
      </c>
      <c r="BF26" s="15">
        <v>680.6</v>
      </c>
      <c r="BG26" s="15"/>
      <c r="BH26" s="15"/>
      <c r="BM26" s="1">
        <v>117.261</v>
      </c>
      <c r="BN26" s="1">
        <v>210.755</v>
      </c>
      <c r="BO26" s="1">
        <v>329.41500000000002</v>
      </c>
      <c r="BP26" s="1">
        <v>504.755</v>
      </c>
      <c r="BQ26" s="1">
        <v>838.52599999999995</v>
      </c>
      <c r="BV26" s="1">
        <f t="shared" si="33"/>
        <v>1320.5</v>
      </c>
      <c r="BW26" s="1">
        <f t="shared" si="34"/>
        <v>1706.3</v>
      </c>
      <c r="BX26" s="1">
        <f t="shared" si="35"/>
        <v>2049.1999999999998</v>
      </c>
      <c r="BY26" s="1">
        <f t="shared" si="36"/>
        <v>2232.5</v>
      </c>
      <c r="BZ26" s="1">
        <f>SUM(BC26:BF26)</f>
        <v>2544.6999999999998</v>
      </c>
      <c r="CA26" s="1">
        <f>CA22*0.2</f>
        <v>2521.7482375000004</v>
      </c>
      <c r="CB26" s="1">
        <f>CB22*0.2</f>
        <v>2411.1501062500006</v>
      </c>
      <c r="CC26" s="1">
        <f t="shared" ref="CC26:CK26" si="37">CC22*0.2</f>
        <v>2260.3514777750001</v>
      </c>
      <c r="CD26" s="1">
        <f t="shared" si="37"/>
        <v>2135.6504538765007</v>
      </c>
      <c r="CE26" s="1">
        <f t="shared" si="37"/>
        <v>2067.5601893418907</v>
      </c>
      <c r="CF26" s="1">
        <f t="shared" si="37"/>
        <v>2040.7786436839469</v>
      </c>
      <c r="CG26" s="1">
        <f t="shared" si="37"/>
        <v>2044.5244870948329</v>
      </c>
      <c r="CH26" s="1">
        <f t="shared" si="37"/>
        <v>2012.5517228440135</v>
      </c>
      <c r="CI26" s="1">
        <f t="shared" si="37"/>
        <v>1994.6643087310565</v>
      </c>
      <c r="CJ26" s="1">
        <f t="shared" si="37"/>
        <v>1986.945639914461</v>
      </c>
      <c r="CK26" s="1">
        <f t="shared" si="37"/>
        <v>1986.604370008929</v>
      </c>
    </row>
    <row r="27" spans="2:130" s="1" customFormat="1" x14ac:dyDescent="0.2">
      <c r="B27" s="1" t="s">
        <v>218</v>
      </c>
      <c r="C27" s="15">
        <f t="shared" ref="C27" si="38">+C26+C25</f>
        <v>152.803</v>
      </c>
      <c r="D27" s="15">
        <f t="shared" ref="D27:G27" si="39">+D26+D25</f>
        <v>167.73400000000001</v>
      </c>
      <c r="E27" s="15">
        <f t="shared" si="39"/>
        <v>160.84</v>
      </c>
      <c r="F27" s="15">
        <f t="shared" si="39"/>
        <v>165.39</v>
      </c>
      <c r="G27" s="15">
        <f t="shared" si="39"/>
        <v>197.29</v>
      </c>
      <c r="H27" s="15">
        <f t="shared" ref="H27:N27" si="40">+H26+H25</f>
        <v>195.07799999999997</v>
      </c>
      <c r="I27" s="15">
        <f t="shared" si="40"/>
        <v>205.178</v>
      </c>
      <c r="J27" s="15">
        <f t="shared" si="40"/>
        <v>238.76300000000003</v>
      </c>
      <c r="K27" s="15">
        <f t="shared" si="40"/>
        <v>257.55900000000003</v>
      </c>
      <c r="L27" s="15">
        <f t="shared" si="40"/>
        <v>259.92599999999999</v>
      </c>
      <c r="M27" s="15">
        <f t="shared" si="40"/>
        <v>321.65199999999999</v>
      </c>
      <c r="N27" s="15">
        <f t="shared" si="40"/>
        <v>350.22500000000014</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f t="shared" ref="AM27" si="41">+AM26+AM25</f>
        <v>931</v>
      </c>
      <c r="AN27" s="15">
        <f>+AN26+AN25</f>
        <v>881.5</v>
      </c>
      <c r="AO27" s="15">
        <f t="shared" ref="AO27:AS27" si="42">+AO26+AO25</f>
        <v>920</v>
      </c>
      <c r="AP27" s="15">
        <f t="shared" si="42"/>
        <v>1056</v>
      </c>
      <c r="AQ27" s="15">
        <f t="shared" si="42"/>
        <v>1148.5</v>
      </c>
      <c r="AR27" s="15">
        <f t="shared" si="42"/>
        <v>1128.9000000000001</v>
      </c>
      <c r="AS27" s="15">
        <f t="shared" si="42"/>
        <v>983</v>
      </c>
      <c r="AT27" s="15">
        <f>+AT26+AT25</f>
        <v>1134</v>
      </c>
      <c r="AU27" s="15">
        <f>+AU26+AU25</f>
        <v>1293.8</v>
      </c>
      <c r="AV27" s="15">
        <f>+AV26+AV25</f>
        <v>1254.8999999999999</v>
      </c>
      <c r="AW27" s="15">
        <f>+AW26+AW25</f>
        <v>1284</v>
      </c>
      <c r="AX27" s="15">
        <f>+AX26+AX25</f>
        <v>1698.6999999999998</v>
      </c>
      <c r="AY27" s="15">
        <f t="shared" ref="AY27:BB27" si="43">+AY26+AY25</f>
        <v>1475</v>
      </c>
      <c r="AZ27" s="15">
        <f t="shared" si="43"/>
        <v>1536</v>
      </c>
      <c r="BA27" s="15">
        <f t="shared" si="43"/>
        <v>1488.1</v>
      </c>
      <c r="BB27" s="15">
        <f t="shared" si="43"/>
        <v>1652.7</v>
      </c>
      <c r="BC27" s="15">
        <f t="shared" ref="BC27:BD27" si="44">+BC26+BC25</f>
        <v>1706</v>
      </c>
      <c r="BD27" s="15">
        <f t="shared" si="44"/>
        <v>1739</v>
      </c>
      <c r="BE27" s="15">
        <f t="shared" ref="BE27:BF27" si="45">+BE26+BE25</f>
        <v>1758.9</v>
      </c>
      <c r="BF27" s="15">
        <f t="shared" si="45"/>
        <v>1904.1999999999998</v>
      </c>
      <c r="BG27" s="15">
        <f t="shared" ref="BG27:BJ27" si="46">+BG26+BG25</f>
        <v>0</v>
      </c>
      <c r="BH27" s="15">
        <f t="shared" si="46"/>
        <v>0</v>
      </c>
      <c r="BI27" s="15">
        <f t="shared" si="46"/>
        <v>0</v>
      </c>
      <c r="BJ27" s="15">
        <f t="shared" si="46"/>
        <v>0</v>
      </c>
      <c r="BM27" s="1">
        <f>+BM26+BM25</f>
        <v>646.76699999999994</v>
      </c>
      <c r="BN27" s="1">
        <f>+BN26+BN25</f>
        <v>836.30899999999997</v>
      </c>
      <c r="BO27" s="1">
        <f>+BO26+BO25</f>
        <v>1189.3620000000001</v>
      </c>
      <c r="BP27" s="1">
        <f>+BP26+BP25</f>
        <v>1776.1080000000002</v>
      </c>
      <c r="BQ27" s="1">
        <f>+BQ26+BQ25</f>
        <v>2459.1030000000001</v>
      </c>
      <c r="BV27" s="1">
        <f>+BV25+BV26</f>
        <v>3788.5</v>
      </c>
      <c r="BW27" s="1">
        <f t="shared" ref="BW27:BY27" si="47">+BW25+BW26</f>
        <v>4394.3999999999996</v>
      </c>
      <c r="BX27" s="1">
        <f t="shared" si="47"/>
        <v>5531.4</v>
      </c>
      <c r="BY27" s="1">
        <f t="shared" si="47"/>
        <v>6151.8</v>
      </c>
      <c r="BZ27" s="1">
        <f t="shared" ref="BZ27:CK27" si="48">+BZ25+BZ26</f>
        <v>7108.0999999999995</v>
      </c>
      <c r="CA27" s="1">
        <f t="shared" si="48"/>
        <v>2521.7482375000004</v>
      </c>
      <c r="CB27" s="1">
        <f t="shared" si="48"/>
        <v>2411.1501062500006</v>
      </c>
      <c r="CC27" s="1">
        <f t="shared" si="48"/>
        <v>2260.3514777750001</v>
      </c>
      <c r="CD27" s="1">
        <f t="shared" si="48"/>
        <v>2135.6504538765007</v>
      </c>
      <c r="CE27" s="1">
        <f t="shared" si="48"/>
        <v>2067.5601893418907</v>
      </c>
      <c r="CF27" s="1">
        <f t="shared" si="48"/>
        <v>2040.7786436839469</v>
      </c>
      <c r="CG27" s="1">
        <f t="shared" si="48"/>
        <v>2044.5244870948329</v>
      </c>
      <c r="CH27" s="1">
        <f t="shared" si="48"/>
        <v>2012.5517228440135</v>
      </c>
      <c r="CI27" s="1">
        <f t="shared" si="48"/>
        <v>1994.6643087310565</v>
      </c>
      <c r="CJ27" s="1">
        <f t="shared" si="48"/>
        <v>1986.945639914461</v>
      </c>
      <c r="CK27" s="1">
        <f t="shared" si="48"/>
        <v>1986.604370008929</v>
      </c>
    </row>
    <row r="28" spans="2:130" s="1" customFormat="1" x14ac:dyDescent="0.2">
      <c r="B28" s="1" t="s">
        <v>219</v>
      </c>
      <c r="C28" s="15">
        <f t="shared" ref="C28" si="49">+C24-C27</f>
        <v>-41.00800000000001</v>
      </c>
      <c r="D28" s="15">
        <f t="shared" ref="D28:G28" si="50">+D24-D27</f>
        <v>-60.319000000000003</v>
      </c>
      <c r="E28" s="15">
        <f t="shared" si="50"/>
        <v>-58.490000000000009</v>
      </c>
      <c r="F28" s="15">
        <f t="shared" si="50"/>
        <v>-45.365999999999971</v>
      </c>
      <c r="G28" s="15">
        <f t="shared" si="50"/>
        <v>22.170000000000016</v>
      </c>
      <c r="H28" s="15">
        <f t="shared" ref="H28:N28" si="51">+H24-H27</f>
        <v>87.459000000000003</v>
      </c>
      <c r="I28" s="15">
        <f t="shared" si="51"/>
        <v>202.37700000000001</v>
      </c>
      <c r="J28" s="15">
        <f t="shared" si="51"/>
        <v>145.73000000000002</v>
      </c>
      <c r="K28" s="15">
        <f t="shared" si="51"/>
        <v>153.00999999999993</v>
      </c>
      <c r="L28" s="15">
        <f t="shared" si="51"/>
        <v>158.11000000000001</v>
      </c>
      <c r="M28" s="15">
        <f t="shared" si="51"/>
        <v>236.78400000000005</v>
      </c>
      <c r="N28" s="15">
        <f t="shared" si="51"/>
        <v>212.07899999999984</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f>+AM24-AM27</f>
        <v>679.90000000000009</v>
      </c>
      <c r="AN28" s="15">
        <f>+AN24-AN27</f>
        <v>804.60000000000014</v>
      </c>
      <c r="AO28" s="15">
        <f t="shared" ref="AO28:AS28" si="52">+AO24-AO27</f>
        <v>1251.7999999999997</v>
      </c>
      <c r="AP28" s="15">
        <f t="shared" si="52"/>
        <v>904.19999999999982</v>
      </c>
      <c r="AQ28" s="15">
        <f t="shared" si="52"/>
        <v>1072.9000000000005</v>
      </c>
      <c r="AR28" s="15">
        <f t="shared" si="52"/>
        <v>3316.1</v>
      </c>
      <c r="AS28" s="15">
        <f t="shared" si="52"/>
        <v>2245.9</v>
      </c>
      <c r="AT28" s="15">
        <f>+AT24-AT27</f>
        <v>3087.5999999999995</v>
      </c>
      <c r="AU28" s="15">
        <f>+AU24-AU27</f>
        <v>1266.8000000000004</v>
      </c>
      <c r="AV28" s="15">
        <f>+AV24-AV27</f>
        <v>1304.5000000000002</v>
      </c>
      <c r="AW28" s="15">
        <f>+AW24-AW27</f>
        <v>1543.4</v>
      </c>
      <c r="AX28" s="15">
        <f>+AX24-AX27</f>
        <v>1328.1999999999998</v>
      </c>
      <c r="AY28" s="15">
        <f t="shared" ref="AY28:BB28" si="53">+AY24-AY27</f>
        <v>1519</v>
      </c>
      <c r="AZ28" s="15">
        <f t="shared" si="53"/>
        <v>1459</v>
      </c>
      <c r="BA28" s="15">
        <f t="shared" si="53"/>
        <v>1694.1</v>
      </c>
      <c r="BB28" s="15">
        <f t="shared" si="53"/>
        <v>1312.2</v>
      </c>
      <c r="BC28" s="15">
        <f t="shared" ref="BC28:BD28" si="54">+BC24-BC27</f>
        <v>1243</v>
      </c>
      <c r="BD28" s="15">
        <f t="shared" si="54"/>
        <v>1594</v>
      </c>
      <c r="BE28" s="15">
        <f t="shared" ref="BE28" si="55">+BE24-BE27</f>
        <v>1743.6999999999998</v>
      </c>
      <c r="BF28" s="15">
        <f>+BF24-BF27</f>
        <v>1375.4</v>
      </c>
      <c r="BG28" s="15">
        <f t="shared" ref="BG28:BJ28" si="56">+BG24-BG27</f>
        <v>0</v>
      </c>
      <c r="BH28" s="15">
        <f t="shared" si="56"/>
        <v>0</v>
      </c>
      <c r="BI28" s="15">
        <f t="shared" si="56"/>
        <v>0</v>
      </c>
      <c r="BJ28" s="15">
        <f t="shared" si="56"/>
        <v>0</v>
      </c>
      <c r="BM28" s="1">
        <f>+BM24-BM27</f>
        <v>-205.18299999999994</v>
      </c>
      <c r="BN28" s="1">
        <f>+BN24-BN27</f>
        <v>457.7360000000001</v>
      </c>
      <c r="BO28" s="1">
        <f>+BO24-BO27</f>
        <v>759.98300000000017</v>
      </c>
      <c r="BP28" s="1">
        <f>+BP24-BP27</f>
        <v>838.47400000000016</v>
      </c>
      <c r="BQ28" s="1">
        <f>+BQ24-BQ27</f>
        <v>1251.8879999999999</v>
      </c>
      <c r="BV28" s="1">
        <f>+BV24-BV27</f>
        <v>3640.5</v>
      </c>
      <c r="BW28" s="1">
        <f t="shared" ref="BW28:BY28" si="57">+BW24-BW27</f>
        <v>9722.5000000000018</v>
      </c>
      <c r="BX28" s="1">
        <f t="shared" si="57"/>
        <v>5442.9000000000015</v>
      </c>
      <c r="BY28" s="1">
        <f t="shared" si="57"/>
        <v>5984.3</v>
      </c>
      <c r="BZ28" s="1">
        <f t="shared" ref="BZ28:CK28" si="58">+BZ24-BZ27</f>
        <v>5956.1000000000013</v>
      </c>
      <c r="CA28" s="1">
        <f t="shared" si="58"/>
        <v>8826.1188312500017</v>
      </c>
      <c r="CB28" s="1">
        <f t="shared" si="58"/>
        <v>8439.0253718750009</v>
      </c>
      <c r="CC28" s="1">
        <f t="shared" si="58"/>
        <v>7911.2301722125012</v>
      </c>
      <c r="CD28" s="1">
        <f t="shared" si="58"/>
        <v>7474.7765885677527</v>
      </c>
      <c r="CE28" s="1">
        <f t="shared" si="58"/>
        <v>7236.460662696617</v>
      </c>
      <c r="CF28" s="1">
        <f t="shared" si="58"/>
        <v>7142.7252528938152</v>
      </c>
      <c r="CG28" s="1">
        <f t="shared" si="58"/>
        <v>7155.8357048319149</v>
      </c>
      <c r="CH28" s="1">
        <f t="shared" si="58"/>
        <v>7043.9310299540484</v>
      </c>
      <c r="CI28" s="1">
        <f t="shared" si="58"/>
        <v>6981.3250805586977</v>
      </c>
      <c r="CJ28" s="1">
        <f t="shared" si="58"/>
        <v>6954.3097397006122</v>
      </c>
      <c r="CK28" s="1">
        <f t="shared" si="58"/>
        <v>6953.1152950312517</v>
      </c>
    </row>
    <row r="29" spans="2:130" s="1" customFormat="1" x14ac:dyDescent="0.2">
      <c r="B29" s="1" t="s">
        <v>220</v>
      </c>
      <c r="C29" s="15">
        <v>-2.6819999999999999</v>
      </c>
      <c r="D29" s="15">
        <f>-4.047+0.998</f>
        <v>-3.0489999999999995</v>
      </c>
      <c r="E29" s="15">
        <v>-3.3460000000000001</v>
      </c>
      <c r="F29" s="15">
        <f>BM29-E29-D29-C29</f>
        <v>-8.6560000000000006</v>
      </c>
      <c r="G29" s="15">
        <v>-10.55</v>
      </c>
      <c r="H29" s="15">
        <v>-10.734999999999999</v>
      </c>
      <c r="I29" s="15">
        <v>-10.896000000000001</v>
      </c>
      <c r="J29" s="15">
        <f>+BN29-I29-H29-G29</f>
        <v>-11.111000000000001</v>
      </c>
      <c r="K29" s="15">
        <v>-11.218999999999999</v>
      </c>
      <c r="L29" s="15">
        <v>-10.411</v>
      </c>
      <c r="M29" s="15">
        <v>-11.118</v>
      </c>
      <c r="N29" s="15">
        <f>+BO29-M29-L29-K29</f>
        <v>-13.919999999999996</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f>40.4+25.3</f>
        <v>65.7</v>
      </c>
      <c r="AN29" s="15">
        <f>-50.2+7.9</f>
        <v>-42.300000000000004</v>
      </c>
      <c r="AO29" s="15">
        <v>-54.8</v>
      </c>
      <c r="AP29" s="15">
        <v>57.6</v>
      </c>
      <c r="AQ29" s="15">
        <f>40.5-14.6</f>
        <v>25.9</v>
      </c>
      <c r="AR29" s="15">
        <f>-14.4-31.3</f>
        <v>-45.7</v>
      </c>
      <c r="AS29" s="15">
        <v>-30.6</v>
      </c>
      <c r="AT29" s="15">
        <f>15.8-136.3</f>
        <v>-120.50000000000001</v>
      </c>
      <c r="AU29" s="15">
        <f>20.2-197.4</f>
        <v>-177.20000000000002</v>
      </c>
      <c r="AV29" s="15">
        <f>-133.6-13.1-17.4</f>
        <v>-164.1</v>
      </c>
      <c r="AW29" s="15">
        <v>32.6</v>
      </c>
      <c r="AX29" s="15">
        <f>195.3-17.4-80.5</f>
        <v>97.4</v>
      </c>
      <c r="BB29" s="1">
        <f>193-18.3+0.5-58.1</f>
        <v>117.1</v>
      </c>
      <c r="BF29" s="1">
        <f>-21.6-10.5+212.9</f>
        <v>180.8</v>
      </c>
      <c r="BM29" s="1">
        <v>-17.733000000000001</v>
      </c>
      <c r="BN29" s="1">
        <v>-43.292000000000002</v>
      </c>
      <c r="BO29" s="1">
        <f>-46.437-0.231</f>
        <v>-46.667999999999999</v>
      </c>
      <c r="BP29" s="1">
        <f>8.157-37.372</f>
        <v>-29.215</v>
      </c>
      <c r="BQ29" s="1">
        <f>-14.241+6.283</f>
        <v>-7.9579999999999993</v>
      </c>
      <c r="BV29" s="1">
        <f t="shared" ref="BV29" si="59">SUM(AM29:AP29)</f>
        <v>26.200000000000003</v>
      </c>
      <c r="BW29" s="1">
        <f t="shared" ref="BW29" si="60">SUM(AQ29:AT29)</f>
        <v>-170.90000000000003</v>
      </c>
      <c r="BX29" s="1">
        <f t="shared" ref="BX29" si="61">SUM(AU29:AX29)</f>
        <v>-211.29999999999998</v>
      </c>
      <c r="BY29" s="1">
        <f t="shared" ref="BY29" si="62">SUM(AY29:BB29)</f>
        <v>117.1</v>
      </c>
      <c r="BZ29" s="1">
        <f>SUM(BC29:BF29)</f>
        <v>180.8</v>
      </c>
    </row>
    <row r="30" spans="2:130" s="1" customFormat="1" x14ac:dyDescent="0.2">
      <c r="B30" s="1" t="s">
        <v>221</v>
      </c>
      <c r="C30" s="15">
        <f t="shared" ref="C30:F30" si="63">+C28+C29</f>
        <v>-43.690000000000012</v>
      </c>
      <c r="D30" s="15">
        <f t="shared" si="63"/>
        <v>-63.368000000000002</v>
      </c>
      <c r="E30" s="15">
        <f t="shared" si="63"/>
        <v>-61.836000000000013</v>
      </c>
      <c r="F30" s="15">
        <f t="shared" si="63"/>
        <v>-54.02199999999997</v>
      </c>
      <c r="G30" s="15">
        <f t="shared" ref="G30:N30" si="64">+G28+G29</f>
        <v>11.620000000000015</v>
      </c>
      <c r="H30" s="15">
        <f t="shared" si="64"/>
        <v>76.724000000000004</v>
      </c>
      <c r="I30" s="15">
        <f t="shared" si="64"/>
        <v>191.48099999999999</v>
      </c>
      <c r="J30" s="15">
        <f t="shared" si="64"/>
        <v>134.61900000000003</v>
      </c>
      <c r="K30" s="15">
        <f t="shared" si="64"/>
        <v>141.79099999999994</v>
      </c>
      <c r="L30" s="15">
        <f t="shared" si="64"/>
        <v>147.69900000000001</v>
      </c>
      <c r="M30" s="15">
        <f t="shared" si="64"/>
        <v>225.66600000000005</v>
      </c>
      <c r="N30" s="15">
        <f t="shared" si="64"/>
        <v>198.15899999999985</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f t="shared" ref="AM30" si="65">AM28+AM29</f>
        <v>745.60000000000014</v>
      </c>
      <c r="AN30" s="15">
        <f t="shared" ref="AN30:AX30" si="66">AN28+AN29</f>
        <v>762.30000000000018</v>
      </c>
      <c r="AO30" s="15">
        <f t="shared" si="66"/>
        <v>1196.9999999999998</v>
      </c>
      <c r="AP30" s="15">
        <f t="shared" si="66"/>
        <v>961.79999999999984</v>
      </c>
      <c r="AQ30" s="15">
        <f t="shared" si="66"/>
        <v>1098.8000000000006</v>
      </c>
      <c r="AR30" s="15">
        <f t="shared" si="66"/>
        <v>3270.4</v>
      </c>
      <c r="AS30" s="15">
        <f t="shared" si="66"/>
        <v>2215.3000000000002</v>
      </c>
      <c r="AT30" s="15">
        <f t="shared" si="66"/>
        <v>2967.0999999999995</v>
      </c>
      <c r="AU30" s="15">
        <f t="shared" si="66"/>
        <v>1089.6000000000004</v>
      </c>
      <c r="AV30" s="15">
        <f t="shared" si="66"/>
        <v>1140.4000000000003</v>
      </c>
      <c r="AW30" s="15">
        <f t="shared" si="66"/>
        <v>1576</v>
      </c>
      <c r="AX30" s="15">
        <f t="shared" si="66"/>
        <v>1425.6</v>
      </c>
      <c r="AY30" s="15">
        <f t="shared" ref="AY30" si="67">AY28+AY29</f>
        <v>1519</v>
      </c>
      <c r="AZ30" s="15">
        <f t="shared" ref="AZ30" si="68">AZ28+AZ29</f>
        <v>1459</v>
      </c>
      <c r="BA30" s="15">
        <f t="shared" ref="BA30" si="69">BA28+BA29</f>
        <v>1694.1</v>
      </c>
      <c r="BB30" s="15">
        <f t="shared" ref="BB30:BF30" si="70">BB28+BB29</f>
        <v>1429.3</v>
      </c>
      <c r="BC30" s="15">
        <f t="shared" si="70"/>
        <v>1243</v>
      </c>
      <c r="BD30" s="15">
        <f t="shared" si="70"/>
        <v>1594</v>
      </c>
      <c r="BE30" s="15">
        <f t="shared" si="70"/>
        <v>1743.6999999999998</v>
      </c>
      <c r="BF30" s="15">
        <f t="shared" si="70"/>
        <v>1556.2</v>
      </c>
      <c r="BG30" s="15">
        <f t="shared" ref="BG30:BJ30" si="71">BG28+BG29</f>
        <v>0</v>
      </c>
      <c r="BH30" s="15">
        <f t="shared" si="71"/>
        <v>0</v>
      </c>
      <c r="BI30" s="15">
        <f t="shared" si="71"/>
        <v>0</v>
      </c>
      <c r="BJ30" s="15">
        <f t="shared" si="71"/>
        <v>0</v>
      </c>
      <c r="BM30" s="1">
        <f>+BM28+BM29</f>
        <v>-222.91599999999994</v>
      </c>
      <c r="BN30" s="1">
        <f>+BN28+BN29</f>
        <v>414.44400000000007</v>
      </c>
      <c r="BO30" s="1">
        <f>+BO28+BO29</f>
        <v>713.31500000000017</v>
      </c>
      <c r="BP30" s="1">
        <f>+BP28+BP29</f>
        <v>809.25900000000013</v>
      </c>
      <c r="BQ30" s="1">
        <f>+BQ28+BQ29</f>
        <v>1243.9299999999998</v>
      </c>
      <c r="BV30" s="1">
        <f>+BV28+BV29</f>
        <v>3666.7</v>
      </c>
      <c r="BW30" s="1">
        <f t="shared" ref="BW30:CK30" si="72">+BW28+BW29</f>
        <v>9551.6000000000022</v>
      </c>
      <c r="BX30" s="1">
        <f t="shared" si="72"/>
        <v>5231.6000000000013</v>
      </c>
      <c r="BY30" s="1">
        <f t="shared" si="72"/>
        <v>6101.4000000000005</v>
      </c>
      <c r="BZ30" s="1">
        <f t="shared" si="72"/>
        <v>6136.9000000000015</v>
      </c>
      <c r="CA30" s="1">
        <f t="shared" si="72"/>
        <v>8826.1188312500017</v>
      </c>
      <c r="CB30" s="1">
        <f t="shared" si="72"/>
        <v>8439.0253718750009</v>
      </c>
      <c r="CC30" s="1">
        <f t="shared" si="72"/>
        <v>7911.2301722125012</v>
      </c>
      <c r="CD30" s="1">
        <f t="shared" si="72"/>
        <v>7474.7765885677527</v>
      </c>
      <c r="CE30" s="1">
        <f t="shared" si="72"/>
        <v>7236.460662696617</v>
      </c>
      <c r="CF30" s="1">
        <f t="shared" si="72"/>
        <v>7142.7252528938152</v>
      </c>
      <c r="CG30" s="1">
        <f t="shared" si="72"/>
        <v>7155.8357048319149</v>
      </c>
      <c r="CH30" s="1">
        <f t="shared" si="72"/>
        <v>7043.9310299540484</v>
      </c>
      <c r="CI30" s="1">
        <f t="shared" si="72"/>
        <v>6981.3250805586977</v>
      </c>
      <c r="CJ30" s="1">
        <f t="shared" si="72"/>
        <v>6954.3097397006122</v>
      </c>
      <c r="CK30" s="1">
        <f t="shared" si="72"/>
        <v>6953.1152950312517</v>
      </c>
    </row>
    <row r="31" spans="2:130" s="1" customFormat="1" x14ac:dyDescent="0.2">
      <c r="B31" s="1" t="s">
        <v>222</v>
      </c>
      <c r="C31" s="15">
        <v>-0.216</v>
      </c>
      <c r="D31" s="15">
        <v>-0.86299999999999999</v>
      </c>
      <c r="E31" s="15">
        <v>0.56200000000000006</v>
      </c>
      <c r="F31" s="15">
        <f>BM31-E31-D31-C31</f>
        <v>-0.61499999999999999</v>
      </c>
      <c r="G31" s="15">
        <v>0</v>
      </c>
      <c r="H31" s="15">
        <v>0</v>
      </c>
      <c r="I31" s="15">
        <v>0</v>
      </c>
      <c r="J31" s="15">
        <f>+BN31-I31-H31-G31</f>
        <v>0</v>
      </c>
      <c r="K31" s="15">
        <v>42.957000000000001</v>
      </c>
      <c r="L31" s="15">
        <v>60.316000000000003</v>
      </c>
      <c r="M31" s="15">
        <v>84.378</v>
      </c>
      <c r="N31" s="15">
        <f>+BO31-M31-L31-K31</f>
        <v>101.34700000000001</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44</v>
      </c>
      <c r="AN31" s="15">
        <v>21.6</v>
      </c>
      <c r="AO31" s="15">
        <v>156.19999999999999</v>
      </c>
      <c r="AP31" s="15">
        <v>75.400000000000006</v>
      </c>
      <c r="AQ31" s="15">
        <v>137.80000000000001</v>
      </c>
      <c r="AR31" s="15">
        <v>653.9</v>
      </c>
      <c r="AS31" s="15">
        <v>184.4</v>
      </c>
      <c r="AT31" s="15">
        <v>274.39999999999998</v>
      </c>
      <c r="AU31" s="15">
        <v>87.6</v>
      </c>
      <c r="AV31" s="15">
        <v>111.1</v>
      </c>
      <c r="AW31" s="15">
        <v>194.1</v>
      </c>
      <c r="AX31" s="15">
        <v>127.6</v>
      </c>
      <c r="AY31" s="15">
        <f t="shared" ref="AY31:BA31" si="73">+AY30*0.15</f>
        <v>227.85</v>
      </c>
      <c r="AZ31" s="15">
        <f t="shared" si="73"/>
        <v>218.85</v>
      </c>
      <c r="BA31" s="15">
        <f t="shared" si="73"/>
        <v>254.11499999999998</v>
      </c>
      <c r="BB31" s="15">
        <f>-12+45.3</f>
        <v>33.299999999999997</v>
      </c>
      <c r="BC31" s="15"/>
      <c r="BD31" s="15"/>
      <c r="BE31" s="15"/>
      <c r="BF31" s="15">
        <f>40.4+112.5</f>
        <v>152.9</v>
      </c>
      <c r="BG31" s="15"/>
      <c r="BH31" s="15"/>
      <c r="BI31" s="15"/>
      <c r="BJ31" s="15"/>
      <c r="BM31" s="1">
        <v>-1.1319999999999999</v>
      </c>
      <c r="BN31" s="1">
        <v>0</v>
      </c>
      <c r="BO31" s="1">
        <v>288.99799999999999</v>
      </c>
      <c r="BP31" s="1">
        <v>427.673</v>
      </c>
      <c r="BQ31" s="1">
        <v>589.04100000000005</v>
      </c>
      <c r="BV31" s="1">
        <f t="shared" ref="BV31" si="74">SUM(AM31:AP31)</f>
        <v>297.2</v>
      </c>
      <c r="BW31" s="1">
        <f t="shared" ref="BW31" si="75">SUM(AQ31:AT31)</f>
        <v>1250.5</v>
      </c>
      <c r="BX31" s="1">
        <f t="shared" ref="BX31" si="76">SUM(AU31:AX31)</f>
        <v>520.4</v>
      </c>
      <c r="BY31" s="1">
        <f t="shared" ref="BY31" si="77">SUM(AY31:BB31)</f>
        <v>734.1149999999999</v>
      </c>
      <c r="BZ31" s="1">
        <f>SUM(BC31:BF31)</f>
        <v>152.9</v>
      </c>
      <c r="CA31" s="1">
        <f>CA30*0.15</f>
        <v>1323.9178246875001</v>
      </c>
      <c r="CB31" s="1">
        <f t="shared" ref="CB31:CK31" si="78">CB30*0.15</f>
        <v>1265.85380578125</v>
      </c>
      <c r="CC31" s="1">
        <f t="shared" si="78"/>
        <v>1186.6845258318751</v>
      </c>
      <c r="CD31" s="1">
        <f t="shared" si="78"/>
        <v>1121.2164882851628</v>
      </c>
      <c r="CE31" s="1">
        <f t="shared" si="78"/>
        <v>1085.4690994044925</v>
      </c>
      <c r="CF31" s="1">
        <f t="shared" si="78"/>
        <v>1071.4087879340723</v>
      </c>
      <c r="CG31" s="1">
        <f t="shared" si="78"/>
        <v>1073.3753557247871</v>
      </c>
      <c r="CH31" s="1">
        <f t="shared" si="78"/>
        <v>1056.5896544931072</v>
      </c>
      <c r="CI31" s="1">
        <f t="shared" si="78"/>
        <v>1047.1987620838047</v>
      </c>
      <c r="CJ31" s="1">
        <f t="shared" si="78"/>
        <v>1043.1464609550917</v>
      </c>
      <c r="CK31" s="1">
        <f t="shared" si="78"/>
        <v>1042.9672942546877</v>
      </c>
    </row>
    <row r="32" spans="2:130" s="1" customFormat="1" x14ac:dyDescent="0.2">
      <c r="B32" s="1" t="s">
        <v>223</v>
      </c>
      <c r="C32" s="15">
        <f t="shared" ref="C32" si="79">+C30-C31</f>
        <v>-43.474000000000011</v>
      </c>
      <c r="D32" s="15">
        <f t="shared" ref="D32:N32" si="80">+D30-D31</f>
        <v>-62.505000000000003</v>
      </c>
      <c r="E32" s="15">
        <f t="shared" si="80"/>
        <v>-62.39800000000001</v>
      </c>
      <c r="F32" s="15">
        <f t="shared" si="80"/>
        <v>-53.406999999999968</v>
      </c>
      <c r="G32" s="15">
        <f t="shared" si="80"/>
        <v>11.620000000000015</v>
      </c>
      <c r="H32" s="15">
        <f t="shared" si="80"/>
        <v>76.724000000000004</v>
      </c>
      <c r="I32" s="15">
        <f t="shared" si="80"/>
        <v>191.48099999999999</v>
      </c>
      <c r="J32" s="15">
        <f t="shared" si="80"/>
        <v>134.61900000000003</v>
      </c>
      <c r="K32" s="15">
        <f t="shared" si="80"/>
        <v>98.833999999999946</v>
      </c>
      <c r="L32" s="15">
        <f t="shared" si="80"/>
        <v>87.38300000000001</v>
      </c>
      <c r="M32" s="15">
        <f t="shared" si="80"/>
        <v>141.28800000000007</v>
      </c>
      <c r="N32" s="15">
        <f t="shared" si="80"/>
        <v>96.811999999999841</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f t="shared" ref="AM32" si="81">+AM30-AM31</f>
        <v>701.60000000000014</v>
      </c>
      <c r="AN32" s="15">
        <f t="shared" ref="AN32:AX32" si="82">+AN30-AN31</f>
        <v>740.70000000000016</v>
      </c>
      <c r="AO32" s="15">
        <f t="shared" si="82"/>
        <v>1040.7999999999997</v>
      </c>
      <c r="AP32" s="15">
        <f t="shared" si="82"/>
        <v>886.39999999999986</v>
      </c>
      <c r="AQ32" s="15">
        <f t="shared" si="82"/>
        <v>961.00000000000068</v>
      </c>
      <c r="AR32" s="15">
        <f t="shared" si="82"/>
        <v>2616.5</v>
      </c>
      <c r="AS32" s="15">
        <f t="shared" si="82"/>
        <v>2030.9</v>
      </c>
      <c r="AT32" s="15">
        <f t="shared" si="82"/>
        <v>2692.6999999999994</v>
      </c>
      <c r="AU32" s="15">
        <f t="shared" si="82"/>
        <v>1002.0000000000003</v>
      </c>
      <c r="AV32" s="15">
        <f t="shared" si="82"/>
        <v>1029.3000000000004</v>
      </c>
      <c r="AW32" s="15">
        <f t="shared" si="82"/>
        <v>1381.9</v>
      </c>
      <c r="AX32" s="15">
        <f t="shared" si="82"/>
        <v>1298</v>
      </c>
      <c r="AY32" s="15">
        <f t="shared" ref="AY32" si="83">+AY30-AY31</f>
        <v>1291.1500000000001</v>
      </c>
      <c r="AZ32" s="15">
        <f t="shared" ref="AZ32" si="84">+AZ30-AZ31</f>
        <v>1240.1500000000001</v>
      </c>
      <c r="BA32" s="15">
        <f t="shared" ref="BA32" si="85">+BA30-BA31</f>
        <v>1439.9849999999999</v>
      </c>
      <c r="BB32" s="15">
        <f t="shared" ref="BB32:BF32" si="86">+BB30-BB31</f>
        <v>1396</v>
      </c>
      <c r="BC32" s="15">
        <f t="shared" si="86"/>
        <v>1243</v>
      </c>
      <c r="BD32" s="15">
        <f t="shared" si="86"/>
        <v>1594</v>
      </c>
      <c r="BE32" s="15">
        <f t="shared" si="86"/>
        <v>1743.6999999999998</v>
      </c>
      <c r="BF32" s="15">
        <f t="shared" si="86"/>
        <v>1403.3</v>
      </c>
      <c r="BG32" s="15">
        <f t="shared" ref="BG32:BJ32" si="87">+BG30-BG31</f>
        <v>0</v>
      </c>
      <c r="BH32" s="15">
        <f t="shared" si="87"/>
        <v>0</v>
      </c>
      <c r="BI32" s="15">
        <f t="shared" si="87"/>
        <v>0</v>
      </c>
      <c r="BJ32" s="15">
        <f t="shared" si="87"/>
        <v>0</v>
      </c>
      <c r="BL32" s="1">
        <f t="shared" ref="BL32:BQ32" si="88">+BL30-BL31</f>
        <v>0</v>
      </c>
      <c r="BM32" s="1">
        <f t="shared" si="88"/>
        <v>-221.78399999999993</v>
      </c>
      <c r="BN32" s="1">
        <f t="shared" si="88"/>
        <v>414.44400000000007</v>
      </c>
      <c r="BO32" s="1">
        <f t="shared" si="88"/>
        <v>424.31700000000018</v>
      </c>
      <c r="BP32" s="1">
        <f t="shared" si="88"/>
        <v>381.58600000000013</v>
      </c>
      <c r="BQ32" s="1">
        <f t="shared" si="88"/>
        <v>654.88899999999978</v>
      </c>
      <c r="BV32" s="1">
        <f>+BV30-BV31</f>
        <v>3369.5</v>
      </c>
      <c r="BW32" s="1">
        <f t="shared" ref="BW32:CK32" si="89">+BW30-BW31</f>
        <v>8301.1000000000022</v>
      </c>
      <c r="BX32" s="1">
        <f t="shared" si="89"/>
        <v>4711.2000000000016</v>
      </c>
      <c r="BY32" s="1">
        <f t="shared" si="89"/>
        <v>5367.2850000000008</v>
      </c>
      <c r="BZ32" s="1">
        <f t="shared" si="89"/>
        <v>5984.0000000000018</v>
      </c>
      <c r="CA32" s="1">
        <f t="shared" si="89"/>
        <v>7502.2010065625018</v>
      </c>
      <c r="CB32" s="1">
        <f t="shared" si="89"/>
        <v>7173.1715660937507</v>
      </c>
      <c r="CC32" s="1">
        <f t="shared" si="89"/>
        <v>6724.5456463806258</v>
      </c>
      <c r="CD32" s="1">
        <f t="shared" si="89"/>
        <v>6353.5601002825897</v>
      </c>
      <c r="CE32" s="1">
        <f t="shared" si="89"/>
        <v>6150.9915632921247</v>
      </c>
      <c r="CF32" s="1">
        <f t="shared" si="89"/>
        <v>6071.3164649597429</v>
      </c>
      <c r="CG32" s="1">
        <f t="shared" si="89"/>
        <v>6082.4603491071275</v>
      </c>
      <c r="CH32" s="1">
        <f t="shared" si="89"/>
        <v>5987.341375460941</v>
      </c>
      <c r="CI32" s="1">
        <f t="shared" si="89"/>
        <v>5934.1263184748932</v>
      </c>
      <c r="CJ32" s="1">
        <f t="shared" si="89"/>
        <v>5911.1632787455201</v>
      </c>
      <c r="CK32" s="1">
        <f t="shared" si="89"/>
        <v>5910.148000776564</v>
      </c>
      <c r="CL32" s="1">
        <f>CK32*(1+$CM$36)</f>
        <v>5732.8435607532665</v>
      </c>
      <c r="CM32" s="1">
        <f t="shared" ref="CM32:DZ32" si="90">CL32*(1+$CM$36)</f>
        <v>5560.8582539306681</v>
      </c>
      <c r="CN32" s="1">
        <f t="shared" si="90"/>
        <v>5394.0325063127475</v>
      </c>
      <c r="CO32" s="1">
        <f t="shared" si="90"/>
        <v>5232.2115311233647</v>
      </c>
      <c r="CP32" s="1">
        <f t="shared" si="90"/>
        <v>5075.245185189664</v>
      </c>
      <c r="CQ32" s="1">
        <f t="shared" si="90"/>
        <v>4922.9878296339739</v>
      </c>
      <c r="CR32" s="1">
        <f t="shared" si="90"/>
        <v>4775.2981947449543</v>
      </c>
      <c r="CS32" s="1">
        <f t="shared" si="90"/>
        <v>4632.0392489026053</v>
      </c>
      <c r="CT32" s="1">
        <f t="shared" si="90"/>
        <v>4493.0780714355269</v>
      </c>
      <c r="CU32" s="1">
        <f t="shared" si="90"/>
        <v>4358.2857292924609</v>
      </c>
      <c r="CV32" s="1">
        <f t="shared" si="90"/>
        <v>4227.5371574136871</v>
      </c>
      <c r="CW32" s="1">
        <f t="shared" si="90"/>
        <v>4100.7110426912759</v>
      </c>
      <c r="CX32" s="1">
        <f t="shared" si="90"/>
        <v>3977.6897114105377</v>
      </c>
      <c r="CY32" s="1">
        <f t="shared" si="90"/>
        <v>3858.3590200682215</v>
      </c>
      <c r="CZ32" s="1">
        <f t="shared" si="90"/>
        <v>3742.6082494661746</v>
      </c>
      <c r="DA32" s="1">
        <f t="shared" si="90"/>
        <v>3630.3300019821891</v>
      </c>
      <c r="DB32" s="1">
        <f t="shared" si="90"/>
        <v>3521.4201019227235</v>
      </c>
      <c r="DC32" s="1">
        <f t="shared" si="90"/>
        <v>3415.7774988650417</v>
      </c>
      <c r="DD32" s="1">
        <f t="shared" si="90"/>
        <v>3313.3041738990905</v>
      </c>
      <c r="DE32" s="1">
        <f t="shared" si="90"/>
        <v>3213.9050486821179</v>
      </c>
      <c r="DF32" s="1">
        <f t="shared" si="90"/>
        <v>3117.4878972216543</v>
      </c>
      <c r="DG32" s="1">
        <f t="shared" si="90"/>
        <v>3023.9632603050045</v>
      </c>
      <c r="DH32" s="1">
        <f t="shared" si="90"/>
        <v>2933.2443624958541</v>
      </c>
      <c r="DI32" s="1">
        <f t="shared" si="90"/>
        <v>2845.2470316209783</v>
      </c>
      <c r="DJ32" s="1">
        <f t="shared" si="90"/>
        <v>2759.8896206723489</v>
      </c>
      <c r="DK32" s="1">
        <f t="shared" si="90"/>
        <v>2677.0929320521782</v>
      </c>
      <c r="DL32" s="1">
        <f t="shared" si="90"/>
        <v>2596.7801440906128</v>
      </c>
      <c r="DM32" s="1">
        <f t="shared" si="90"/>
        <v>2518.8767397678944</v>
      </c>
      <c r="DN32" s="1">
        <f t="shared" si="90"/>
        <v>2443.3104375748576</v>
      </c>
      <c r="DO32" s="1">
        <f t="shared" si="90"/>
        <v>2370.011124447612</v>
      </c>
      <c r="DP32" s="1">
        <f t="shared" si="90"/>
        <v>2298.9107907141838</v>
      </c>
      <c r="DQ32" s="1">
        <f t="shared" si="90"/>
        <v>2229.9434669927582</v>
      </c>
      <c r="DR32" s="1">
        <f t="shared" si="90"/>
        <v>2163.0451629829754</v>
      </c>
      <c r="DS32" s="1">
        <f t="shared" si="90"/>
        <v>2098.1538080934861</v>
      </c>
      <c r="DT32" s="1">
        <f t="shared" si="90"/>
        <v>2035.2091938506815</v>
      </c>
      <c r="DU32" s="1">
        <f t="shared" si="90"/>
        <v>1974.1529180351611</v>
      </c>
      <c r="DV32" s="1">
        <f t="shared" si="90"/>
        <v>1914.9283304941061</v>
      </c>
      <c r="DW32" s="1">
        <f t="shared" si="90"/>
        <v>1857.4804805792828</v>
      </c>
      <c r="DX32" s="1">
        <f t="shared" si="90"/>
        <v>1801.7560661619043</v>
      </c>
      <c r="DY32" s="1">
        <f t="shared" si="90"/>
        <v>1747.7033841770472</v>
      </c>
      <c r="DZ32" s="1">
        <f t="shared" si="90"/>
        <v>1695.2722826517356</v>
      </c>
    </row>
    <row r="33" spans="2:91" s="45" customFormat="1" x14ac:dyDescent="0.2">
      <c r="B33" s="16" t="s">
        <v>224</v>
      </c>
      <c r="C33" s="55">
        <f t="shared" ref="C33:N33" si="91">+C32/C34</f>
        <v>-0.48758439694040073</v>
      </c>
      <c r="D33" s="55">
        <f t="shared" si="91"/>
        <v>-0.69115175372639215</v>
      </c>
      <c r="E33" s="55">
        <f t="shared" si="91"/>
        <v>-0.68534586912110373</v>
      </c>
      <c r="F33" s="55">
        <f t="shared" si="91"/>
        <v>-0.58659359005337919</v>
      </c>
      <c r="G33" s="55">
        <f t="shared" si="91"/>
        <v>0.10785824345146394</v>
      </c>
      <c r="H33" s="55">
        <f t="shared" si="91"/>
        <v>0.6964335962674848</v>
      </c>
      <c r="I33" s="55">
        <f t="shared" si="91"/>
        <v>1.6531209531209532</v>
      </c>
      <c r="J33" s="55">
        <f t="shared" si="91"/>
        <v>1.1622118622118625</v>
      </c>
      <c r="K33" s="55">
        <f t="shared" si="91"/>
        <v>0.90367471587012727</v>
      </c>
      <c r="L33" s="55">
        <f t="shared" si="91"/>
        <v>0.78680893210877012</v>
      </c>
      <c r="M33" s="55">
        <f t="shared" si="91"/>
        <v>1.2105592350466536</v>
      </c>
      <c r="N33" s="55">
        <f t="shared" si="91"/>
        <v>0.82948771773495533</v>
      </c>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55">
        <f t="shared" ref="AM33" si="92">+AM32/AM34</f>
        <v>6.0955690703735899</v>
      </c>
      <c r="AN33" s="55">
        <f t="shared" ref="AN33:AX33" si="93">+AN32/AN34</f>
        <v>6.2087175188600181</v>
      </c>
      <c r="AO33" s="55">
        <f t="shared" si="93"/>
        <v>9.1378402107111469</v>
      </c>
      <c r="AP33" s="55">
        <f t="shared" si="93"/>
        <v>7.900178253119428</v>
      </c>
      <c r="AQ33" s="55">
        <f t="shared" si="93"/>
        <v>8.5727029438001843</v>
      </c>
      <c r="AR33" s="55">
        <f t="shared" si="93"/>
        <v>23.319964349376114</v>
      </c>
      <c r="AS33" s="55">
        <f t="shared" si="93"/>
        <v>17.830553116769096</v>
      </c>
      <c r="AT33" s="55">
        <f t="shared" si="93"/>
        <v>23.787102473498226</v>
      </c>
      <c r="AU33" s="55">
        <f t="shared" si="93"/>
        <v>8.7358326068003507</v>
      </c>
      <c r="AV33" s="55">
        <f t="shared" si="93"/>
        <v>8.9194107452339715</v>
      </c>
      <c r="AW33" s="55">
        <f t="shared" si="93"/>
        <v>12.250886524822697</v>
      </c>
      <c r="AX33" s="55">
        <f t="shared" si="93"/>
        <v>11.385964912280702</v>
      </c>
      <c r="AY33" s="55">
        <f t="shared" ref="AY33" si="94">+AY32/AY34</f>
        <v>11.325877192982457</v>
      </c>
      <c r="AZ33" s="55">
        <f t="shared" ref="AZ33" si="95">+AZ32/AZ34</f>
        <v>10.878508771929825</v>
      </c>
      <c r="BA33" s="55">
        <f t="shared" ref="BA33" si="96">+BA32/BA34</f>
        <v>12.554359197907583</v>
      </c>
      <c r="BB33" s="55">
        <f t="shared" ref="BB33:BJ33" si="97">+BB32/BB34</f>
        <v>12.118055555555555</v>
      </c>
      <c r="BC33" s="55">
        <f t="shared" si="97"/>
        <v>10.789930555555555</v>
      </c>
      <c r="BD33" s="55">
        <f t="shared" si="97"/>
        <v>13.836805555555555</v>
      </c>
      <c r="BE33" s="55">
        <f t="shared" si="97"/>
        <v>14.852640545144801</v>
      </c>
      <c r="BF33" s="55">
        <f t="shared" si="97"/>
        <v>12.192006950477845</v>
      </c>
      <c r="BG33" s="55">
        <f t="shared" si="97"/>
        <v>0</v>
      </c>
      <c r="BH33" s="55">
        <f t="shared" si="97"/>
        <v>0</v>
      </c>
      <c r="BI33" s="55">
        <f t="shared" si="97"/>
        <v>0</v>
      </c>
      <c r="BJ33" s="55">
        <f t="shared" si="97"/>
        <v>0</v>
      </c>
      <c r="BL33" s="56">
        <f t="shared" ref="BL33:BQ33" si="98">+BL32/BL34</f>
        <v>0</v>
      </c>
      <c r="BM33" s="56">
        <f t="shared" si="98"/>
        <v>-2.4476768568590654</v>
      </c>
      <c r="BN33" s="56">
        <f t="shared" si="98"/>
        <v>3.5919294170667873</v>
      </c>
      <c r="BO33" s="56">
        <f t="shared" si="98"/>
        <v>3.8127145296073337</v>
      </c>
      <c r="BP33" s="56">
        <f t="shared" si="98"/>
        <v>3.3645701991835164</v>
      </c>
      <c r="BQ33" s="56">
        <f t="shared" si="98"/>
        <v>5.683320315889957</v>
      </c>
      <c r="BV33" s="56">
        <f>+BV32/BV34</f>
        <v>29.268186753528777</v>
      </c>
      <c r="BW33" s="56">
        <f t="shared" ref="BW33:CK33" si="99">+BW32/BW34</f>
        <v>73.558706247230845</v>
      </c>
      <c r="BX33" s="56">
        <f t="shared" si="99"/>
        <v>41.244911359159566</v>
      </c>
      <c r="BY33" s="56">
        <f t="shared" si="99"/>
        <v>46.886088665647527</v>
      </c>
      <c r="BZ33" s="56">
        <f t="shared" si="99"/>
        <v>51.70879239576584</v>
      </c>
      <c r="CA33" s="56">
        <f t="shared" si="99"/>
        <v>64.827833282026376</v>
      </c>
      <c r="CB33" s="56">
        <f t="shared" si="99"/>
        <v>61.984632241034788</v>
      </c>
      <c r="CC33" s="56">
        <f t="shared" si="99"/>
        <v>58.107977069610079</v>
      </c>
      <c r="CD33" s="56">
        <f t="shared" si="99"/>
        <v>54.902225969173386</v>
      </c>
      <c r="CE33" s="56">
        <f t="shared" si="99"/>
        <v>53.151795751066103</v>
      </c>
      <c r="CF33" s="56">
        <f t="shared" si="99"/>
        <v>52.463309267312539</v>
      </c>
      <c r="CG33" s="56">
        <f t="shared" si="99"/>
        <v>52.559605522636666</v>
      </c>
      <c r="CH33" s="56">
        <f t="shared" si="99"/>
        <v>51.73766580653222</v>
      </c>
      <c r="CI33" s="56">
        <f t="shared" si="99"/>
        <v>51.277825175846992</v>
      </c>
      <c r="CJ33" s="56">
        <f t="shared" si="99"/>
        <v>51.079397526424891</v>
      </c>
      <c r="CK33" s="56">
        <f t="shared" si="99"/>
        <v>51.070624331618617</v>
      </c>
    </row>
    <row r="34" spans="2:91" s="1" customFormat="1" x14ac:dyDescent="0.2">
      <c r="B34" s="1" t="s">
        <v>37</v>
      </c>
      <c r="C34" s="15">
        <v>89.162000000000006</v>
      </c>
      <c r="D34" s="15">
        <v>90.436000000000007</v>
      </c>
      <c r="E34" s="15">
        <v>91.046000000000006</v>
      </c>
      <c r="F34" s="49">
        <f>+E34</f>
        <v>91.046000000000006</v>
      </c>
      <c r="G34" s="15">
        <v>107.73399999999999</v>
      </c>
      <c r="H34" s="15">
        <v>110.167</v>
      </c>
      <c r="I34" s="15">
        <v>115.83</v>
      </c>
      <c r="J34" s="49">
        <f>+I34</f>
        <v>115.83</v>
      </c>
      <c r="K34" s="15">
        <v>109.369</v>
      </c>
      <c r="L34" s="15">
        <v>111.06</v>
      </c>
      <c r="M34" s="15">
        <v>116.71299999999999</v>
      </c>
      <c r="N34" s="49">
        <f>+M34</f>
        <v>116.71299999999999</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115.1</v>
      </c>
      <c r="AN34" s="15">
        <v>119.3</v>
      </c>
      <c r="AO34" s="15">
        <v>113.9</v>
      </c>
      <c r="AP34" s="15">
        <v>112.2</v>
      </c>
      <c r="AQ34" s="15">
        <v>112.1</v>
      </c>
      <c r="AR34" s="15">
        <v>112.2</v>
      </c>
      <c r="AS34" s="15">
        <v>113.9</v>
      </c>
      <c r="AT34" s="15">
        <v>113.2</v>
      </c>
      <c r="AU34" s="15">
        <v>114.7</v>
      </c>
      <c r="AV34" s="15">
        <v>115.4</v>
      </c>
      <c r="AW34" s="15">
        <v>112.8</v>
      </c>
      <c r="AX34" s="15">
        <v>114</v>
      </c>
      <c r="AY34" s="15">
        <f t="shared" ref="AY34:BD34" si="100">+AX34</f>
        <v>114</v>
      </c>
      <c r="AZ34" s="15">
        <f t="shared" si="100"/>
        <v>114</v>
      </c>
      <c r="BA34" s="15">
        <v>114.7</v>
      </c>
      <c r="BB34" s="15">
        <v>115.2</v>
      </c>
      <c r="BC34" s="15">
        <f t="shared" si="100"/>
        <v>115.2</v>
      </c>
      <c r="BD34" s="15">
        <f t="shared" si="100"/>
        <v>115.2</v>
      </c>
      <c r="BE34" s="15">
        <v>117.4</v>
      </c>
      <c r="BF34" s="15">
        <v>115.1</v>
      </c>
      <c r="BG34" s="15">
        <f>+BF34</f>
        <v>115.1</v>
      </c>
      <c r="BH34" s="15">
        <f t="shared" ref="BH34:BJ34" si="101">+BG34</f>
        <v>115.1</v>
      </c>
      <c r="BI34" s="15">
        <f t="shared" si="101"/>
        <v>115.1</v>
      </c>
      <c r="BJ34" s="15">
        <f t="shared" si="101"/>
        <v>115.1</v>
      </c>
      <c r="BL34" s="1">
        <v>82.926000000000002</v>
      </c>
      <c r="BM34" s="1">
        <v>90.61</v>
      </c>
      <c r="BN34" s="1">
        <v>115.38200000000001</v>
      </c>
      <c r="BO34" s="1">
        <v>111.29</v>
      </c>
      <c r="BP34" s="1">
        <v>113.413</v>
      </c>
      <c r="BQ34" s="1">
        <v>115.23</v>
      </c>
      <c r="BV34" s="1">
        <f>AVERAGE(AM34:AP34)</f>
        <v>115.12499999999999</v>
      </c>
      <c r="BW34" s="1">
        <f>AVERAGE(AQ34:AT34)</f>
        <v>112.85000000000001</v>
      </c>
      <c r="BX34" s="1">
        <f>AVERAGE(AU34:AX34)</f>
        <v>114.22500000000001</v>
      </c>
      <c r="BY34" s="1">
        <f>AVERAGE(AY34:BB34)</f>
        <v>114.47499999999999</v>
      </c>
      <c r="BZ34" s="1">
        <f>AVERAGE(BC34:BF34)</f>
        <v>115.72499999999999</v>
      </c>
      <c r="CA34" s="1">
        <f>BZ34</f>
        <v>115.72499999999999</v>
      </c>
      <c r="CB34" s="1">
        <f t="shared" ref="CB34:CK34" si="102">CA34</f>
        <v>115.72499999999999</v>
      </c>
      <c r="CC34" s="1">
        <f t="shared" si="102"/>
        <v>115.72499999999999</v>
      </c>
      <c r="CD34" s="1">
        <f t="shared" si="102"/>
        <v>115.72499999999999</v>
      </c>
      <c r="CE34" s="1">
        <f t="shared" si="102"/>
        <v>115.72499999999999</v>
      </c>
      <c r="CF34" s="1">
        <f t="shared" si="102"/>
        <v>115.72499999999999</v>
      </c>
      <c r="CG34" s="1">
        <f t="shared" si="102"/>
        <v>115.72499999999999</v>
      </c>
      <c r="CH34" s="1">
        <f t="shared" si="102"/>
        <v>115.72499999999999</v>
      </c>
      <c r="CI34" s="1">
        <f t="shared" si="102"/>
        <v>115.72499999999999</v>
      </c>
      <c r="CJ34" s="1">
        <f t="shared" si="102"/>
        <v>115.72499999999999</v>
      </c>
      <c r="CK34" s="1">
        <f t="shared" si="102"/>
        <v>115.72499999999999</v>
      </c>
    </row>
    <row r="36" spans="2:91" s="45" customFormat="1" x14ac:dyDescent="0.2">
      <c r="B36" s="16" t="s">
        <v>240</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4">
        <f t="shared" ref="AQ36" si="103">AQ22/AM22-1</f>
        <v>0.38354665791488918</v>
      </c>
      <c r="AR36" s="44">
        <f t="shared" ref="AR36" si="104">AR22/AN22-1</f>
        <v>1.6321262101111507</v>
      </c>
      <c r="AS36" s="44">
        <f t="shared" ref="AS36:AU36" si="105">AS22/AO22-1</f>
        <v>0.50531868515127765</v>
      </c>
      <c r="AT36" s="44">
        <f t="shared" si="105"/>
        <v>1.153106926990477</v>
      </c>
      <c r="AU36" s="44">
        <f t="shared" si="105"/>
        <v>0.17241242982525495</v>
      </c>
      <c r="AV36" s="44">
        <f>AV22/AR22-1</f>
        <v>-0.44412010819857162</v>
      </c>
      <c r="AW36" s="44">
        <f t="shared" ref="AW36" si="106">AW22/AS22-1</f>
        <v>-0.14958440730979761</v>
      </c>
      <c r="AX36" s="44">
        <f>AX22/AT22-1</f>
        <v>-0.31049177017065521</v>
      </c>
      <c r="AY36" s="44">
        <f t="shared" ref="AY36" si="107">AY22/AU22-1</f>
        <v>6.626201315123903E-2</v>
      </c>
      <c r="AZ36" s="44">
        <f t="shared" ref="AZ36" si="108">AZ22/AV22-1</f>
        <v>0.10554874846840545</v>
      </c>
      <c r="BA36" s="44">
        <f t="shared" ref="BA36" si="109">BA22/AW22-1</f>
        <v>0.14527993461381272</v>
      </c>
      <c r="BB36" s="44">
        <f t="shared" ref="BB36:BJ36" si="110">BB22/AX22-1</f>
        <v>5.8287689288538669E-3</v>
      </c>
      <c r="BC36" s="44">
        <f t="shared" si="110"/>
        <v>-5.3763440860215006E-3</v>
      </c>
      <c r="BD36" s="44">
        <f t="shared" si="110"/>
        <v>0.12317922735908793</v>
      </c>
      <c r="BE36" s="44">
        <f t="shared" si="110"/>
        <v>0.10615521855486176</v>
      </c>
      <c r="BF36" s="44">
        <f t="shared" si="110"/>
        <v>0.10337798485730931</v>
      </c>
      <c r="BG36" s="44">
        <f t="shared" si="110"/>
        <v>-0.47589825119236884</v>
      </c>
      <c r="BH36" s="44">
        <f t="shared" si="110"/>
        <v>-0.56267972934874533</v>
      </c>
      <c r="BI36" s="44">
        <f t="shared" si="110"/>
        <v>-0.61623420698924736</v>
      </c>
      <c r="BJ36" s="44">
        <f t="shared" si="110"/>
        <v>-0.62349236276062292</v>
      </c>
      <c r="BM36" s="51">
        <f t="shared" ref="BM36:BY36" si="111">+BM22/BL22-1</f>
        <v>0.32447576548044177</v>
      </c>
      <c r="BN36" s="51">
        <f t="shared" si="111"/>
        <v>2.0921938088829068</v>
      </c>
      <c r="BO36" s="51">
        <f t="shared" si="111"/>
        <v>0.52680449764236514</v>
      </c>
      <c r="BP36" s="51">
        <f t="shared" si="111"/>
        <v>0.33966836128664424</v>
      </c>
      <c r="BQ36" s="51">
        <f t="shared" si="111"/>
        <v>0.45541920839835415</v>
      </c>
      <c r="BR36" s="51">
        <f t="shared" si="111"/>
        <v>0.18439457075322285</v>
      </c>
      <c r="BS36" s="51">
        <f t="shared" si="111"/>
        <v>0.20817216689984375</v>
      </c>
      <c r="BT36" s="51">
        <f t="shared" si="111"/>
        <v>0.17368277647219088</v>
      </c>
      <c r="BU36" s="51">
        <f t="shared" si="111"/>
        <v>0.15921127087534992</v>
      </c>
      <c r="BV36" s="51">
        <f t="shared" si="111"/>
        <v>4.8138783888652448E-2</v>
      </c>
      <c r="BW36" s="51">
        <f t="shared" si="111"/>
        <v>0.91933365177931714</v>
      </c>
      <c r="BX36" s="51">
        <f t="shared" si="111"/>
        <v>-0.24265048996733551</v>
      </c>
      <c r="BY36" s="51">
        <f t="shared" si="111"/>
        <v>7.7592934894228582E-2</v>
      </c>
      <c r="BZ36" s="51">
        <f>+BZ22/BY22-1</f>
        <v>8.2640847754821944E-2</v>
      </c>
      <c r="CL36" t="s">
        <v>364</v>
      </c>
      <c r="CM36" s="50">
        <v>-0.03</v>
      </c>
    </row>
    <row r="37" spans="2:91" s="45" customFormat="1" x14ac:dyDescent="0.2">
      <c r="B37" s="16" t="s">
        <v>248</v>
      </c>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2">
        <f t="shared" ref="AQ37" si="112">+AQ3/AM3-1</f>
        <v>0.14931740614334466</v>
      </c>
      <c r="AR37" s="42">
        <f t="shared" ref="AR37" si="113">+AR3/AN3-1</f>
        <v>0.2791741472172351</v>
      </c>
      <c r="AS37" s="42">
        <f>+AS3/AO3-1</f>
        <v>0.11760242792109254</v>
      </c>
      <c r="AT37" s="42">
        <f t="shared" ref="AT37:BD37" si="114">+AT3/AP3-1</f>
        <v>0.15189873417721511</v>
      </c>
      <c r="AU37" s="42">
        <f t="shared" si="114"/>
        <v>0.12694877505567925</v>
      </c>
      <c r="AV37" s="42">
        <f t="shared" si="114"/>
        <v>0.13754385964912275</v>
      </c>
      <c r="AW37" s="42">
        <f t="shared" si="114"/>
        <v>0.10590631364562109</v>
      </c>
      <c r="AX37" s="42">
        <f>+AX3/AT3-1</f>
        <v>-3.2967032967032961E-2</v>
      </c>
      <c r="AY37" s="42">
        <f t="shared" si="114"/>
        <v>-5.5335968379446654E-2</v>
      </c>
      <c r="AZ37" s="42">
        <f t="shared" si="114"/>
        <v>-7.464528069093157E-2</v>
      </c>
      <c r="BA37" s="42">
        <f t="shared" si="114"/>
        <v>-0.11111111111111116</v>
      </c>
      <c r="BB37" s="42">
        <f t="shared" si="114"/>
        <v>-0.10561497326203206</v>
      </c>
      <c r="BC37" s="42">
        <f t="shared" si="114"/>
        <v>-0.1617852161785216</v>
      </c>
      <c r="BD37" s="42">
        <f t="shared" si="114"/>
        <v>-0.17933333333333334</v>
      </c>
      <c r="BE37" s="42">
        <f t="shared" ref="BE37" si="115">+BE3/BA3-1</f>
        <v>-0.20925414364640882</v>
      </c>
      <c r="BF37" s="42">
        <f>+BF3/BB3-1</f>
        <v>-0.11061285500747386</v>
      </c>
      <c r="BG37" s="42">
        <f t="shared" ref="BG37" si="116">+BG3/BC3-1</f>
        <v>-0.15848585690515804</v>
      </c>
      <c r="BH37" s="42">
        <f t="shared" ref="BH37" si="117">+BH3/BD3-1</f>
        <v>-0.30156376929325757</v>
      </c>
      <c r="BI37" s="42">
        <f t="shared" ref="BI37" si="118">+BI3/BE3-1</f>
        <v>-0.36173908296943236</v>
      </c>
      <c r="BJ37" s="42">
        <f t="shared" ref="BJ37" si="119">+BJ3/BF3-1</f>
        <v>-0.47799375000000011</v>
      </c>
      <c r="BM37" s="51"/>
      <c r="BN37" s="51">
        <f t="shared" ref="BN37:BZ37" si="120">BN3/BM3-1</f>
        <v>32.786290322580641</v>
      </c>
      <c r="BO37" s="51">
        <f t="shared" si="120"/>
        <v>0.68122687671559867</v>
      </c>
      <c r="BP37" s="51">
        <f t="shared" si="120"/>
        <v>0.2326258252289346</v>
      </c>
      <c r="BQ37" s="51">
        <f t="shared" si="120"/>
        <v>0.54111955770559761</v>
      </c>
      <c r="BR37" s="51">
        <f t="shared" si="120"/>
        <v>0.24181614349775771</v>
      </c>
      <c r="BS37" s="51">
        <f t="shared" si="120"/>
        <v>0.11398994914387184</v>
      </c>
      <c r="BT37" s="51">
        <f t="shared" si="120"/>
        <v>0.10124530646424801</v>
      </c>
      <c r="BU37" s="51">
        <f t="shared" si="120"/>
        <v>0.13920573012485593</v>
      </c>
      <c r="BV37" s="51">
        <f t="shared" si="120"/>
        <v>6.5199603806898931E-2</v>
      </c>
      <c r="BW37" s="51">
        <f t="shared" si="120"/>
        <v>0.17081059227814843</v>
      </c>
      <c r="BX37" s="51">
        <f t="shared" si="120"/>
        <v>8.1491712707182362E-2</v>
      </c>
      <c r="BY37" s="51">
        <f t="shared" si="120"/>
        <v>-8.6845466155811013E-2</v>
      </c>
      <c r="BZ37" s="51">
        <f t="shared" si="120"/>
        <v>-0.16643356643356644</v>
      </c>
      <c r="CL37" t="s">
        <v>365</v>
      </c>
      <c r="CM37" s="50">
        <v>0.08</v>
      </c>
    </row>
    <row r="38" spans="2:91" s="45" customFormat="1" x14ac:dyDescent="0.2">
      <c r="B38" s="16" t="s">
        <v>382</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2"/>
      <c r="AR38" s="42"/>
      <c r="AS38" s="42"/>
      <c r="AT38" s="42"/>
      <c r="AU38" s="42"/>
      <c r="AV38" s="42"/>
      <c r="AW38" s="42"/>
      <c r="AX38" s="42"/>
      <c r="AY38" s="42"/>
      <c r="AZ38" s="42"/>
      <c r="BA38" s="42"/>
      <c r="BB38" s="42"/>
      <c r="BC38" s="42"/>
      <c r="BD38" s="42"/>
      <c r="BE38" s="42"/>
      <c r="BF38" s="42">
        <f>(BF3+BF4)/(BB3+BB4)-1</f>
        <v>2.3271731690622799E-2</v>
      </c>
      <c r="BG38" s="42"/>
      <c r="BH38" s="42"/>
      <c r="BI38" s="42"/>
      <c r="BJ38" s="42"/>
      <c r="BU38" s="51"/>
      <c r="BV38" s="51"/>
      <c r="BW38" s="51"/>
      <c r="BX38" s="51"/>
      <c r="BY38" s="51">
        <f>SUM(BY3:BY4)/SUM(BX3:BX4)-1</f>
        <v>-6.0344827586206851E-2</v>
      </c>
      <c r="BZ38" s="51">
        <f>SUM(BZ3:BZ4)/SUM(BY3:BY4)-1</f>
        <v>1.4101257220523244E-2</v>
      </c>
      <c r="CL38"/>
      <c r="CM38" s="50"/>
    </row>
    <row r="39" spans="2:91" x14ac:dyDescent="0.2">
      <c r="B39" s="1" t="s">
        <v>241</v>
      </c>
      <c r="AQ39" s="42">
        <f t="shared" ref="AQ39" si="121">AQ10/AM10-1</f>
        <v>0.47752126366950209</v>
      </c>
      <c r="AR39" s="42">
        <f t="shared" ref="AR39" si="122">AR10/AN10-1</f>
        <v>0.6265328874024525</v>
      </c>
      <c r="AS39" s="42">
        <f>AS10/AO10-1</f>
        <v>0.64675912821964343</v>
      </c>
      <c r="AT39" s="42">
        <f t="shared" ref="AT39:AW39" si="123">AT10/AP10-1</f>
        <v>0.63323872595395758</v>
      </c>
      <c r="AU39" s="42">
        <f t="shared" si="123"/>
        <v>0.72944078947368385</v>
      </c>
      <c r="AV39" s="42">
        <f t="shared" si="123"/>
        <v>0.54786383367603375</v>
      </c>
      <c r="AW39" s="42">
        <f t="shared" si="123"/>
        <v>0.22275696115503596</v>
      </c>
      <c r="AX39" s="42">
        <f>AX10/AT10-1</f>
        <v>0.61401815022205053</v>
      </c>
      <c r="AY39" s="42">
        <f t="shared" ref="AY39" si="124">AY10/AU10-1</f>
        <v>0.26485972420351889</v>
      </c>
      <c r="AZ39" s="42">
        <f t="shared" ref="AZ39" si="125">AZ10/AV10-1</f>
        <v>0.39335793357933579</v>
      </c>
      <c r="BA39" s="42">
        <f t="shared" ref="BA39" si="126">BA10/AW10-1</f>
        <v>0.4970480742198482</v>
      </c>
      <c r="BB39" s="42">
        <f t="shared" ref="BB39:BD39" si="127">BB10/AX10-1</f>
        <v>0.18794114128484263</v>
      </c>
      <c r="BC39" s="42">
        <f t="shared" si="127"/>
        <v>0.14035087719298245</v>
      </c>
      <c r="BD39" s="42">
        <f t="shared" si="127"/>
        <v>0.21398305084745761</v>
      </c>
      <c r="BE39" s="42">
        <f t="shared" ref="BE39" si="128">BE10/BA10-1</f>
        <v>0.18591549295774645</v>
      </c>
      <c r="BF39" s="42">
        <f t="shared" ref="BF39" si="129">BF10/BB10-1</f>
        <v>0.22155085599194368</v>
      </c>
      <c r="BG39" s="42">
        <f t="shared" ref="BG39" si="130">BG10/BC10-1</f>
        <v>-1</v>
      </c>
      <c r="BH39" s="42">
        <f t="shared" ref="BH39" si="131">BH10/BD10-1</f>
        <v>-1</v>
      </c>
      <c r="BI39" s="42">
        <f t="shared" ref="BI39" si="132">BI10/BE10-1</f>
        <v>-1</v>
      </c>
      <c r="BJ39" s="42">
        <f t="shared" ref="BJ39" si="133">BJ10/BF10-1</f>
        <v>-1</v>
      </c>
      <c r="CL39" t="s">
        <v>366</v>
      </c>
      <c r="CM39" s="1">
        <f>NPV(8%,CA32:DZ32)+Main!J5-Main!J6</f>
        <v>83767.624983460497</v>
      </c>
    </row>
    <row r="40" spans="2:91" x14ac:dyDescent="0.2">
      <c r="B40" s="1" t="s">
        <v>242</v>
      </c>
      <c r="AQ40" s="42">
        <f t="shared" ref="AQ40" si="134">AQ14/AM14-1</f>
        <v>0.47707602339181299</v>
      </c>
      <c r="AR40" s="42">
        <f t="shared" ref="AR40" si="135">AR14/AN14-1</f>
        <v>0.58624338624338623</v>
      </c>
      <c r="AS40" s="42">
        <f>AS14/AO14-1</f>
        <v>0.55034495618124213</v>
      </c>
      <c r="AT40" s="42">
        <f t="shared" ref="AT40:AW40" si="136">AT14/AP14-1</f>
        <v>0.51348122866894186</v>
      </c>
      <c r="AU40" s="42">
        <f t="shared" si="136"/>
        <v>0.43352601156069359</v>
      </c>
      <c r="AV40" s="42">
        <f t="shared" si="136"/>
        <v>0.39546364242828558</v>
      </c>
      <c r="AW40" s="42">
        <f t="shared" si="136"/>
        <v>0.40122677250586314</v>
      </c>
      <c r="AX40" s="42">
        <f>AX14/AT14-1</f>
        <v>0.38059533205547424</v>
      </c>
      <c r="AY40" s="42">
        <f t="shared" ref="AY40" si="137">AY14/AU14-1</f>
        <v>0.37262483429076432</v>
      </c>
      <c r="AZ40" s="42">
        <f t="shared" ref="AZ40" si="138">AZ14/AV14-1</f>
        <v>0.33349268572521273</v>
      </c>
      <c r="BA40" s="42">
        <f t="shared" ref="BA40" si="139">BA14/AW14-1</f>
        <v>0.32938500493541056</v>
      </c>
      <c r="BB40" s="42">
        <f t="shared" ref="BB40:BD40" si="140">BB14/AX14-1</f>
        <v>0.31328351504757235</v>
      </c>
      <c r="BC40" s="42">
        <f t="shared" si="140"/>
        <v>0.23814889336016098</v>
      </c>
      <c r="BD40" s="42">
        <f t="shared" si="140"/>
        <v>0.2749695274969528</v>
      </c>
      <c r="BE40" s="42">
        <f t="shared" ref="BE40" si="141">BE14/BA14-1</f>
        <v>0.23230888429752072</v>
      </c>
      <c r="BF40" s="42">
        <f t="shared" ref="BF40" si="142">BF14/BB14-1</f>
        <v>0.14971549392120886</v>
      </c>
      <c r="BG40" s="42">
        <f t="shared" ref="BG40" si="143">BG14/BC14-1</f>
        <v>-1</v>
      </c>
      <c r="BH40" s="42">
        <f t="shared" ref="BH40" si="144">BH14/BD14-1</f>
        <v>-1</v>
      </c>
      <c r="BI40" s="42">
        <f t="shared" ref="BI40" si="145">BI14/BE14-1</f>
        <v>-1</v>
      </c>
      <c r="BJ40" s="42">
        <f t="shared" ref="BJ40" si="146">BJ14/BF14-1</f>
        <v>-1</v>
      </c>
      <c r="BW40" s="50">
        <f t="shared" ref="BW40:BY40" si="147">+BW14/BV14-1</f>
        <v>0.53256193443109345</v>
      </c>
      <c r="BX40" s="50">
        <f t="shared" si="147"/>
        <v>0.40050979253379793</v>
      </c>
      <c r="BY40" s="50">
        <f t="shared" si="147"/>
        <v>0.33485002073446068</v>
      </c>
      <c r="BZ40" s="50">
        <f>+BZ14/BY14-1</f>
        <v>0.22090765526704126</v>
      </c>
    </row>
    <row r="41" spans="2:91" x14ac:dyDescent="0.2">
      <c r="B41" s="1" t="s">
        <v>386</v>
      </c>
      <c r="AQ41" s="42"/>
      <c r="AR41" s="42"/>
      <c r="AS41" s="42"/>
      <c r="AT41" s="42"/>
      <c r="AU41" s="42"/>
      <c r="AV41" s="42"/>
      <c r="AW41" s="42"/>
      <c r="AX41" s="42"/>
      <c r="AY41" s="42"/>
      <c r="AZ41" s="42"/>
      <c r="BA41" s="42"/>
      <c r="BB41" s="42"/>
      <c r="BC41" s="42"/>
      <c r="BD41" s="42"/>
      <c r="BE41" s="42"/>
      <c r="BF41" s="42"/>
      <c r="BG41" s="42"/>
      <c r="BH41" s="42"/>
      <c r="BI41" s="42"/>
      <c r="BJ41" s="42"/>
      <c r="BW41" s="50"/>
      <c r="BX41" s="50"/>
      <c r="BY41" s="50"/>
      <c r="BZ41" s="50">
        <f>+BZ5/BY5-1</f>
        <v>0.41019698725376585</v>
      </c>
    </row>
    <row r="43" spans="2:91" x14ac:dyDescent="0.2">
      <c r="B43" s="1" t="s">
        <v>215</v>
      </c>
      <c r="AM43" s="42">
        <f t="shared" ref="AM43" si="148">+AM24/AM22</f>
        <v>0.88113991904605626</v>
      </c>
      <c r="AN43" s="42">
        <f t="shared" ref="AN43:AU43" si="149">+AN24/AN22</f>
        <v>0.863648004917277</v>
      </c>
      <c r="AO43" s="42">
        <f t="shared" si="149"/>
        <v>0.94681314848722642</v>
      </c>
      <c r="AP43" s="42">
        <f t="shared" si="149"/>
        <v>0.85237204852806892</v>
      </c>
      <c r="AQ43" s="42">
        <f t="shared" si="149"/>
        <v>0.87823199177670597</v>
      </c>
      <c r="AR43" s="42">
        <f t="shared" si="149"/>
        <v>0.86500476774281432</v>
      </c>
      <c r="AS43" s="42">
        <f t="shared" si="149"/>
        <v>0.93512699470010718</v>
      </c>
      <c r="AT43" s="42">
        <f t="shared" si="149"/>
        <v>0.85259012420478653</v>
      </c>
      <c r="AU43" s="42">
        <f t="shared" si="149"/>
        <v>0.86346315966953291</v>
      </c>
      <c r="AV43" s="42">
        <f>+AV24/AV22</f>
        <v>0.89599159810957474</v>
      </c>
      <c r="AW43" s="42">
        <f t="shared" ref="AW43" si="150">+AW24/AW22</f>
        <v>0.96287971665985561</v>
      </c>
      <c r="AX43" s="42">
        <f t="shared" ref="AX43:BF43" si="151">+AX24/AX22</f>
        <v>0.88658797340441109</v>
      </c>
      <c r="AY43" s="42">
        <f t="shared" si="151"/>
        <v>0.94686907020872868</v>
      </c>
      <c r="AZ43" s="42">
        <f t="shared" si="151"/>
        <v>0.94838505383153893</v>
      </c>
      <c r="BA43" s="42">
        <f t="shared" si="151"/>
        <v>0.94623847754980661</v>
      </c>
      <c r="BB43" s="42">
        <f t="shared" si="151"/>
        <v>0.8633954571927781</v>
      </c>
      <c r="BC43" s="42">
        <f t="shared" si="151"/>
        <v>0.93767885532591411</v>
      </c>
      <c r="BD43" s="42">
        <f t="shared" si="151"/>
        <v>0.93966732449957713</v>
      </c>
      <c r="BE43" s="42">
        <f t="shared" si="151"/>
        <v>0.94155913978494621</v>
      </c>
      <c r="BF43" s="42">
        <f t="shared" si="151"/>
        <v>0.86555819477434681</v>
      </c>
      <c r="BG43" s="42"/>
      <c r="BH43" s="42"/>
    </row>
    <row r="45" spans="2:91" x14ac:dyDescent="0.2">
      <c r="B45" s="1" t="s">
        <v>400</v>
      </c>
      <c r="BF45" s="1">
        <f>+BF46-BF59</f>
        <v>15928.199999999999</v>
      </c>
    </row>
    <row r="46" spans="2:91" s="1" customFormat="1" x14ac:dyDescent="0.2">
      <c r="B46" s="1" t="s">
        <v>32</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f>3105.9+4636.4+6591.8</f>
        <v>14334.099999999999</v>
      </c>
      <c r="BB46" s="1">
        <v>16241.3</v>
      </c>
      <c r="BD46" s="1">
        <v>17531</v>
      </c>
      <c r="BF46" s="1">
        <v>17912.599999999999</v>
      </c>
    </row>
    <row r="47" spans="2:91" s="1" customFormat="1" x14ac:dyDescent="0.2">
      <c r="B47" s="1" t="s">
        <v>303</v>
      </c>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v>5328.7</v>
      </c>
      <c r="BB47" s="1">
        <v>5667.3</v>
      </c>
      <c r="BF47" s="1">
        <v>6211.9</v>
      </c>
    </row>
    <row r="48" spans="2:91" s="1" customFormat="1" x14ac:dyDescent="0.2">
      <c r="B48" s="1" t="s">
        <v>304</v>
      </c>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v>2401.9</v>
      </c>
      <c r="BB48" s="1">
        <v>2580.5</v>
      </c>
      <c r="BF48" s="1">
        <v>3087.3</v>
      </c>
    </row>
    <row r="49" spans="2:77" s="1" customFormat="1" x14ac:dyDescent="0.2">
      <c r="B49" s="1" t="s">
        <v>305</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v>411.2</v>
      </c>
      <c r="BB49" s="1">
        <v>0</v>
      </c>
      <c r="BF49" s="1">
        <v>0</v>
      </c>
    </row>
    <row r="50" spans="2:77" s="1" customFormat="1" x14ac:dyDescent="0.2">
      <c r="B50" s="1" t="s">
        <v>306</v>
      </c>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v>3763</v>
      </c>
      <c r="BB50" s="1">
        <v>4146.3999999999996</v>
      </c>
      <c r="BF50" s="1">
        <v>4599.7</v>
      </c>
    </row>
    <row r="51" spans="2:77" s="1" customFormat="1" x14ac:dyDescent="0.2">
      <c r="B51" s="1" t="s">
        <v>307</v>
      </c>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v>915.5</v>
      </c>
      <c r="BB51" s="1">
        <v>1038.5999999999999</v>
      </c>
      <c r="BF51" s="1">
        <v>1148.5999999999999</v>
      </c>
    </row>
    <row r="52" spans="2:77" s="1" customFormat="1" x14ac:dyDescent="0.2">
      <c r="B52" s="1" t="s">
        <v>222</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v>1723.7</v>
      </c>
      <c r="BB52" s="1">
        <v>2575.4</v>
      </c>
      <c r="BF52" s="1">
        <v>3314.1</v>
      </c>
    </row>
    <row r="53" spans="2:77" s="1" customFormat="1" x14ac:dyDescent="0.2">
      <c r="B53" s="1" t="s">
        <v>308</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v>336.4</v>
      </c>
      <c r="BB53" s="1">
        <v>830.7</v>
      </c>
      <c r="BF53" s="1">
        <v>1485.2</v>
      </c>
    </row>
    <row r="54" spans="2:77" s="1" customFormat="1" x14ac:dyDescent="0.2">
      <c r="B54" s="1" t="s">
        <v>309</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f>SUM(AX46:AX53)</f>
        <v>29214.500000000004</v>
      </c>
      <c r="BB54" s="1">
        <f>SUM(BB46:BB53)</f>
        <v>33080.199999999997</v>
      </c>
      <c r="BF54" s="1">
        <f>SUM(BF46:BF53)</f>
        <v>37759.399999999994</v>
      </c>
    </row>
    <row r="55" spans="2:77" x14ac:dyDescent="0.2">
      <c r="BD55" s="1"/>
    </row>
    <row r="56" spans="2:77" x14ac:dyDescent="0.2">
      <c r="B56" s="1" t="s">
        <v>310</v>
      </c>
      <c r="AX56" s="15">
        <v>589.20000000000005</v>
      </c>
      <c r="BB56" s="1">
        <v>3818.6</v>
      </c>
      <c r="BD56" s="1"/>
      <c r="BF56" s="1">
        <v>4888</v>
      </c>
    </row>
    <row r="57" spans="2:77" x14ac:dyDescent="0.2">
      <c r="B57" s="1" t="s">
        <v>311</v>
      </c>
      <c r="AX57" s="15">
        <v>2074.1999999999998</v>
      </c>
      <c r="BB57" s="1">
        <v>0</v>
      </c>
      <c r="BD57" s="1"/>
      <c r="BF57" s="1">
        <v>0</v>
      </c>
    </row>
    <row r="58" spans="2:77" x14ac:dyDescent="0.2">
      <c r="B58" s="1" t="s">
        <v>312</v>
      </c>
      <c r="AX58" s="15">
        <f>477.9+69.8</f>
        <v>547.69999999999993</v>
      </c>
      <c r="BB58" s="1">
        <v>585.6</v>
      </c>
      <c r="BD58" s="1"/>
      <c r="BF58" s="1">
        <v>813.4</v>
      </c>
    </row>
    <row r="59" spans="2:77" x14ac:dyDescent="0.2">
      <c r="B59" t="s">
        <v>29</v>
      </c>
      <c r="AX59" s="15">
        <v>1981.4</v>
      </c>
      <c r="BB59" s="1">
        <v>1982.9</v>
      </c>
      <c r="BD59" s="1">
        <v>1983.6</v>
      </c>
      <c r="BF59" s="1">
        <v>1984.4</v>
      </c>
    </row>
    <row r="60" spans="2:77" x14ac:dyDescent="0.2">
      <c r="B60" s="1" t="s">
        <v>313</v>
      </c>
      <c r="AX60" s="15">
        <v>720</v>
      </c>
      <c r="BB60">
        <v>720</v>
      </c>
      <c r="BD60" s="1"/>
      <c r="BF60">
        <v>720</v>
      </c>
    </row>
    <row r="61" spans="2:77" x14ac:dyDescent="0.2">
      <c r="B61" s="1" t="s">
        <v>316</v>
      </c>
      <c r="AX61" s="15">
        <v>638</v>
      </c>
      <c r="BB61" s="1">
        <v>0</v>
      </c>
      <c r="BF61" s="1">
        <v>0</v>
      </c>
    </row>
    <row r="62" spans="2:77" x14ac:dyDescent="0.2">
      <c r="B62" s="1" t="s">
        <v>315</v>
      </c>
      <c r="AX62" s="15">
        <v>22664</v>
      </c>
      <c r="BB62" s="1">
        <v>25973.1</v>
      </c>
      <c r="BF62" s="1">
        <v>29353.599999999999</v>
      </c>
    </row>
    <row r="63" spans="2:77" x14ac:dyDescent="0.2">
      <c r="B63" t="s">
        <v>314</v>
      </c>
      <c r="AX63" s="15">
        <f>SUM(AX56:AX62)</f>
        <v>29214.5</v>
      </c>
      <c r="BB63" s="1">
        <f>SUM(BB56:BB62)</f>
        <v>33080.199999999997</v>
      </c>
      <c r="BF63" s="1">
        <f>SUM(BF56:BF62)</f>
        <v>37759.399999999994</v>
      </c>
    </row>
    <row r="64" spans="2:77" x14ac:dyDescent="0.2">
      <c r="BU64" s="50"/>
      <c r="BV64" s="50"/>
      <c r="BW64" s="50"/>
      <c r="BX64" s="50"/>
      <c r="BY64" s="50"/>
    </row>
    <row r="65" spans="2:78" x14ac:dyDescent="0.2">
      <c r="B65" s="1" t="s">
        <v>384</v>
      </c>
      <c r="BL65">
        <v>32.79</v>
      </c>
      <c r="BM65">
        <v>55.36</v>
      </c>
      <c r="BN65">
        <v>170.85</v>
      </c>
      <c r="BO65">
        <v>274.89</v>
      </c>
      <c r="BP65">
        <v>409.72</v>
      </c>
      <c r="BQ65">
        <v>542.16999999999996</v>
      </c>
      <c r="BR65">
        <v>366.62</v>
      </c>
      <c r="BS65">
        <v>375.48</v>
      </c>
      <c r="BT65">
        <v>373.02</v>
      </c>
      <c r="BU65" s="21">
        <v>375</v>
      </c>
      <c r="BV65">
        <v>482.49</v>
      </c>
      <c r="BW65">
        <v>630.71</v>
      </c>
      <c r="BX65">
        <v>720.56</v>
      </c>
      <c r="BY65">
        <v>877.16</v>
      </c>
      <c r="BZ65">
        <v>711.42</v>
      </c>
    </row>
    <row r="66" spans="2:78" s="45" customFormat="1" x14ac:dyDescent="0.2">
      <c r="B66" s="16" t="s">
        <v>385</v>
      </c>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BM66" s="51">
        <f t="shared" ref="BM66:BZ66" si="152">+BM65/BL65-1</f>
        <v>0.6883196096370845</v>
      </c>
      <c r="BN66" s="51">
        <f t="shared" si="152"/>
        <v>2.0861632947976876</v>
      </c>
      <c r="BO66" s="51">
        <f t="shared" si="152"/>
        <v>0.60895522388059709</v>
      </c>
      <c r="BP66" s="51">
        <f t="shared" si="152"/>
        <v>0.49048710393248229</v>
      </c>
      <c r="BQ66" s="51">
        <f t="shared" si="152"/>
        <v>0.32326954993654189</v>
      </c>
      <c r="BR66" s="51">
        <f t="shared" si="152"/>
        <v>-0.32379143073205818</v>
      </c>
      <c r="BS66" s="51">
        <f t="shared" si="152"/>
        <v>2.4166712126997947E-2</v>
      </c>
      <c r="BT66" s="51">
        <f t="shared" si="152"/>
        <v>-6.5516139341643687E-3</v>
      </c>
      <c r="BU66" s="51">
        <f t="shared" si="152"/>
        <v>5.3080263792826266E-3</v>
      </c>
      <c r="BV66" s="51">
        <f t="shared" si="152"/>
        <v>0.28664000000000001</v>
      </c>
      <c r="BW66" s="51">
        <f t="shared" si="152"/>
        <v>0.30719807664407561</v>
      </c>
      <c r="BX66" s="51">
        <f t="shared" si="152"/>
        <v>0.14245849915174946</v>
      </c>
      <c r="BY66" s="51">
        <f t="shared" si="152"/>
        <v>0.21733096480515157</v>
      </c>
      <c r="BZ66" s="51">
        <f t="shared" si="152"/>
        <v>-0.18895070454649099</v>
      </c>
    </row>
    <row r="67" spans="2:78" x14ac:dyDescent="0.2">
      <c r="B67" s="1"/>
      <c r="BM67" s="1">
        <f t="shared" ref="BM67:BZ67" si="153">+BM65/$BL$65</f>
        <v>1.6883196096370845</v>
      </c>
      <c r="BN67" s="1">
        <f t="shared" si="153"/>
        <v>5.2104300091491309</v>
      </c>
      <c r="BO67" s="1">
        <f t="shared" si="153"/>
        <v>8.3833485818847215</v>
      </c>
      <c r="BP67" s="1">
        <f t="shared" si="153"/>
        <v>12.49527294906984</v>
      </c>
      <c r="BQ67" s="1">
        <f t="shared" si="153"/>
        <v>16.534614211649892</v>
      </c>
      <c r="BR67" s="1">
        <f t="shared" si="153"/>
        <v>11.180847819457153</v>
      </c>
      <c r="BS67" s="1">
        <f t="shared" si="153"/>
        <v>11.451052150045747</v>
      </c>
      <c r="BT67" s="1">
        <f t="shared" si="153"/>
        <v>11.376029277218663</v>
      </c>
      <c r="BU67" s="1">
        <f t="shared" si="153"/>
        <v>11.436413540713632</v>
      </c>
      <c r="BV67" s="1">
        <f t="shared" si="153"/>
        <v>14.714547118023788</v>
      </c>
      <c r="BW67" s="1">
        <f t="shared" si="153"/>
        <v>19.234827691369322</v>
      </c>
      <c r="BX67" s="1">
        <f t="shared" si="153"/>
        <v>21.974992375724305</v>
      </c>
      <c r="BY67" s="1">
        <f t="shared" si="153"/>
        <v>26.750838670326317</v>
      </c>
      <c r="BZ67" s="1">
        <f t="shared" si="153"/>
        <v>21.696248856358647</v>
      </c>
    </row>
    <row r="68" spans="2:78" x14ac:dyDescent="0.2">
      <c r="B68" s="1"/>
      <c r="BM68" s="1"/>
      <c r="BN68" s="1"/>
      <c r="BO68" s="1"/>
    </row>
    <row r="69" spans="2:78" s="45" customFormat="1" x14ac:dyDescent="0.2">
      <c r="B69" s="16" t="s">
        <v>240</v>
      </c>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BM69" s="51">
        <f t="shared" ref="BM69:BZ69" si="154">BM22/BL22-1</f>
        <v>0.32447576548044177</v>
      </c>
      <c r="BN69" s="51">
        <f t="shared" si="154"/>
        <v>2.0921938088829068</v>
      </c>
      <c r="BO69" s="51">
        <f t="shared" si="154"/>
        <v>0.52680449764236514</v>
      </c>
      <c r="BP69" s="51">
        <f t="shared" si="154"/>
        <v>0.33966836128664424</v>
      </c>
      <c r="BQ69" s="51">
        <f t="shared" si="154"/>
        <v>0.45541920839835415</v>
      </c>
      <c r="BR69" s="51">
        <f t="shared" si="154"/>
        <v>0.18439457075322285</v>
      </c>
      <c r="BS69" s="51">
        <f t="shared" si="154"/>
        <v>0.20817216689984375</v>
      </c>
      <c r="BT69" s="51">
        <f t="shared" si="154"/>
        <v>0.17368277647219088</v>
      </c>
      <c r="BU69" s="51">
        <f t="shared" si="154"/>
        <v>0.15921127087534992</v>
      </c>
      <c r="BV69" s="51">
        <f t="shared" si="154"/>
        <v>4.8138783888652448E-2</v>
      </c>
      <c r="BW69" s="51">
        <f t="shared" si="154"/>
        <v>0.91933365177931714</v>
      </c>
      <c r="BX69" s="51">
        <f t="shared" si="154"/>
        <v>-0.24265048996733551</v>
      </c>
      <c r="BY69" s="51">
        <f t="shared" si="154"/>
        <v>7.7592934894228582E-2</v>
      </c>
      <c r="BZ69" s="51">
        <f t="shared" si="154"/>
        <v>8.2640847754821944E-2</v>
      </c>
    </row>
  </sheetData>
  <hyperlinks>
    <hyperlink ref="A1" location="Main!A1" display="Main" xr:uid="{D2C01981-FEC3-4A39-A852-FDD02C9DCC1E}"/>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11"/>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377</v>
      </c>
      <c r="C2" t="s">
        <v>207</v>
      </c>
    </row>
    <row r="3" spans="1:3" x14ac:dyDescent="0.2">
      <c r="B3" t="s">
        <v>378</v>
      </c>
      <c r="C3" t="s">
        <v>379</v>
      </c>
    </row>
    <row r="4" spans="1:3" x14ac:dyDescent="0.2">
      <c r="B4" t="s">
        <v>47</v>
      </c>
      <c r="C4" t="s">
        <v>380</v>
      </c>
    </row>
    <row r="5" spans="1:3" x14ac:dyDescent="0.2">
      <c r="B5" t="s">
        <v>372</v>
      </c>
      <c r="C5" t="s">
        <v>381</v>
      </c>
    </row>
    <row r="6" spans="1:3" x14ac:dyDescent="0.2">
      <c r="C6" t="s">
        <v>477</v>
      </c>
    </row>
    <row r="7" spans="1:3" x14ac:dyDescent="0.2">
      <c r="B7" t="s">
        <v>65</v>
      </c>
    </row>
    <row r="8" spans="1:3" x14ac:dyDescent="0.2">
      <c r="C8" s="54" t="s">
        <v>403</v>
      </c>
    </row>
    <row r="9" spans="1:3" x14ac:dyDescent="0.2">
      <c r="C9" t="s">
        <v>404</v>
      </c>
    </row>
    <row r="11" spans="1:3" x14ac:dyDescent="0.2">
      <c r="C11" s="54" t="s">
        <v>405</v>
      </c>
    </row>
  </sheetData>
  <hyperlinks>
    <hyperlink ref="A1" location="Main!A1" display="Main" xr:uid="{3CC6F868-66C6-43A5-A280-736BC733A70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8"/>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260</v>
      </c>
    </row>
    <row r="3" spans="1:3" x14ac:dyDescent="0.2">
      <c r="B3" s="9" t="s">
        <v>75</v>
      </c>
      <c r="C3" s="9" t="s">
        <v>191</v>
      </c>
    </row>
    <row r="4" spans="1:3" x14ac:dyDescent="0.2">
      <c r="B4" s="9" t="s">
        <v>43</v>
      </c>
      <c r="C4" s="9" t="s">
        <v>190</v>
      </c>
    </row>
    <row r="5" spans="1:3" x14ac:dyDescent="0.2">
      <c r="B5" s="9" t="s">
        <v>47</v>
      </c>
      <c r="C5" s="9" t="s">
        <v>189</v>
      </c>
    </row>
    <row r="6" spans="1:3" x14ac:dyDescent="0.2">
      <c r="B6" s="9" t="s">
        <v>45</v>
      </c>
      <c r="C6" s="9" t="s">
        <v>188</v>
      </c>
    </row>
    <row r="7" spans="1:3" x14ac:dyDescent="0.2">
      <c r="B7" s="9" t="s">
        <v>372</v>
      </c>
      <c r="C7" s="9" t="s">
        <v>429</v>
      </c>
    </row>
    <row r="8" spans="1:3" x14ac:dyDescent="0.2">
      <c r="B8" s="9" t="s">
        <v>44</v>
      </c>
      <c r="C8" s="9" t="s">
        <v>20</v>
      </c>
    </row>
    <row r="9" spans="1:3" x14ac:dyDescent="0.2">
      <c r="B9" s="9" t="s">
        <v>131</v>
      </c>
    </row>
    <row r="10" spans="1:3" x14ac:dyDescent="0.2">
      <c r="B10" s="9" t="s">
        <v>65</v>
      </c>
    </row>
    <row r="11" spans="1:3" x14ac:dyDescent="0.2">
      <c r="C11" s="10" t="s">
        <v>427</v>
      </c>
    </row>
    <row r="14" spans="1:3" x14ac:dyDescent="0.2">
      <c r="C14" s="10" t="s">
        <v>428</v>
      </c>
    </row>
    <row r="17" spans="3:3" x14ac:dyDescent="0.2">
      <c r="C17" s="10" t="s">
        <v>187</v>
      </c>
    </row>
    <row r="18" spans="3:3" x14ac:dyDescent="0.2">
      <c r="C18" s="9" t="s">
        <v>186</v>
      </c>
    </row>
  </sheetData>
  <hyperlinks>
    <hyperlink ref="A1" location="Main!A1" display="Main" xr:uid="{3A765EE9-AE7C-4B13-9916-378DECED3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D23"/>
  <sheetViews>
    <sheetView tabSelected="1" zoomScale="250" zoomScaleNormal="250" workbookViewId="0">
      <selection activeCell="D6" sqref="D6"/>
    </sheetView>
  </sheetViews>
  <sheetFormatPr defaultColWidth="9.140625" defaultRowHeight="12.75" x14ac:dyDescent="0.2"/>
  <cols>
    <col min="1" max="1" width="5" style="9" bestFit="1" customWidth="1"/>
    <col min="2" max="2" width="12.85546875" style="9" bestFit="1" customWidth="1"/>
    <col min="3" max="16384" width="9.140625" style="9"/>
  </cols>
  <sheetData>
    <row r="1" spans="1:4" x14ac:dyDescent="0.2">
      <c r="A1" s="13" t="s">
        <v>78</v>
      </c>
    </row>
    <row r="2" spans="1:4" x14ac:dyDescent="0.2">
      <c r="B2" s="9" t="s">
        <v>77</v>
      </c>
      <c r="C2" s="9" t="s">
        <v>194</v>
      </c>
    </row>
    <row r="3" spans="1:4" x14ac:dyDescent="0.2">
      <c r="B3" s="9" t="s">
        <v>75</v>
      </c>
      <c r="C3" s="9" t="s">
        <v>195</v>
      </c>
    </row>
    <row r="4" spans="1:4" x14ac:dyDescent="0.2">
      <c r="B4" s="9" t="s">
        <v>43</v>
      </c>
      <c r="C4" s="9" t="s">
        <v>483</v>
      </c>
    </row>
    <row r="5" spans="1:4" x14ac:dyDescent="0.2">
      <c r="D5" s="9" t="s">
        <v>485</v>
      </c>
    </row>
    <row r="6" spans="1:4" x14ac:dyDescent="0.2">
      <c r="D6" s="9" t="s">
        <v>484</v>
      </c>
    </row>
    <row r="7" spans="1:4" x14ac:dyDescent="0.2">
      <c r="B7" s="9" t="s">
        <v>47</v>
      </c>
      <c r="C7" s="9" t="s">
        <v>402</v>
      </c>
    </row>
    <row r="8" spans="1:4" x14ac:dyDescent="0.2">
      <c r="B8" s="9" t="s">
        <v>372</v>
      </c>
      <c r="C8" s="9" t="s">
        <v>376</v>
      </c>
    </row>
    <row r="9" spans="1:4" x14ac:dyDescent="0.2">
      <c r="C9" s="9" t="s">
        <v>476</v>
      </c>
    </row>
    <row r="10" spans="1:4" x14ac:dyDescent="0.2">
      <c r="C10" s="9" t="s">
        <v>401</v>
      </c>
    </row>
    <row r="11" spans="1:4" x14ac:dyDescent="0.2">
      <c r="C11" s="9" t="s">
        <v>399</v>
      </c>
    </row>
    <row r="12" spans="1:4" x14ac:dyDescent="0.2">
      <c r="B12" s="9" t="s">
        <v>44</v>
      </c>
    </row>
    <row r="13" spans="1:4" x14ac:dyDescent="0.2">
      <c r="B13" s="9" t="s">
        <v>131</v>
      </c>
    </row>
    <row r="14" spans="1:4" x14ac:dyDescent="0.2">
      <c r="B14" s="9" t="s">
        <v>65</v>
      </c>
    </row>
    <row r="15" spans="1:4" x14ac:dyDescent="0.2">
      <c r="C15" s="10" t="s">
        <v>397</v>
      </c>
    </row>
    <row r="17" spans="3:3" x14ac:dyDescent="0.2">
      <c r="C17" s="9" t="s">
        <v>398</v>
      </c>
    </row>
    <row r="19" spans="3:3" x14ac:dyDescent="0.2">
      <c r="C19" s="10" t="s">
        <v>193</v>
      </c>
    </row>
    <row r="23" spans="3:3" x14ac:dyDescent="0.2">
      <c r="C23" s="10" t="s">
        <v>192</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80"/>
  <sheetViews>
    <sheetView zoomScale="160" zoomScaleNormal="160" workbookViewId="0"/>
  </sheetViews>
  <sheetFormatPr defaultColWidth="9.140625" defaultRowHeight="12.75" x14ac:dyDescent="0.2"/>
  <cols>
    <col min="1" max="1" width="5" style="9" bestFit="1" customWidth="1"/>
    <col min="2" max="2" width="14.28515625" style="9" customWidth="1"/>
    <col min="3" max="6" width="9.140625" style="9"/>
    <col min="7" max="7" width="12.85546875" style="9" bestFit="1" customWidth="1"/>
    <col min="8" max="8" width="9.140625" style="9"/>
    <col min="9" max="9" width="12.7109375" style="9" bestFit="1" customWidth="1"/>
    <col min="10" max="10" width="14.42578125" style="9" bestFit="1" customWidth="1"/>
    <col min="11" max="11" width="12.7109375" style="9" bestFit="1" customWidth="1"/>
    <col min="12" max="16384" width="9.140625" style="9"/>
  </cols>
  <sheetData>
    <row r="1" spans="1:3" x14ac:dyDescent="0.2">
      <c r="A1" s="62" t="s">
        <v>78</v>
      </c>
    </row>
    <row r="2" spans="1:3" x14ac:dyDescent="0.2">
      <c r="B2" s="9" t="s">
        <v>77</v>
      </c>
      <c r="C2" s="9" t="s">
        <v>368</v>
      </c>
    </row>
    <row r="3" spans="1:3" x14ac:dyDescent="0.2">
      <c r="B3" s="9" t="s">
        <v>75</v>
      </c>
      <c r="C3" s="9" t="s">
        <v>134</v>
      </c>
    </row>
    <row r="4" spans="1:3" x14ac:dyDescent="0.2">
      <c r="B4" s="9" t="s">
        <v>43</v>
      </c>
      <c r="C4" s="9" t="s">
        <v>133</v>
      </c>
    </row>
    <row r="5" spans="1:3" x14ac:dyDescent="0.2">
      <c r="B5" s="9" t="s">
        <v>47</v>
      </c>
      <c r="C5" s="9" t="s">
        <v>30</v>
      </c>
    </row>
    <row r="6" spans="1:3" x14ac:dyDescent="0.2">
      <c r="B6" s="9" t="s">
        <v>372</v>
      </c>
      <c r="C6" s="9" t="s">
        <v>373</v>
      </c>
    </row>
    <row r="7" spans="1:3" x14ac:dyDescent="0.2">
      <c r="C7" s="9" t="s">
        <v>375</v>
      </c>
    </row>
    <row r="8" spans="1:3" x14ac:dyDescent="0.2">
      <c r="C8" s="9" t="s">
        <v>469</v>
      </c>
    </row>
    <row r="9" spans="1:3" x14ac:dyDescent="0.2">
      <c r="C9" s="9" t="s">
        <v>467</v>
      </c>
    </row>
    <row r="10" spans="1:3" x14ac:dyDescent="0.2">
      <c r="C10" s="9" t="s">
        <v>468</v>
      </c>
    </row>
    <row r="11" spans="1:3" x14ac:dyDescent="0.2">
      <c r="C11" s="9" t="s">
        <v>475</v>
      </c>
    </row>
    <row r="12" spans="1:3" x14ac:dyDescent="0.2">
      <c r="B12" s="9" t="s">
        <v>45</v>
      </c>
      <c r="C12" s="9" t="s">
        <v>406</v>
      </c>
    </row>
    <row r="13" spans="1:3" x14ac:dyDescent="0.2">
      <c r="B13" s="9" t="s">
        <v>44</v>
      </c>
      <c r="C13" s="9" t="s">
        <v>132</v>
      </c>
    </row>
    <row r="14" spans="1:3" x14ac:dyDescent="0.2">
      <c r="B14" s="9" t="s">
        <v>131</v>
      </c>
      <c r="C14" s="9" t="s">
        <v>374</v>
      </c>
    </row>
    <row r="15" spans="1:3" x14ac:dyDescent="0.2">
      <c r="B15" s="9" t="s">
        <v>42</v>
      </c>
    </row>
    <row r="16" spans="1:3" x14ac:dyDescent="0.2">
      <c r="B16" s="9" t="s">
        <v>65</v>
      </c>
    </row>
    <row r="18" spans="3:11" x14ac:dyDescent="0.2">
      <c r="C18" s="10" t="s">
        <v>369</v>
      </c>
    </row>
    <row r="19" spans="3:11" x14ac:dyDescent="0.2">
      <c r="C19" s="9" t="s">
        <v>370</v>
      </c>
    </row>
    <row r="20" spans="3:11" x14ac:dyDescent="0.2">
      <c r="C20" s="9" t="s">
        <v>371</v>
      </c>
    </row>
    <row r="23" spans="3:11" x14ac:dyDescent="0.2">
      <c r="C23" s="10" t="s">
        <v>130</v>
      </c>
    </row>
    <row r="24" spans="3:11" x14ac:dyDescent="0.2">
      <c r="C24" s="9" t="s">
        <v>129</v>
      </c>
    </row>
    <row r="25" spans="3:11" x14ac:dyDescent="0.2">
      <c r="C25" s="9" t="s">
        <v>123</v>
      </c>
    </row>
    <row r="26" spans="3:11" x14ac:dyDescent="0.2">
      <c r="C26" s="9" t="s">
        <v>122</v>
      </c>
    </row>
    <row r="27" spans="3:11" x14ac:dyDescent="0.2">
      <c r="C27" s="9" t="s">
        <v>121</v>
      </c>
    </row>
    <row r="28" spans="3:11" x14ac:dyDescent="0.2">
      <c r="C28" s="9" t="s">
        <v>120</v>
      </c>
      <c r="H28" s="9" t="s">
        <v>118</v>
      </c>
      <c r="I28" s="9" t="s">
        <v>117</v>
      </c>
      <c r="J28" s="9" t="s">
        <v>115</v>
      </c>
      <c r="K28" s="9" t="s">
        <v>113</v>
      </c>
    </row>
    <row r="29" spans="3:11" x14ac:dyDescent="0.2">
      <c r="C29" s="9" t="s">
        <v>119</v>
      </c>
      <c r="E29" s="63">
        <v>0.93</v>
      </c>
      <c r="G29" s="9" t="s">
        <v>116</v>
      </c>
      <c r="H29" s="64">
        <v>304</v>
      </c>
      <c r="I29" s="64">
        <v>304</v>
      </c>
      <c r="J29" s="64">
        <v>301</v>
      </c>
      <c r="K29" s="64">
        <v>301</v>
      </c>
    </row>
    <row r="30" spans="3:11" x14ac:dyDescent="0.2">
      <c r="C30" s="9" t="s">
        <v>117</v>
      </c>
      <c r="E30" s="63">
        <v>0.96</v>
      </c>
      <c r="G30" s="9" t="s">
        <v>114</v>
      </c>
      <c r="H30" s="64">
        <v>78</v>
      </c>
      <c r="I30" s="64">
        <v>78</v>
      </c>
      <c r="J30" s="64">
        <v>78</v>
      </c>
      <c r="K30" s="64">
        <v>78</v>
      </c>
    </row>
    <row r="31" spans="3:11" x14ac:dyDescent="0.2">
      <c r="C31" s="9" t="s">
        <v>115</v>
      </c>
      <c r="E31" s="63">
        <v>0.91</v>
      </c>
      <c r="G31" s="9" t="s">
        <v>128</v>
      </c>
      <c r="H31" s="64">
        <v>57</v>
      </c>
      <c r="I31" s="64">
        <v>64</v>
      </c>
      <c r="J31" s="64">
        <v>56</v>
      </c>
      <c r="K31" s="64">
        <v>59</v>
      </c>
    </row>
    <row r="32" spans="3:11" x14ac:dyDescent="0.2">
      <c r="C32" s="9" t="s">
        <v>113</v>
      </c>
      <c r="E32" s="63">
        <v>0.91</v>
      </c>
      <c r="G32" s="9" t="s">
        <v>111</v>
      </c>
      <c r="H32" s="64">
        <v>54</v>
      </c>
      <c r="I32" s="64">
        <v>55</v>
      </c>
      <c r="J32" s="64">
        <v>56</v>
      </c>
      <c r="K32" s="64">
        <v>56</v>
      </c>
    </row>
    <row r="33" spans="3:12" x14ac:dyDescent="0.2">
      <c r="G33" s="65" t="s">
        <v>110</v>
      </c>
      <c r="H33" s="66">
        <v>0.94</v>
      </c>
      <c r="I33" s="66">
        <v>0.95</v>
      </c>
      <c r="J33" s="66">
        <v>0.96</v>
      </c>
      <c r="K33" s="66">
        <v>0.96</v>
      </c>
    </row>
    <row r="34" spans="3:12" x14ac:dyDescent="0.2">
      <c r="G34" s="65" t="s">
        <v>109</v>
      </c>
      <c r="H34" s="64">
        <v>8.1</v>
      </c>
      <c r="I34" s="64">
        <v>10.9</v>
      </c>
      <c r="J34" s="64" t="s">
        <v>127</v>
      </c>
      <c r="K34" s="64" t="s">
        <v>126</v>
      </c>
      <c r="L34" s="9" t="s">
        <v>105</v>
      </c>
    </row>
    <row r="35" spans="3:12" x14ac:dyDescent="0.2">
      <c r="G35" s="65" t="s">
        <v>104</v>
      </c>
      <c r="H35" s="64">
        <v>31</v>
      </c>
      <c r="I35" s="64">
        <v>38</v>
      </c>
      <c r="J35" s="64">
        <v>25</v>
      </c>
      <c r="K35" s="64">
        <v>31</v>
      </c>
    </row>
    <row r="36" spans="3:12" x14ac:dyDescent="0.2">
      <c r="H36" s="64"/>
      <c r="I36" s="64"/>
      <c r="J36" s="64"/>
      <c r="K36" s="64"/>
    </row>
    <row r="37" spans="3:12" x14ac:dyDescent="0.2">
      <c r="C37" s="10" t="s">
        <v>125</v>
      </c>
    </row>
    <row r="38" spans="3:12" x14ac:dyDescent="0.2">
      <c r="C38" s="9" t="s">
        <v>124</v>
      </c>
    </row>
    <row r="39" spans="3:12" x14ac:dyDescent="0.2">
      <c r="C39" s="9" t="s">
        <v>123</v>
      </c>
    </row>
    <row r="40" spans="3:12" x14ac:dyDescent="0.2">
      <c r="C40" s="9" t="s">
        <v>122</v>
      </c>
    </row>
    <row r="41" spans="3:12" x14ac:dyDescent="0.2">
      <c r="C41" s="9" t="s">
        <v>121</v>
      </c>
    </row>
    <row r="42" spans="3:12" x14ac:dyDescent="0.2">
      <c r="C42" s="9" t="s">
        <v>120</v>
      </c>
    </row>
    <row r="43" spans="3:12" x14ac:dyDescent="0.2">
      <c r="C43" s="9" t="s">
        <v>119</v>
      </c>
      <c r="E43" s="63">
        <v>0.91</v>
      </c>
      <c r="H43" s="9" t="s">
        <v>118</v>
      </c>
      <c r="I43" s="9" t="s">
        <v>117</v>
      </c>
      <c r="J43" s="9" t="s">
        <v>115</v>
      </c>
      <c r="K43" s="9" t="s">
        <v>113</v>
      </c>
    </row>
    <row r="44" spans="3:12" x14ac:dyDescent="0.2">
      <c r="C44" s="9" t="s">
        <v>117</v>
      </c>
      <c r="E44" s="63">
        <v>0.9</v>
      </c>
      <c r="G44" s="9" t="s">
        <v>116</v>
      </c>
      <c r="H44" s="64">
        <v>291</v>
      </c>
      <c r="I44" s="64">
        <v>309</v>
      </c>
      <c r="J44" s="64">
        <v>296</v>
      </c>
      <c r="K44" s="64">
        <v>306</v>
      </c>
    </row>
    <row r="45" spans="3:12" x14ac:dyDescent="0.2">
      <c r="C45" s="9" t="s">
        <v>115</v>
      </c>
      <c r="E45" s="63">
        <v>0.88</v>
      </c>
      <c r="G45" s="9" t="s">
        <v>114</v>
      </c>
      <c r="H45" s="64">
        <v>73</v>
      </c>
      <c r="I45" s="64">
        <v>74</v>
      </c>
      <c r="J45" s="64">
        <v>75</v>
      </c>
      <c r="K45" s="64">
        <v>74</v>
      </c>
    </row>
    <row r="46" spans="3:12" x14ac:dyDescent="0.2">
      <c r="C46" s="9" t="s">
        <v>113</v>
      </c>
      <c r="E46" s="63">
        <v>0.91</v>
      </c>
      <c r="G46" s="9" t="s">
        <v>112</v>
      </c>
      <c r="H46" s="64">
        <v>58</v>
      </c>
      <c r="I46" s="64">
        <v>57</v>
      </c>
      <c r="J46" s="64">
        <v>50</v>
      </c>
      <c r="K46" s="64">
        <v>57</v>
      </c>
    </row>
    <row r="47" spans="3:12" x14ac:dyDescent="0.2">
      <c r="G47" s="9" t="s">
        <v>111</v>
      </c>
      <c r="H47" s="64">
        <v>54</v>
      </c>
      <c r="I47" s="64">
        <v>53</v>
      </c>
      <c r="J47" s="64">
        <v>52</v>
      </c>
      <c r="K47" s="64">
        <v>52</v>
      </c>
    </row>
    <row r="48" spans="3:12" x14ac:dyDescent="0.2">
      <c r="G48" s="65" t="s">
        <v>110</v>
      </c>
      <c r="H48" s="66">
        <v>0.94</v>
      </c>
      <c r="I48" s="66">
        <v>0.95</v>
      </c>
      <c r="J48" s="66">
        <v>0.96</v>
      </c>
      <c r="K48" s="66">
        <v>0.96</v>
      </c>
    </row>
    <row r="49" spans="3:12" x14ac:dyDescent="0.2">
      <c r="G49" s="65" t="s">
        <v>109</v>
      </c>
      <c r="H49" s="64">
        <v>9.4</v>
      </c>
      <c r="I49" s="64" t="s">
        <v>108</v>
      </c>
      <c r="J49" s="64" t="s">
        <v>107</v>
      </c>
      <c r="K49" s="64" t="s">
        <v>106</v>
      </c>
      <c r="L49" s="9" t="s">
        <v>105</v>
      </c>
    </row>
    <row r="50" spans="3:12" x14ac:dyDescent="0.2">
      <c r="G50" s="65" t="s">
        <v>104</v>
      </c>
      <c r="H50" s="64">
        <v>34</v>
      </c>
      <c r="I50" s="64">
        <v>29</v>
      </c>
      <c r="J50" s="64">
        <v>35</v>
      </c>
      <c r="K50" s="64">
        <v>31</v>
      </c>
    </row>
    <row r="51" spans="3:12" x14ac:dyDescent="0.2">
      <c r="G51" s="65"/>
      <c r="H51" s="64"/>
      <c r="I51" s="64"/>
      <c r="J51" s="64"/>
      <c r="K51" s="64"/>
    </row>
    <row r="52" spans="3:12" x14ac:dyDescent="0.2">
      <c r="C52" s="10" t="s">
        <v>103</v>
      </c>
      <c r="G52" s="65"/>
      <c r="H52" s="64"/>
      <c r="I52" s="64"/>
      <c r="J52" s="64"/>
      <c r="K52" s="64"/>
    </row>
    <row r="53" spans="3:12" x14ac:dyDescent="0.2">
      <c r="C53" s="9" t="s">
        <v>102</v>
      </c>
      <c r="G53" s="65"/>
      <c r="H53" s="64"/>
      <c r="I53" s="64"/>
      <c r="J53" s="64"/>
      <c r="K53" s="64"/>
    </row>
    <row r="54" spans="3:12" x14ac:dyDescent="0.2">
      <c r="C54" s="9" t="s">
        <v>101</v>
      </c>
      <c r="G54" s="65"/>
      <c r="H54" s="64"/>
      <c r="I54" s="64"/>
      <c r="J54" s="64"/>
      <c r="K54" s="64"/>
    </row>
    <row r="55" spans="3:12" x14ac:dyDescent="0.2">
      <c r="C55" s="9" t="s">
        <v>100</v>
      </c>
      <c r="G55" s="65"/>
      <c r="H55" s="64"/>
      <c r="I55" s="64"/>
      <c r="J55" s="64"/>
      <c r="K55" s="64"/>
    </row>
    <row r="56" spans="3:12" x14ac:dyDescent="0.2">
      <c r="G56" s="65"/>
      <c r="H56" s="64"/>
      <c r="I56" s="64"/>
      <c r="J56" s="64"/>
      <c r="K56" s="64"/>
    </row>
    <row r="57" spans="3:12" x14ac:dyDescent="0.2">
      <c r="C57" s="10" t="s">
        <v>99</v>
      </c>
      <c r="G57" s="65"/>
      <c r="H57" s="64"/>
      <c r="I57" s="64"/>
      <c r="J57" s="64"/>
      <c r="K57" s="64"/>
    </row>
    <row r="58" spans="3:12" x14ac:dyDescent="0.2">
      <c r="C58" s="9" t="s">
        <v>98</v>
      </c>
      <c r="G58" s="65"/>
      <c r="H58" s="64"/>
      <c r="I58" s="64"/>
      <c r="J58" s="64"/>
      <c r="K58" s="64"/>
    </row>
    <row r="59" spans="3:12" x14ac:dyDescent="0.2">
      <c r="C59" s="9" t="s">
        <v>97</v>
      </c>
      <c r="G59" s="65"/>
      <c r="H59" s="64"/>
      <c r="I59" s="64"/>
      <c r="J59" s="64"/>
      <c r="K59" s="64"/>
    </row>
    <row r="60" spans="3:12" x14ac:dyDescent="0.2">
      <c r="C60" s="9" t="s">
        <v>96</v>
      </c>
      <c r="G60" s="65"/>
      <c r="H60" s="64"/>
      <c r="I60" s="64"/>
      <c r="J60" s="64"/>
      <c r="K60" s="64"/>
    </row>
    <row r="61" spans="3:12" x14ac:dyDescent="0.2">
      <c r="C61" s="9" t="s">
        <v>95</v>
      </c>
      <c r="G61" s="65"/>
      <c r="H61" s="64"/>
      <c r="I61" s="64"/>
      <c r="J61" s="64"/>
      <c r="K61" s="64"/>
    </row>
    <row r="62" spans="3:12" x14ac:dyDescent="0.2">
      <c r="C62" s="9" t="s">
        <v>94</v>
      </c>
      <c r="G62" s="65"/>
      <c r="H62" s="64"/>
      <c r="I62" s="64"/>
      <c r="J62" s="64"/>
      <c r="K62" s="64"/>
    </row>
    <row r="63" spans="3:12" x14ac:dyDescent="0.2">
      <c r="C63" s="9" t="s">
        <v>93</v>
      </c>
      <c r="G63" s="65"/>
      <c r="H63" s="64"/>
      <c r="I63" s="64"/>
      <c r="J63" s="64"/>
      <c r="K63" s="64"/>
    </row>
    <row r="64" spans="3:12" x14ac:dyDescent="0.2">
      <c r="C64" s="9" t="s">
        <v>92</v>
      </c>
      <c r="G64" s="65"/>
      <c r="H64" s="64"/>
      <c r="I64" s="64"/>
      <c r="J64" s="64"/>
      <c r="K64" s="64"/>
    </row>
    <row r="65" spans="3:11" x14ac:dyDescent="0.2">
      <c r="C65" s="9" t="s">
        <v>91</v>
      </c>
      <c r="G65" s="65"/>
      <c r="H65" s="64"/>
      <c r="I65" s="64"/>
      <c r="J65" s="64"/>
      <c r="K65" s="64"/>
    </row>
    <row r="66" spans="3:11" x14ac:dyDescent="0.2">
      <c r="C66" s="9" t="s">
        <v>90</v>
      </c>
      <c r="G66" s="65"/>
      <c r="H66" s="64"/>
      <c r="I66" s="64"/>
      <c r="J66" s="64"/>
      <c r="K66" s="64"/>
    </row>
    <row r="68" spans="3:11" x14ac:dyDescent="0.2">
      <c r="C68" s="10" t="s">
        <v>89</v>
      </c>
    </row>
    <row r="69" spans="3:11" x14ac:dyDescent="0.2">
      <c r="C69" s="9" t="s">
        <v>88</v>
      </c>
    </row>
    <row r="71" spans="3:11" x14ac:dyDescent="0.2">
      <c r="C71" s="10" t="s">
        <v>87</v>
      </c>
    </row>
    <row r="72" spans="3:11" x14ac:dyDescent="0.2">
      <c r="C72" s="9" t="s">
        <v>86</v>
      </c>
    </row>
    <row r="73" spans="3:11" x14ac:dyDescent="0.2">
      <c r="C73" s="9" t="s">
        <v>85</v>
      </c>
    </row>
    <row r="74" spans="3:11" x14ac:dyDescent="0.2">
      <c r="C74" s="9" t="s">
        <v>84</v>
      </c>
    </row>
    <row r="76" spans="3:11" x14ac:dyDescent="0.2">
      <c r="C76" s="9" t="s">
        <v>83</v>
      </c>
    </row>
    <row r="77" spans="3:11" x14ac:dyDescent="0.2">
      <c r="C77" s="9" t="s">
        <v>82</v>
      </c>
    </row>
    <row r="78" spans="3:11" x14ac:dyDescent="0.2">
      <c r="C78" s="9" t="s">
        <v>81</v>
      </c>
    </row>
    <row r="79" spans="3:11" x14ac:dyDescent="0.2">
      <c r="C79" s="9" t="s">
        <v>80</v>
      </c>
    </row>
    <row r="80" spans="3:11" x14ac:dyDescent="0.2">
      <c r="C80" s="9"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02A1-3CC8-415F-A135-AB0208BB49A1}">
  <dimension ref="A1:C1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407</v>
      </c>
    </row>
    <row r="3" spans="1:3" x14ac:dyDescent="0.2">
      <c r="B3" t="s">
        <v>378</v>
      </c>
      <c r="C3" s="57" t="s">
        <v>269</v>
      </c>
    </row>
    <row r="4" spans="1:3" x14ac:dyDescent="0.2">
      <c r="B4" t="s">
        <v>47</v>
      </c>
      <c r="C4" t="s">
        <v>408</v>
      </c>
    </row>
    <row r="5" spans="1:3" x14ac:dyDescent="0.2">
      <c r="B5" t="s">
        <v>43</v>
      </c>
      <c r="C5" t="s">
        <v>270</v>
      </c>
    </row>
    <row r="6" spans="1:3" x14ac:dyDescent="0.2">
      <c r="B6" t="s">
        <v>372</v>
      </c>
      <c r="C6" t="s">
        <v>454</v>
      </c>
    </row>
    <row r="7" spans="1:3" x14ac:dyDescent="0.2">
      <c r="B7" t="s">
        <v>45</v>
      </c>
      <c r="C7" t="s">
        <v>409</v>
      </c>
    </row>
    <row r="8" spans="1:3" x14ac:dyDescent="0.2">
      <c r="B8" t="s">
        <v>65</v>
      </c>
    </row>
    <row r="9" spans="1:3" x14ac:dyDescent="0.2">
      <c r="C9" s="54" t="s">
        <v>410</v>
      </c>
    </row>
    <row r="10" spans="1:3" x14ac:dyDescent="0.2">
      <c r="C10" t="s">
        <v>411</v>
      </c>
    </row>
    <row r="14" spans="1:3" x14ac:dyDescent="0.2">
      <c r="C14" s="54" t="s">
        <v>426</v>
      </c>
    </row>
  </sheetData>
  <hyperlinks>
    <hyperlink ref="A1" location="Main!A1" display="Main" xr:uid="{EC774840-B936-4190-8846-104354FD33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4E2-F63A-47DA-A63C-083C7176FD88}">
  <dimension ref="A1:C9"/>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s="57" t="s">
        <v>265</v>
      </c>
    </row>
    <row r="4" spans="1:3" x14ac:dyDescent="0.2">
      <c r="B4" t="s">
        <v>47</v>
      </c>
      <c r="C4" t="s">
        <v>413</v>
      </c>
    </row>
    <row r="5" spans="1:3" x14ac:dyDescent="0.2">
      <c r="B5" t="s">
        <v>412</v>
      </c>
      <c r="C5" t="s">
        <v>266</v>
      </c>
    </row>
    <row r="6" spans="1:3" x14ac:dyDescent="0.2">
      <c r="B6" t="s">
        <v>372</v>
      </c>
      <c r="C6" t="s">
        <v>448</v>
      </c>
    </row>
    <row r="7" spans="1:3" x14ac:dyDescent="0.2">
      <c r="B7" t="s">
        <v>45</v>
      </c>
      <c r="C7" t="s">
        <v>414</v>
      </c>
    </row>
    <row r="8" spans="1:3" x14ac:dyDescent="0.2">
      <c r="C8" t="s">
        <v>415</v>
      </c>
    </row>
    <row r="9" spans="1:3" x14ac:dyDescent="0.2">
      <c r="B9" t="s">
        <v>65</v>
      </c>
    </row>
  </sheetData>
  <hyperlinks>
    <hyperlink ref="A1" location="Main!A1" display="Main" xr:uid="{987FB588-21A7-489A-86F2-5604763419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ED54-6015-48D1-9C01-27EEB477A3F6}">
  <dimension ref="A1:C12"/>
  <sheetViews>
    <sheetView zoomScale="190" zoomScaleNormal="19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407</v>
      </c>
    </row>
    <row r="3" spans="1:3" x14ac:dyDescent="0.2">
      <c r="B3" t="s">
        <v>378</v>
      </c>
      <c r="C3" t="s">
        <v>239</v>
      </c>
    </row>
    <row r="4" spans="1:3" x14ac:dyDescent="0.2">
      <c r="B4" t="s">
        <v>47</v>
      </c>
      <c r="C4" t="s">
        <v>451</v>
      </c>
    </row>
    <row r="5" spans="1:3" x14ac:dyDescent="0.2">
      <c r="B5" t="s">
        <v>412</v>
      </c>
      <c r="C5" t="s">
        <v>423</v>
      </c>
    </row>
    <row r="6" spans="1:3" x14ac:dyDescent="0.2">
      <c r="B6" t="s">
        <v>372</v>
      </c>
      <c r="C6" t="s">
        <v>450</v>
      </c>
    </row>
    <row r="7" spans="1:3" x14ac:dyDescent="0.2">
      <c r="B7" t="s">
        <v>65</v>
      </c>
    </row>
    <row r="8" spans="1:3" x14ac:dyDescent="0.2">
      <c r="C8" s="54" t="s">
        <v>424</v>
      </c>
    </row>
    <row r="9" spans="1:3" x14ac:dyDescent="0.2">
      <c r="C9" t="s">
        <v>425</v>
      </c>
    </row>
    <row r="11" spans="1:3" x14ac:dyDescent="0.2">
      <c r="C11" s="54" t="s">
        <v>463</v>
      </c>
    </row>
    <row r="12" spans="1:3" x14ac:dyDescent="0.2">
      <c r="C12" t="s">
        <v>464</v>
      </c>
    </row>
  </sheetData>
  <hyperlinks>
    <hyperlink ref="A1" location="Main!A1" display="Main" xr:uid="{5CE669D1-80CF-4A6F-8258-A4F55F11E73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77B6-90FA-4F6C-B6D9-3EE518AF48EE}">
  <dimension ref="A1:C11"/>
  <sheetViews>
    <sheetView zoomScale="235" zoomScaleNormal="23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407</v>
      </c>
    </row>
    <row r="3" spans="1:3" x14ac:dyDescent="0.2">
      <c r="B3" t="s">
        <v>378</v>
      </c>
      <c r="C3" t="s">
        <v>274</v>
      </c>
    </row>
    <row r="4" spans="1:3" x14ac:dyDescent="0.2">
      <c r="B4" t="s">
        <v>47</v>
      </c>
      <c r="C4" t="s">
        <v>430</v>
      </c>
    </row>
    <row r="5" spans="1:3" x14ac:dyDescent="0.2">
      <c r="B5" t="s">
        <v>412</v>
      </c>
      <c r="C5" t="s">
        <v>432</v>
      </c>
    </row>
    <row r="6" spans="1:3" x14ac:dyDescent="0.2">
      <c r="B6" t="s">
        <v>65</v>
      </c>
    </row>
    <row r="7" spans="1:3" x14ac:dyDescent="0.2">
      <c r="C7" s="54" t="s">
        <v>431</v>
      </c>
    </row>
    <row r="10" spans="1:3" x14ac:dyDescent="0.2">
      <c r="C10" s="54" t="s">
        <v>465</v>
      </c>
    </row>
    <row r="11" spans="1:3" x14ac:dyDescent="0.2">
      <c r="C11" t="s">
        <v>466</v>
      </c>
    </row>
  </sheetData>
  <hyperlinks>
    <hyperlink ref="A1" location="Main!A1" display="Main" xr:uid="{82A014F1-E6C5-4EBE-86D2-5908AD151D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5DAB-B4CB-4B04-88E0-BB12957ED39E}">
  <dimension ref="A1:C6"/>
  <sheetViews>
    <sheetView zoomScale="205" zoomScaleNormal="205" workbookViewId="0"/>
  </sheetViews>
  <sheetFormatPr defaultRowHeight="12.75" x14ac:dyDescent="0.2"/>
  <cols>
    <col min="1" max="1" width="5" bestFit="1" customWidth="1"/>
    <col min="2" max="2" width="12.140625" bestFit="1" customWidth="1"/>
    <col min="3" max="3" width="11.42578125" customWidth="1"/>
  </cols>
  <sheetData>
    <row r="1" spans="1:3" x14ac:dyDescent="0.2">
      <c r="A1" s="13" t="s">
        <v>78</v>
      </c>
    </row>
    <row r="2" spans="1:3" x14ac:dyDescent="0.2">
      <c r="B2" t="s">
        <v>407</v>
      </c>
      <c r="C2" t="s">
        <v>460</v>
      </c>
    </row>
    <row r="3" spans="1:3" x14ac:dyDescent="0.2">
      <c r="B3" t="s">
        <v>47</v>
      </c>
      <c r="C3" t="s">
        <v>461</v>
      </c>
    </row>
    <row r="4" spans="1:3" x14ac:dyDescent="0.2">
      <c r="B4" t="s">
        <v>65</v>
      </c>
    </row>
    <row r="5" spans="1:3" x14ac:dyDescent="0.2">
      <c r="C5" s="54" t="s">
        <v>473</v>
      </c>
    </row>
    <row r="6" spans="1:3" x14ac:dyDescent="0.2">
      <c r="C6" t="s">
        <v>474</v>
      </c>
    </row>
  </sheetData>
  <hyperlinks>
    <hyperlink ref="A1" location="Main!A1" display="Main" xr:uid="{D960F3C3-4F40-4D14-B223-27818EE82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Main</vt:lpstr>
      <vt:lpstr>Model</vt:lpstr>
      <vt:lpstr>Dupixent</vt:lpstr>
      <vt:lpstr>Eylea</vt:lpstr>
      <vt:lpstr>linvoseltamab</vt:lpstr>
      <vt:lpstr>odronextamab</vt:lpstr>
      <vt:lpstr>pozelimab</vt:lpstr>
      <vt:lpstr>mibavademab</vt:lpstr>
      <vt:lpstr>DB-OTO</vt:lpstr>
      <vt:lpstr>trevogrumab</vt:lpstr>
      <vt:lpstr>fianlimab</vt:lpstr>
      <vt:lpstr>garetosmab</vt:lpstr>
      <vt:lpstr>itepekimab</vt:lpstr>
      <vt:lpstr>REGN7508</vt:lpstr>
      <vt:lpstr>REGN9933</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2025-03-17T15:46:21Z</dcterms:modified>
</cp:coreProperties>
</file>