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8383D693-0676-4F72-8FDE-042D0E96AE8C}" xr6:coauthVersionLast="47" xr6:coauthVersionMax="47" xr10:uidLastSave="{00000000-0000-0000-0000-000000000000}"/>
  <bookViews>
    <workbookView xWindow="-20355" yWindow="735" windowWidth="20160" windowHeight="17280" activeTab="1" xr2:uid="{DD79AD4D-6052-4513-A158-440A44B3A9B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3" i="2" l="1"/>
  <c r="AE10" i="2"/>
  <c r="AE9" i="2"/>
  <c r="AE8" i="2"/>
  <c r="AE11" i="2" s="1"/>
  <c r="AE7" i="2"/>
  <c r="AE12" i="2" s="1"/>
  <c r="AE14" i="2" s="1"/>
  <c r="AE16" i="2" s="1"/>
  <c r="AE5" i="2"/>
  <c r="AE6" i="2" s="1"/>
  <c r="AB5" i="2"/>
  <c r="AA5" i="2"/>
  <c r="AA7" i="2" s="1"/>
  <c r="AA6" i="2" s="1"/>
  <c r="Z5" i="2"/>
  <c r="AD13" i="2"/>
  <c r="AC13" i="2"/>
  <c r="AB13" i="2"/>
  <c r="AA13" i="2"/>
  <c r="Z13" i="2"/>
  <c r="Z10" i="2"/>
  <c r="AA10" i="2" s="1"/>
  <c r="AB10" i="2" s="1"/>
  <c r="AC10" i="2" s="1"/>
  <c r="AD10" i="2" s="1"/>
  <c r="Z9" i="2"/>
  <c r="AA9" i="2" s="1"/>
  <c r="AA8" i="2"/>
  <c r="AB8" i="2" s="1"/>
  <c r="Z8" i="2"/>
  <c r="Z11" i="2"/>
  <c r="Z7" i="2"/>
  <c r="Z6" i="2" s="1"/>
  <c r="W20" i="2"/>
  <c r="X20" i="2"/>
  <c r="Y20" i="2"/>
  <c r="Y15" i="2"/>
  <c r="Y13" i="2"/>
  <c r="Y12" i="2"/>
  <c r="Y14" i="2" s="1"/>
  <c r="Y16" i="2" s="1"/>
  <c r="Y11" i="2"/>
  <c r="Y10" i="2"/>
  <c r="Y9" i="2"/>
  <c r="Y8" i="2"/>
  <c r="Y7" i="2"/>
  <c r="Y6" i="2"/>
  <c r="Y5" i="2"/>
  <c r="R1" i="2"/>
  <c r="Q1" i="2"/>
  <c r="P1" i="2"/>
  <c r="O1" i="2"/>
  <c r="J11" i="2"/>
  <c r="J7" i="2"/>
  <c r="J21" i="2" s="1"/>
  <c r="N11" i="2"/>
  <c r="N7" i="2"/>
  <c r="N21" i="2" s="1"/>
  <c r="N20" i="2"/>
  <c r="Y2" i="2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V18" i="2"/>
  <c r="W18" i="2"/>
  <c r="X18" i="2"/>
  <c r="X11" i="2"/>
  <c r="W11" i="2"/>
  <c r="V11" i="2"/>
  <c r="W7" i="2"/>
  <c r="W12" i="2" s="1"/>
  <c r="W14" i="2" s="1"/>
  <c r="W16" i="2" s="1"/>
  <c r="V7" i="2"/>
  <c r="V12" i="2" s="1"/>
  <c r="V14" i="2" s="1"/>
  <c r="V16" i="2" s="1"/>
  <c r="X7" i="2"/>
  <c r="X12" i="2" s="1"/>
  <c r="X14" i="2" s="1"/>
  <c r="X16" i="2" s="1"/>
  <c r="G11" i="2"/>
  <c r="G7" i="2"/>
  <c r="G21" i="2" s="1"/>
  <c r="L1" i="2"/>
  <c r="K20" i="2"/>
  <c r="K11" i="2"/>
  <c r="K7" i="2"/>
  <c r="K21" i="2" s="1"/>
  <c r="M21" i="2"/>
  <c r="L20" i="2"/>
  <c r="M20" i="2"/>
  <c r="H23" i="2"/>
  <c r="I23" i="2" s="1"/>
  <c r="L23" i="2"/>
  <c r="M23" i="2" s="1"/>
  <c r="H13" i="2"/>
  <c r="H11" i="2"/>
  <c r="H7" i="2"/>
  <c r="H21" i="2" s="1"/>
  <c r="L13" i="2"/>
  <c r="L11" i="2"/>
  <c r="L7" i="2"/>
  <c r="L21" i="2" s="1"/>
  <c r="I13" i="2"/>
  <c r="M13" i="2"/>
  <c r="I11" i="2"/>
  <c r="I7" i="2"/>
  <c r="I21" i="2" s="1"/>
  <c r="M11" i="2"/>
  <c r="M7" i="2"/>
  <c r="J7" i="1"/>
  <c r="J5" i="1"/>
  <c r="J4" i="1"/>
  <c r="J3" i="1"/>
  <c r="Z12" i="2" l="1"/>
  <c r="Z14" i="2" s="1"/>
  <c r="Z16" i="2" s="1"/>
  <c r="AC8" i="2"/>
  <c r="AB9" i="2"/>
  <c r="AC9" i="2" s="1"/>
  <c r="AD9" i="2" s="1"/>
  <c r="AA11" i="2"/>
  <c r="AA12" i="2" s="1"/>
  <c r="AA14" i="2" s="1"/>
  <c r="AA16" i="2" s="1"/>
  <c r="N12" i="2"/>
  <c r="N14" i="2" s="1"/>
  <c r="N16" i="2" s="1"/>
  <c r="N17" i="2" s="1"/>
  <c r="J12" i="2"/>
  <c r="J14" i="2" s="1"/>
  <c r="J16" i="2" s="1"/>
  <c r="J17" i="2" s="1"/>
  <c r="M12" i="2"/>
  <c r="M14" i="2" s="1"/>
  <c r="M16" i="2" s="1"/>
  <c r="M17" i="2" s="1"/>
  <c r="G12" i="2"/>
  <c r="G14" i="2" s="1"/>
  <c r="G16" i="2" s="1"/>
  <c r="G17" i="2" s="1"/>
  <c r="K12" i="2"/>
  <c r="K14" i="2" s="1"/>
  <c r="K16" i="2" s="1"/>
  <c r="K17" i="2" s="1"/>
  <c r="H12" i="2"/>
  <c r="H14" i="2" s="1"/>
  <c r="H16" i="2" s="1"/>
  <c r="H17" i="2" s="1"/>
  <c r="L12" i="2"/>
  <c r="L14" i="2" s="1"/>
  <c r="L16" i="2" s="1"/>
  <c r="L17" i="2" s="1"/>
  <c r="I12" i="2"/>
  <c r="I14" i="2" s="1"/>
  <c r="I16" i="2" s="1"/>
  <c r="I17" i="2" s="1"/>
  <c r="AC5" i="2" l="1"/>
  <c r="AB7" i="2"/>
  <c r="AB6" i="2"/>
  <c r="AB11" i="2"/>
  <c r="AB12" i="2" s="1"/>
  <c r="AB14" i="2" s="1"/>
  <c r="AB16" i="2" s="1"/>
  <c r="AD8" i="2"/>
  <c r="AD11" i="2" s="1"/>
  <c r="AC11" i="2"/>
  <c r="AC7" i="2" l="1"/>
  <c r="AC12" i="2" s="1"/>
  <c r="AC14" i="2" s="1"/>
  <c r="AC16" i="2" s="1"/>
  <c r="AD5" i="2"/>
  <c r="AD7" i="2" l="1"/>
  <c r="AD12" i="2" s="1"/>
  <c r="AD14" i="2" s="1"/>
  <c r="AD16" i="2" s="1"/>
  <c r="AC6" i="2"/>
  <c r="AD6" i="2" l="1"/>
</calcChain>
</file>

<file path=xl/sharedStrings.xml><?xml version="1.0" encoding="utf-8"?>
<sst xmlns="http://schemas.openxmlformats.org/spreadsheetml/2006/main" count="45" uniqueCount="41">
  <si>
    <t>Price</t>
  </si>
  <si>
    <t>Shares</t>
  </si>
  <si>
    <t>MC</t>
  </si>
  <si>
    <t>Cash</t>
  </si>
  <si>
    <t>Debt</t>
  </si>
  <si>
    <t>EV</t>
  </si>
  <si>
    <t>Q324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</si>
  <si>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</si>
  <si>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</si>
  <si>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</si>
  <si>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</si>
  <si>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</si>
  <si>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</si>
  <si>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</si>
  <si>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</si>
  <si>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</si>
  <si>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</si>
  <si>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</si>
  <si>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</si>
  <si>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Q424</t>
  </si>
  <si>
    <t>Operating Expenses</t>
  </si>
  <si>
    <t>Operating Income</t>
  </si>
  <si>
    <t>COGS</t>
  </si>
  <si>
    <t>Gross Profits</t>
  </si>
  <si>
    <t>R&amp;D</t>
  </si>
  <si>
    <t>S&amp;M</t>
  </si>
  <si>
    <t>G&amp;A</t>
  </si>
  <si>
    <t>Interest Income</t>
  </si>
  <si>
    <t>Pretax Income</t>
  </si>
  <si>
    <t>Net Income</t>
  </si>
  <si>
    <t>Taxes</t>
  </si>
  <si>
    <t>CFFO</t>
  </si>
  <si>
    <t>EPS</t>
  </si>
  <si>
    <t>Revenue y/y</t>
  </si>
  <si>
    <t>Gross Margin</t>
  </si>
  <si>
    <t>$100k customers</t>
  </si>
  <si>
    <t>Founded January 2013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</si>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</sst>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m/d/yy;@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165" fontId="2" fillId="0" borderId="0" xfId="1" applyNumberFormat="1"/>
    <xf numFmtId="3" fontId="0" fillId="0" borderId="0" xfId="0" applyNumberFormat="1" applyFon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B1BF7A8-7F24-4E24-A59E-D4DB24AE50F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16329</xdr:colOff>
      <xdr:row>0</xdr:row>
      <xdr:rowOff>38100</xdr:rowOff>
    </xdr:from>
    <xdr:to>
      <xdr:col>14</xdr:col>
      <xdr:colOff>16329</xdr:colOff>
      <xdr:row>45</xdr:row>
      <xdr:rowOff>32657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2CC80B0-DEB5-723B-4AD6-397047482A95}"/>
            </a:ext>
          </a:extLst>
        </xdr:cNvPr>
        <xdr:cNvCxnSpPr/>
      </xdr:nvCxnSpPr>
      <xdr:spPr>
        <a:xfrm>
          <a:off x="8948058" y="38100"/>
          <a:ext cx="0" cy="734241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604158</xdr:colOff>
      <xdr:row>0</xdr:row>
      <xdr:rowOff>0</xdr:rowOff>
    </xdr:from>
    <xdr:to>
      <xdr:col>24</xdr:col>
      <xdr:colOff>604158</xdr:colOff>
      <xdr:row>44</xdr:row>
      <xdr:rowOff>157843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B0B49AD-1FDD-4AC0-8B54-F4F4E2C49C9A}"/>
            </a:ext>
          </a:extLst>
        </xdr:cNvPr>
        <xdr:cNvCxnSpPr/>
      </xdr:nvCxnSpPr>
      <xdr:spPr>
        <a:xfrm>
          <a:off x="15631887" y="0"/>
          <a:ext cx="0" cy="734241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E3566-4F3D-4194-8897-2B17378155B1}">
  <dimension ref="I2:K10"/>
  <sheetViews>
    <sheetView zoomScale="190" zoomScaleNormal="190" workbookViewId="0"/>
  </sheetViews>
  <sheetFormatPr defaultRowHeight="12.75" x14ac:dyDescent="0.2"/>
  <sheetData>
    <row r="2" spans="9:11" x14ac:dyDescent="0.2">
      <c r="I2" t="s">
        <v>0</v>
      </c>
      <c r="J2" s="1">
        <v>17.7</v>
      </c>
    </row>
    <row r="3" spans="9:11" x14ac:dyDescent="0.2">
      <c r="I3" t="s">
        <v>1</v>
      </c>
      <c r="J3" s="2">
        <f>295.079043+26.262451</f>
        <v>321.34149400000001</v>
      </c>
      <c r="K3" s="3" t="s">
        <v>6</v>
      </c>
    </row>
    <row r="4" spans="9:11" x14ac:dyDescent="0.2">
      <c r="I4" t="s">
        <v>2</v>
      </c>
      <c r="J4" s="2">
        <f>+J2*J3</f>
        <v>5687.7444438000002</v>
      </c>
      <c r="K4" s="3"/>
    </row>
    <row r="5" spans="9:11" x14ac:dyDescent="0.2">
      <c r="I5" t="s">
        <v>3</v>
      </c>
      <c r="J5" s="2">
        <f>235.742+424.517+463.542</f>
        <v>1123.8009999999999</v>
      </c>
      <c r="K5" s="3" t="s">
        <v>6</v>
      </c>
    </row>
    <row r="6" spans="9:11" x14ac:dyDescent="0.2">
      <c r="I6" t="s">
        <v>4</v>
      </c>
      <c r="J6" s="2">
        <v>0</v>
      </c>
      <c r="K6" s="3" t="s">
        <v>6</v>
      </c>
    </row>
    <row r="7" spans="9:11" x14ac:dyDescent="0.2">
      <c r="I7" t="s">
        <v>5</v>
      </c>
      <c r="J7" s="2">
        <f>+J4-J5+J6</f>
        <v>4563.9434438000008</v>
      </c>
    </row>
    <row r="10" spans="9:11" x14ac:dyDescent="0.2">
      <c r="I10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BE28A-A372-4C5A-B2A2-5A6D3A5CFD96}">
  <dimension ref="A1:AI23"/>
  <sheetViews>
    <sheetView tabSelected="1" zoomScale="175" zoomScaleNormal="175" workbookViewId="0">
      <pane xSplit="2" ySplit="2" topLeftCell="AA3" activePane="bottomRight" state="frozen"/>
      <selection pane="topRight" activeCell="C1" sqref="C1"/>
      <selection pane="bottomLeft" activeCell="A3" sqref="A3"/>
      <selection pane="bottomRight" activeCell="AE25" sqref="AE25"/>
    </sheetView>
  </sheetViews>
  <sheetFormatPr defaultRowHeight="12.75" x14ac:dyDescent="0.2"/>
  <cols>
    <col min="1" max="1" width="5" bestFit="1" customWidth="1"/>
    <col min="2" max="2" width="18.140625" bestFit="1" customWidth="1"/>
    <col min="3" max="6" width="9.140625" style="3"/>
    <col min="7" max="13" width="9.28515625" style="3" customWidth="1"/>
    <col min="14" max="18" width="9.140625" style="3"/>
  </cols>
  <sheetData>
    <row r="1" spans="1:35" s="4" customFormat="1" x14ac:dyDescent="0.2">
      <c r="A1" s="11" t="s">
        <v>7</v>
      </c>
      <c r="C1" s="5"/>
      <c r="D1" s="5"/>
      <c r="E1" s="5"/>
      <c r="F1" s="5"/>
      <c r="G1" s="5">
        <v>45046</v>
      </c>
      <c r="H1" s="5">
        <v>45138</v>
      </c>
      <c r="I1" s="5">
        <v>45230</v>
      </c>
      <c r="J1" s="5">
        <v>45322</v>
      </c>
      <c r="K1" s="5">
        <v>45412</v>
      </c>
      <c r="L1" s="5">
        <f>+K1+92</f>
        <v>45504</v>
      </c>
      <c r="M1" s="5">
        <v>45596</v>
      </c>
      <c r="N1" s="5">
        <v>45688</v>
      </c>
      <c r="O1" s="5">
        <f>+K1+365</f>
        <v>45777</v>
      </c>
      <c r="P1" s="5">
        <f>+L1+365</f>
        <v>45869</v>
      </c>
      <c r="Q1" s="5">
        <f>+M1+365</f>
        <v>45961</v>
      </c>
      <c r="R1" s="5">
        <f>+N1+365</f>
        <v>46053</v>
      </c>
    </row>
    <row r="2" spans="1:35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6</v>
      </c>
      <c r="N2" s="3" t="s">
        <v>19</v>
      </c>
      <c r="O2" s="3" t="s">
        <v>37</v>
      </c>
      <c r="P2" s="3" t="s">
        <v>38</v>
      </c>
      <c r="Q2" s="3" t="s">
        <v>39</v>
      </c>
      <c r="R2" s="3" t="s">
        <v>40</v>
      </c>
      <c r="V2">
        <v>2022</v>
      </c>
      <c r="W2">
        <v>2023</v>
      </c>
      <c r="X2">
        <v>2024</v>
      </c>
      <c r="Y2">
        <f>+X2+1</f>
        <v>2025</v>
      </c>
      <c r="Z2">
        <f>+Y2+1</f>
        <v>2026</v>
      </c>
      <c r="AA2">
        <f>+Z2+1</f>
        <v>2027</v>
      </c>
      <c r="AB2">
        <f>+AA2+1</f>
        <v>2028</v>
      </c>
      <c r="AC2">
        <f>+AB2+1</f>
        <v>2029</v>
      </c>
      <c r="AD2">
        <f>+AC2+1</f>
        <v>2030</v>
      </c>
      <c r="AE2">
        <f>+AD2+1</f>
        <v>2031</v>
      </c>
      <c r="AF2">
        <f>+AE2+1</f>
        <v>2032</v>
      </c>
      <c r="AG2">
        <f>+AF2+1</f>
        <v>2033</v>
      </c>
      <c r="AH2">
        <f>+AG2+1</f>
        <v>2034</v>
      </c>
      <c r="AI2">
        <f>+AH2+1</f>
        <v>2035</v>
      </c>
    </row>
    <row r="3" spans="1:35" s="2" customFormat="1" x14ac:dyDescent="0.2">
      <c r="B3" s="2" t="s">
        <v>35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V3" s="2">
        <v>500</v>
      </c>
      <c r="W3" s="2">
        <v>872</v>
      </c>
      <c r="X3" s="2">
        <v>1133</v>
      </c>
    </row>
    <row r="5" spans="1:35" s="7" customFormat="1" x14ac:dyDescent="0.2">
      <c r="B5" s="7" t="s">
        <v>8</v>
      </c>
      <c r="C5" s="8"/>
      <c r="D5" s="8"/>
      <c r="E5" s="8"/>
      <c r="F5" s="8"/>
      <c r="G5" s="8">
        <v>133.393</v>
      </c>
      <c r="H5" s="8">
        <v>149.42099999999999</v>
      </c>
      <c r="I5" s="8">
        <v>164.16499999999999</v>
      </c>
      <c r="J5" s="8">
        <v>174.17500000000001</v>
      </c>
      <c r="K5" s="8">
        <v>186.35499999999999</v>
      </c>
      <c r="L5" s="8">
        <v>198.93700000000001</v>
      </c>
      <c r="M5" s="8">
        <v>210.648</v>
      </c>
      <c r="N5" s="8">
        <v>225.52099999999999</v>
      </c>
      <c r="O5" s="8"/>
      <c r="P5" s="8"/>
      <c r="Q5" s="8"/>
      <c r="R5" s="8"/>
      <c r="V5" s="7">
        <v>204.79900000000001</v>
      </c>
      <c r="W5" s="7">
        <v>422.17899999999997</v>
      </c>
      <c r="X5" s="7">
        <v>621.154</v>
      </c>
      <c r="Y5" s="7">
        <f>SUM(K5:N5)</f>
        <v>821.46100000000001</v>
      </c>
      <c r="Z5" s="7">
        <f>+Y5*1.25</f>
        <v>1026.8262500000001</v>
      </c>
      <c r="AA5" s="7">
        <f>+Z5*1.25</f>
        <v>1283.5328125000001</v>
      </c>
      <c r="AB5" s="7">
        <f>+AA5*1.2</f>
        <v>1540.2393750000001</v>
      </c>
      <c r="AC5" s="7">
        <f>+AB5*1.15</f>
        <v>1771.27528125</v>
      </c>
      <c r="AD5" s="7">
        <f>+AC5*1.15</f>
        <v>2036.9665734374998</v>
      </c>
      <c r="AE5" s="7">
        <f>+AD5*1.15</f>
        <v>2342.5115594531248</v>
      </c>
    </row>
    <row r="6" spans="1:35" s="2" customFormat="1" x14ac:dyDescent="0.2">
      <c r="B6" s="2" t="s">
        <v>22</v>
      </c>
      <c r="C6" s="6"/>
      <c r="D6" s="6"/>
      <c r="E6" s="6"/>
      <c r="F6" s="6"/>
      <c r="G6" s="6">
        <v>42.582999999999998</v>
      </c>
      <c r="H6" s="6">
        <v>44.667000000000002</v>
      </c>
      <c r="I6" s="6">
        <v>43.765000000000001</v>
      </c>
      <c r="J6" s="6">
        <v>48.265999999999998</v>
      </c>
      <c r="K6" s="6">
        <v>50.137</v>
      </c>
      <c r="L6" s="6">
        <v>50.698999999999998</v>
      </c>
      <c r="M6" s="6">
        <v>53.26</v>
      </c>
      <c r="N6" s="6">
        <v>57.01</v>
      </c>
      <c r="O6" s="6"/>
      <c r="P6" s="6"/>
      <c r="Q6" s="6"/>
      <c r="R6" s="6"/>
      <c r="V6" s="2">
        <v>81.677000000000007</v>
      </c>
      <c r="W6" s="2">
        <v>144.17699999999999</v>
      </c>
      <c r="X6" s="2">
        <v>179.28100000000001</v>
      </c>
      <c r="Y6" s="12">
        <f>SUM(K6:N6)</f>
        <v>211.10599999999999</v>
      </c>
      <c r="Z6" s="2">
        <f>+Z5-Z7</f>
        <v>256.70656250000002</v>
      </c>
      <c r="AA6" s="2">
        <f>+AA5-AA7</f>
        <v>320.88320312500002</v>
      </c>
      <c r="AB6" s="2">
        <f>+AB5-AB7</f>
        <v>385.05984375000003</v>
      </c>
      <c r="AC6" s="2">
        <f>+AC5-AC7</f>
        <v>442.81882031250007</v>
      </c>
      <c r="AD6" s="2">
        <f>+AD5-AD7</f>
        <v>509.24164335937485</v>
      </c>
      <c r="AE6" s="2">
        <f>+AE5-AE7</f>
        <v>585.62788986328133</v>
      </c>
    </row>
    <row r="7" spans="1:35" s="2" customFormat="1" x14ac:dyDescent="0.2">
      <c r="B7" s="2" t="s">
        <v>23</v>
      </c>
      <c r="C7" s="6"/>
      <c r="D7" s="6"/>
      <c r="E7" s="6"/>
      <c r="F7" s="6"/>
      <c r="G7" s="6">
        <f>+G5-G6</f>
        <v>90.81</v>
      </c>
      <c r="H7" s="6">
        <f>+H5-H6</f>
        <v>104.75399999999999</v>
      </c>
      <c r="I7" s="6">
        <f>+I5-I6</f>
        <v>120.39999999999999</v>
      </c>
      <c r="J7" s="6">
        <f t="shared" ref="J7" si="0">+J5-J6</f>
        <v>125.90900000000002</v>
      </c>
      <c r="K7" s="6">
        <f>+K5-K6</f>
        <v>136.21799999999999</v>
      </c>
      <c r="L7" s="6">
        <f>+L5-L6</f>
        <v>148.238</v>
      </c>
      <c r="M7" s="6">
        <f>+M5-M6</f>
        <v>157.38800000000001</v>
      </c>
      <c r="N7" s="6">
        <f>+N5-N6</f>
        <v>168.511</v>
      </c>
      <c r="O7" s="6"/>
      <c r="P7" s="6"/>
      <c r="Q7" s="6"/>
      <c r="R7" s="6"/>
      <c r="V7" s="2">
        <f t="shared" ref="V7:W7" si="1">+V5-V6</f>
        <v>123.122</v>
      </c>
      <c r="W7" s="2">
        <f t="shared" si="1"/>
        <v>278.00199999999995</v>
      </c>
      <c r="X7" s="2">
        <f>+X5-X6</f>
        <v>441.87299999999999</v>
      </c>
      <c r="Y7" s="2">
        <f>+Y5-Y6</f>
        <v>610.35500000000002</v>
      </c>
      <c r="Z7" s="2">
        <f>+Z5*0.75</f>
        <v>770.11968750000005</v>
      </c>
      <c r="AA7" s="2">
        <f>+AA5*0.75</f>
        <v>962.64960937500007</v>
      </c>
      <c r="AB7" s="2">
        <f>+AB5*0.75</f>
        <v>1155.1795312500001</v>
      </c>
      <c r="AC7" s="2">
        <f>+AC5*0.75</f>
        <v>1328.4564609375</v>
      </c>
      <c r="AD7" s="2">
        <f>+AD5*0.75</f>
        <v>1527.724930078125</v>
      </c>
      <c r="AE7" s="2">
        <f>+AE5*0.75</f>
        <v>1756.8836695898435</v>
      </c>
    </row>
    <row r="8" spans="1:35" s="2" customFormat="1" x14ac:dyDescent="0.2">
      <c r="B8" s="2" t="s">
        <v>24</v>
      </c>
      <c r="C8" s="6"/>
      <c r="D8" s="6"/>
      <c r="E8" s="6"/>
      <c r="F8" s="6"/>
      <c r="G8" s="6">
        <v>55.262999999999998</v>
      </c>
      <c r="H8" s="6">
        <v>54.161000000000001</v>
      </c>
      <c r="I8" s="6">
        <v>52.305999999999997</v>
      </c>
      <c r="J8" s="6">
        <v>56.445999999999998</v>
      </c>
      <c r="K8" s="6">
        <v>58.320999999999998</v>
      </c>
      <c r="L8" s="6">
        <v>63.601999999999997</v>
      </c>
      <c r="M8" s="6">
        <v>70.453000000000003</v>
      </c>
      <c r="N8" s="6">
        <v>74.626000000000005</v>
      </c>
      <c r="O8" s="6"/>
      <c r="P8" s="6"/>
      <c r="Q8" s="6"/>
      <c r="R8" s="6"/>
      <c r="V8" s="2">
        <v>136.274</v>
      </c>
      <c r="W8" s="2">
        <v>207.00800000000001</v>
      </c>
      <c r="X8" s="2">
        <v>218.17599999999999</v>
      </c>
      <c r="Y8" s="12">
        <f t="shared" ref="Y8:Y9" si="2">SUM(K8:N8)</f>
        <v>267.00200000000001</v>
      </c>
      <c r="Z8" s="2">
        <f>+Y8*1.01</f>
        <v>269.67202000000003</v>
      </c>
      <c r="AA8" s="2">
        <f t="shared" ref="AA8:AD8" si="3">+Z8*1.01</f>
        <v>272.36874020000005</v>
      </c>
      <c r="AB8" s="2">
        <f t="shared" si="3"/>
        <v>275.09242760200004</v>
      </c>
      <c r="AC8" s="2">
        <f t="shared" si="3"/>
        <v>277.84335187802003</v>
      </c>
      <c r="AD8" s="2">
        <f t="shared" si="3"/>
        <v>280.62178539680025</v>
      </c>
      <c r="AE8" s="2">
        <f t="shared" ref="AE8" si="4">+AD8*1.01</f>
        <v>283.42800325076826</v>
      </c>
    </row>
    <row r="9" spans="1:35" s="2" customFormat="1" x14ac:dyDescent="0.2">
      <c r="B9" s="2" t="s">
        <v>25</v>
      </c>
      <c r="C9" s="6"/>
      <c r="D9" s="6"/>
      <c r="E9" s="6"/>
      <c r="F9" s="6"/>
      <c r="G9" s="6">
        <v>99.171000000000006</v>
      </c>
      <c r="H9" s="6">
        <v>98.262</v>
      </c>
      <c r="I9" s="6">
        <v>98.248999999999995</v>
      </c>
      <c r="J9" s="6">
        <v>101.47799999999999</v>
      </c>
      <c r="K9" s="6">
        <v>115.83</v>
      </c>
      <c r="L9" s="6">
        <v>119.617</v>
      </c>
      <c r="M9" s="6">
        <v>123.71299999999999</v>
      </c>
      <c r="N9" s="6">
        <v>128.065</v>
      </c>
      <c r="O9" s="6"/>
      <c r="P9" s="6"/>
      <c r="Q9" s="6"/>
      <c r="R9" s="6"/>
      <c r="V9" s="2">
        <v>160.57599999999999</v>
      </c>
      <c r="W9" s="2">
        <v>310.84800000000001</v>
      </c>
      <c r="X9" s="2">
        <v>397.16</v>
      </c>
      <c r="Y9" s="12">
        <f t="shared" si="2"/>
        <v>487.22499999999997</v>
      </c>
      <c r="Z9" s="2">
        <f t="shared" ref="Z9:AD9" si="5">+Y9*1.01</f>
        <v>492.09724999999997</v>
      </c>
      <c r="AA9" s="2">
        <f t="shared" si="5"/>
        <v>497.01822249999998</v>
      </c>
      <c r="AB9" s="2">
        <f t="shared" si="5"/>
        <v>501.98840472500001</v>
      </c>
      <c r="AC9" s="2">
        <f t="shared" si="5"/>
        <v>507.00828877225001</v>
      </c>
      <c r="AD9" s="2">
        <f t="shared" si="5"/>
        <v>512.0783716599725</v>
      </c>
      <c r="AE9" s="2">
        <f t="shared" ref="AE9" si="6">+AD9*1.01</f>
        <v>517.19915537657221</v>
      </c>
    </row>
    <row r="10" spans="1:35" s="2" customFormat="1" x14ac:dyDescent="0.2">
      <c r="B10" s="2" t="s">
        <v>26</v>
      </c>
      <c r="C10" s="6"/>
      <c r="D10" s="6"/>
      <c r="E10" s="6"/>
      <c r="F10" s="6"/>
      <c r="G10" s="6">
        <v>51.753</v>
      </c>
      <c r="H10" s="6">
        <v>48.433</v>
      </c>
      <c r="I10" s="6">
        <v>51.238999999999997</v>
      </c>
      <c r="J10" s="6">
        <v>46.822000000000003</v>
      </c>
      <c r="K10" s="6">
        <v>42.667000000000002</v>
      </c>
      <c r="L10" s="6">
        <v>44.4</v>
      </c>
      <c r="M10" s="6">
        <v>52.341999999999999</v>
      </c>
      <c r="N10" s="6">
        <v>46.078000000000003</v>
      </c>
      <c r="O10" s="6"/>
      <c r="P10" s="6"/>
      <c r="Q10" s="6"/>
      <c r="R10" s="6"/>
      <c r="V10" s="2">
        <v>93.504000000000005</v>
      </c>
      <c r="W10" s="2">
        <v>162.72200000000001</v>
      </c>
      <c r="X10" s="2">
        <v>198.24700000000001</v>
      </c>
      <c r="Y10" s="12">
        <f>SUM(K10:N10)</f>
        <v>185.48699999999999</v>
      </c>
      <c r="Z10" s="2">
        <f t="shared" ref="Z10:AD10" si="7">+Y10*1.01</f>
        <v>187.34187</v>
      </c>
      <c r="AA10" s="2">
        <f t="shared" si="7"/>
        <v>189.2152887</v>
      </c>
      <c r="AB10" s="2">
        <f t="shared" si="7"/>
        <v>191.10744158700001</v>
      </c>
      <c r="AC10" s="2">
        <f t="shared" si="7"/>
        <v>193.01851600287</v>
      </c>
      <c r="AD10" s="2">
        <f t="shared" si="7"/>
        <v>194.94870116289871</v>
      </c>
      <c r="AE10" s="2">
        <f t="shared" ref="AE10" si="8">+AD10*1.01</f>
        <v>196.89818817452772</v>
      </c>
    </row>
    <row r="11" spans="1:35" s="2" customFormat="1" x14ac:dyDescent="0.2">
      <c r="B11" s="2" t="s">
        <v>20</v>
      </c>
      <c r="C11" s="6"/>
      <c r="D11" s="6"/>
      <c r="E11" s="6"/>
      <c r="F11" s="6"/>
      <c r="G11" s="6">
        <f>+G10+G9+G8</f>
        <v>206.18700000000001</v>
      </c>
      <c r="H11" s="6">
        <f>+H10+H9+H8</f>
        <v>200.85599999999999</v>
      </c>
      <c r="I11" s="6">
        <f>+I10+I9+I8</f>
        <v>201.79399999999998</v>
      </c>
      <c r="J11" s="6">
        <f t="shared" ref="J11" si="9">+J10+J9+J8</f>
        <v>204.74600000000001</v>
      </c>
      <c r="K11" s="6">
        <f>+K10+K9+K8</f>
        <v>216.81800000000001</v>
      </c>
      <c r="L11" s="6">
        <f>+L10+L9+L8</f>
        <v>227.619</v>
      </c>
      <c r="M11" s="6">
        <f>+M10+M9+M8</f>
        <v>246.50800000000001</v>
      </c>
      <c r="N11" s="6">
        <f>+N10+N9+N8</f>
        <v>248.76900000000001</v>
      </c>
      <c r="O11" s="6"/>
      <c r="P11" s="6"/>
      <c r="Q11" s="6"/>
      <c r="R11" s="6"/>
      <c r="V11" s="2">
        <f>SUM(V8:V10)</f>
        <v>390.35400000000004</v>
      </c>
      <c r="W11" s="2">
        <f>SUM(W8:W10)</f>
        <v>680.57799999999997</v>
      </c>
      <c r="X11" s="2">
        <f>SUM(X8:X10)</f>
        <v>813.58300000000008</v>
      </c>
      <c r="Y11" s="2">
        <f>SUM(Y8:Y10)</f>
        <v>939.71399999999994</v>
      </c>
      <c r="Z11" s="2">
        <f t="shared" ref="Z11:AE11" si="10">SUM(Z8:Z10)</f>
        <v>949.11113999999998</v>
      </c>
      <c r="AA11" s="2">
        <f t="shared" si="10"/>
        <v>958.6022514</v>
      </c>
      <c r="AB11" s="2">
        <f t="shared" si="10"/>
        <v>968.18827391400009</v>
      </c>
      <c r="AC11" s="2">
        <f t="shared" si="10"/>
        <v>977.87015665314004</v>
      </c>
      <c r="AD11" s="2">
        <f t="shared" si="10"/>
        <v>987.64885821967141</v>
      </c>
      <c r="AE11" s="2">
        <f t="shared" si="10"/>
        <v>997.52534680186818</v>
      </c>
    </row>
    <row r="12" spans="1:35" s="2" customFormat="1" x14ac:dyDescent="0.2">
      <c r="B12" s="2" t="s">
        <v>21</v>
      </c>
      <c r="C12" s="6"/>
      <c r="D12" s="6"/>
      <c r="E12" s="6"/>
      <c r="F12" s="6"/>
      <c r="G12" s="6">
        <f>+G7-G11</f>
        <v>-115.37700000000001</v>
      </c>
      <c r="H12" s="6">
        <f>+H7-H11</f>
        <v>-96.102000000000004</v>
      </c>
      <c r="I12" s="6">
        <f>+I7-I11</f>
        <v>-81.393999999999991</v>
      </c>
      <c r="J12" s="6">
        <f t="shared" ref="J12" si="11">+J7-J11</f>
        <v>-78.836999999999989</v>
      </c>
      <c r="K12" s="6">
        <f>+K7-K11</f>
        <v>-80.600000000000023</v>
      </c>
      <c r="L12" s="6">
        <f>+L7-L11</f>
        <v>-79.381</v>
      </c>
      <c r="M12" s="6">
        <f>+M7-M11</f>
        <v>-89.12</v>
      </c>
      <c r="N12" s="6">
        <f>+N7-N11</f>
        <v>-80.25800000000001</v>
      </c>
      <c r="O12" s="6"/>
      <c r="P12" s="6"/>
      <c r="Q12" s="6"/>
      <c r="R12" s="6"/>
      <c r="V12" s="2">
        <f>+V7-V11</f>
        <v>-267.23200000000003</v>
      </c>
      <c r="W12" s="2">
        <f>+W7-W11</f>
        <v>-402.57600000000002</v>
      </c>
      <c r="X12" s="2">
        <f>+X7-X11</f>
        <v>-371.71000000000009</v>
      </c>
      <c r="Y12" s="2">
        <f>+Y7-Y11</f>
        <v>-329.35899999999992</v>
      </c>
      <c r="Z12" s="2">
        <f t="shared" ref="Z12:AE12" si="12">+Z7-Z11</f>
        <v>-178.99145249999992</v>
      </c>
      <c r="AA12" s="2">
        <f t="shared" si="12"/>
        <v>4.0473579750000681</v>
      </c>
      <c r="AB12" s="2">
        <f t="shared" si="12"/>
        <v>186.99125733599999</v>
      </c>
      <c r="AC12" s="2">
        <f t="shared" si="12"/>
        <v>350.58630428435993</v>
      </c>
      <c r="AD12" s="2">
        <f t="shared" si="12"/>
        <v>540.07607185845359</v>
      </c>
      <c r="AE12" s="2">
        <f t="shared" si="12"/>
        <v>759.35832278797534</v>
      </c>
    </row>
    <row r="13" spans="1:35" s="2" customFormat="1" x14ac:dyDescent="0.2">
      <c r="B13" s="2" t="s">
        <v>27</v>
      </c>
      <c r="C13" s="6"/>
      <c r="D13" s="6"/>
      <c r="E13" s="6"/>
      <c r="F13" s="6"/>
      <c r="G13" s="6">
        <v>10.535</v>
      </c>
      <c r="H13" s="6">
        <f>11.489+1.409</f>
        <v>12.898000000000001</v>
      </c>
      <c r="I13" s="6">
        <f>11.877+0.604</f>
        <v>12.481</v>
      </c>
      <c r="J13" s="6">
        <v>11.978999999999999</v>
      </c>
      <c r="K13" s="6">
        <v>12.082000000000001</v>
      </c>
      <c r="L13" s="6">
        <f>12.853-0.036-0.421</f>
        <v>12.396000000000001</v>
      </c>
      <c r="M13" s="6">
        <f>12.696-0.038-0.378</f>
        <v>12.28</v>
      </c>
      <c r="N13" s="6">
        <v>12.468999999999999</v>
      </c>
      <c r="O13" s="6"/>
      <c r="P13" s="6"/>
      <c r="Q13" s="6"/>
      <c r="R13" s="6"/>
      <c r="Y13" s="12">
        <f>SUM(K13:N13)</f>
        <v>49.227000000000004</v>
      </c>
      <c r="Z13" s="2">
        <f>+Y13</f>
        <v>49.227000000000004</v>
      </c>
      <c r="AA13" s="2">
        <f>+Z13</f>
        <v>49.227000000000004</v>
      </c>
      <c r="AB13" s="2">
        <f>+AA13</f>
        <v>49.227000000000004</v>
      </c>
      <c r="AC13" s="2">
        <f>+AB13</f>
        <v>49.227000000000004</v>
      </c>
      <c r="AD13" s="2">
        <f>+AC13</f>
        <v>49.227000000000004</v>
      </c>
      <c r="AE13" s="2">
        <f>+AD13</f>
        <v>49.227000000000004</v>
      </c>
    </row>
    <row r="14" spans="1:35" s="2" customFormat="1" x14ac:dyDescent="0.2">
      <c r="B14" s="2" t="s">
        <v>28</v>
      </c>
      <c r="C14" s="6"/>
      <c r="D14" s="6"/>
      <c r="E14" s="6"/>
      <c r="F14" s="6"/>
      <c r="G14" s="6">
        <f t="shared" ref="G14:J14" si="13">+G12+G13</f>
        <v>-104.84200000000001</v>
      </c>
      <c r="H14" s="6">
        <f t="shared" si="13"/>
        <v>-83.204000000000008</v>
      </c>
      <c r="I14" s="6">
        <f t="shared" si="13"/>
        <v>-68.912999999999997</v>
      </c>
      <c r="J14" s="6">
        <f t="shared" si="13"/>
        <v>-66.85799999999999</v>
      </c>
      <c r="K14" s="6">
        <f>+K12+K13</f>
        <v>-68.518000000000029</v>
      </c>
      <c r="L14" s="6">
        <f>+L12+L13</f>
        <v>-66.984999999999999</v>
      </c>
      <c r="M14" s="6">
        <f>+M12+M13</f>
        <v>-76.84</v>
      </c>
      <c r="N14" s="6">
        <f>+N12+N13</f>
        <v>-67.789000000000016</v>
      </c>
      <c r="O14" s="6"/>
      <c r="P14" s="6"/>
      <c r="Q14" s="6"/>
      <c r="R14" s="6"/>
      <c r="V14" s="6">
        <f t="shared" ref="V14:AE14" si="14">+V12+V13</f>
        <v>-267.23200000000003</v>
      </c>
      <c r="W14" s="6">
        <f t="shared" si="14"/>
        <v>-402.57600000000002</v>
      </c>
      <c r="X14" s="6">
        <f t="shared" si="14"/>
        <v>-371.71000000000009</v>
      </c>
      <c r="Y14" s="6">
        <f t="shared" si="14"/>
        <v>-280.13199999999995</v>
      </c>
      <c r="Z14" s="6">
        <f t="shared" si="14"/>
        <v>-129.76445249999992</v>
      </c>
      <c r="AA14" s="6">
        <f t="shared" si="14"/>
        <v>53.274357975000072</v>
      </c>
      <c r="AB14" s="6">
        <f t="shared" si="14"/>
        <v>236.21825733599999</v>
      </c>
      <c r="AC14" s="6">
        <f t="shared" si="14"/>
        <v>399.8133042843599</v>
      </c>
      <c r="AD14" s="6">
        <f t="shared" si="14"/>
        <v>589.30307185845356</v>
      </c>
      <c r="AE14" s="6">
        <f t="shared" si="14"/>
        <v>808.58532278797531</v>
      </c>
    </row>
    <row r="15" spans="1:35" s="2" customFormat="1" x14ac:dyDescent="0.2">
      <c r="B15" s="2" t="s">
        <v>30</v>
      </c>
      <c r="C15" s="6"/>
      <c r="D15" s="6"/>
      <c r="E15" s="6"/>
      <c r="F15" s="6"/>
      <c r="G15" s="6">
        <v>1.0609999999999999</v>
      </c>
      <c r="H15" s="6">
        <v>1.474</v>
      </c>
      <c r="I15" s="6">
        <v>1.3169999999999999</v>
      </c>
      <c r="J15" s="6">
        <v>1.512</v>
      </c>
      <c r="K15" s="6">
        <v>1.512</v>
      </c>
      <c r="L15" s="6">
        <v>2.1989999999999998</v>
      </c>
      <c r="M15" s="6">
        <v>1.524</v>
      </c>
      <c r="N15" s="6">
        <v>1.599</v>
      </c>
      <c r="O15" s="6"/>
      <c r="P15" s="6"/>
      <c r="Q15" s="6"/>
      <c r="R15" s="6"/>
      <c r="Y15" s="12">
        <f>SUM(K15:N15)</f>
        <v>6.8339999999999996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</row>
    <row r="16" spans="1:35" x14ac:dyDescent="0.2">
      <c r="B16" s="2" t="s">
        <v>29</v>
      </c>
      <c r="G16" s="6">
        <f>+G14-G15</f>
        <v>-105.90300000000002</v>
      </c>
      <c r="H16" s="6">
        <f>+H14-H15</f>
        <v>-84.678000000000011</v>
      </c>
      <c r="I16" s="6">
        <f>+I14-I15</f>
        <v>-70.22999999999999</v>
      </c>
      <c r="J16" s="6">
        <f t="shared" ref="J16" si="15">+J14-J15</f>
        <v>-68.36999999999999</v>
      </c>
      <c r="K16" s="6">
        <f t="shared" ref="K16:N16" si="16">+K14-K15</f>
        <v>-70.03000000000003</v>
      </c>
      <c r="L16" s="6">
        <f t="shared" si="16"/>
        <v>-69.183999999999997</v>
      </c>
      <c r="M16" s="6">
        <f t="shared" si="16"/>
        <v>-78.364000000000004</v>
      </c>
      <c r="N16" s="6">
        <f t="shared" si="16"/>
        <v>-69.388000000000019</v>
      </c>
      <c r="O16" s="6"/>
      <c r="P16" s="6"/>
      <c r="Q16" s="6"/>
      <c r="R16" s="6"/>
      <c r="V16" s="2">
        <f>+V14-V15</f>
        <v>-267.23200000000003</v>
      </c>
      <c r="W16" s="2">
        <f>+W14-W15</f>
        <v>-402.57600000000002</v>
      </c>
      <c r="X16" s="2">
        <f>+X14-X15</f>
        <v>-371.71000000000009</v>
      </c>
      <c r="Y16" s="2">
        <f>+Y14-Y15</f>
        <v>-286.96599999999995</v>
      </c>
      <c r="Z16" s="2">
        <f>+Z14-Z15</f>
        <v>-129.76445249999992</v>
      </c>
      <c r="AA16" s="2">
        <f>+AA14-AA15</f>
        <v>53.274357975000072</v>
      </c>
      <c r="AB16" s="2">
        <f>+AB14-AB15</f>
        <v>236.21825733599999</v>
      </c>
      <c r="AC16" s="2">
        <f>+AC14-AC15</f>
        <v>399.8133042843599</v>
      </c>
      <c r="AD16" s="2">
        <f>+AD14-AD15</f>
        <v>589.30307185845356</v>
      </c>
      <c r="AE16" s="2">
        <f>+AE14-AE15</f>
        <v>808.58532278797531</v>
      </c>
    </row>
    <row r="17" spans="2:25" x14ac:dyDescent="0.2">
      <c r="B17" s="2" t="s">
        <v>32</v>
      </c>
      <c r="G17" s="9">
        <f>+G16/G18</f>
        <v>-0.36733520995031915</v>
      </c>
      <c r="H17" s="9">
        <f>+H16/H18</f>
        <v>-0.28883543397002076</v>
      </c>
      <c r="I17" s="9">
        <f>+I16/I18</f>
        <v>-0.23955351481747977</v>
      </c>
      <c r="J17" s="9">
        <f t="shared" ref="J17" si="17">+J16/J18</f>
        <v>-0.22087064948663659</v>
      </c>
      <c r="K17" s="9">
        <f>+K16/K18</f>
        <v>-0.22623331261590127</v>
      </c>
      <c r="L17" s="9">
        <f>+L16/L18</f>
        <v>-0.22350029273195068</v>
      </c>
      <c r="M17" s="9">
        <f>+M16/M18</f>
        <v>-0.2506721267152911</v>
      </c>
      <c r="N17" s="9">
        <f>+N16/N18</f>
        <v>-0.21586151386969804</v>
      </c>
      <c r="O17" s="9"/>
      <c r="P17" s="9"/>
      <c r="Q17" s="9"/>
      <c r="R17" s="9"/>
    </row>
    <row r="18" spans="2:25" x14ac:dyDescent="0.2">
      <c r="B18" s="2" t="s">
        <v>1</v>
      </c>
      <c r="G18" s="6">
        <v>288.30070499999999</v>
      </c>
      <c r="H18" s="6">
        <v>293.17040100000003</v>
      </c>
      <c r="I18" s="6">
        <v>293.17040100000003</v>
      </c>
      <c r="J18" s="6">
        <v>309.54769299999998</v>
      </c>
      <c r="K18" s="6">
        <v>309.54769299999998</v>
      </c>
      <c r="L18" s="6">
        <v>309.54769299999998</v>
      </c>
      <c r="M18" s="6">
        <v>312.61553099999998</v>
      </c>
      <c r="N18" s="6">
        <v>321.44683300000003</v>
      </c>
      <c r="O18" s="6"/>
      <c r="P18" s="6"/>
      <c r="Q18" s="6"/>
      <c r="R18" s="6"/>
      <c r="V18" t="e">
        <f>AVERAGE(C18:F18)</f>
        <v>#DIV/0!</v>
      </c>
      <c r="W18" s="2">
        <f>AVERAGE(G18:J18)</f>
        <v>296.04730000000001</v>
      </c>
      <c r="X18" s="2">
        <f>AVERAGE(K18:N18)</f>
        <v>313.28943749999996</v>
      </c>
    </row>
    <row r="20" spans="2:25" x14ac:dyDescent="0.2">
      <c r="B20" s="2" t="s">
        <v>33</v>
      </c>
      <c r="K20" s="10">
        <f>+K5/G5-1</f>
        <v>0.39703732579670592</v>
      </c>
      <c r="L20" s="10">
        <f>+L5/H5-1</f>
        <v>0.33138581591610294</v>
      </c>
      <c r="M20" s="10">
        <f>+M5/I5-1</f>
        <v>0.28314805226449002</v>
      </c>
      <c r="N20" s="10">
        <f>+N5/J5-1</f>
        <v>0.29479546433185</v>
      </c>
      <c r="O20" s="10"/>
      <c r="P20" s="10"/>
      <c r="Q20" s="10"/>
      <c r="R20" s="10"/>
      <c r="V20" s="13"/>
      <c r="W20" s="13">
        <f>+W5/V5-1</f>
        <v>1.061430964018379</v>
      </c>
      <c r="X20" s="13">
        <f>+X5/W5-1</f>
        <v>0.47130482567820775</v>
      </c>
      <c r="Y20" s="13">
        <f>+Y5/X5-1</f>
        <v>0.32247558576456092</v>
      </c>
    </row>
    <row r="21" spans="2:25" x14ac:dyDescent="0.2">
      <c r="B21" s="2" t="s">
        <v>34</v>
      </c>
      <c r="G21" s="10">
        <f t="shared" ref="G21:J21" si="18">+G7/G5</f>
        <v>0.68077035526601848</v>
      </c>
      <c r="H21" s="10">
        <f t="shared" si="18"/>
        <v>0.70106611520469009</v>
      </c>
      <c r="I21" s="10">
        <f t="shared" si="18"/>
        <v>0.73340846099960399</v>
      </c>
      <c r="J21" s="10">
        <f t="shared" si="18"/>
        <v>0.72288790010047377</v>
      </c>
      <c r="K21" s="10">
        <f>+K7/K5</f>
        <v>0.73095972740200155</v>
      </c>
      <c r="L21" s="10">
        <f>+L7/L5</f>
        <v>0.74515047477342067</v>
      </c>
      <c r="M21" s="10">
        <f>+M7/M5</f>
        <v>0.74716114086058261</v>
      </c>
      <c r="N21" s="10">
        <f>+N7/N5</f>
        <v>0.74720757712142105</v>
      </c>
      <c r="O21" s="10"/>
      <c r="P21" s="10"/>
      <c r="Q21" s="10"/>
      <c r="R21" s="10"/>
    </row>
    <row r="23" spans="2:25" s="2" customFormat="1" x14ac:dyDescent="0.2">
      <c r="B23" s="2" t="s">
        <v>31</v>
      </c>
      <c r="C23" s="6"/>
      <c r="D23" s="6"/>
      <c r="E23" s="6"/>
      <c r="F23" s="6"/>
      <c r="G23" s="6">
        <v>-28.059000000000001</v>
      </c>
      <c r="H23" s="6">
        <f>-39.962-G23</f>
        <v>-11.903000000000002</v>
      </c>
      <c r="I23" s="6">
        <f>-62.192-H23-G23</f>
        <v>-22.23</v>
      </c>
      <c r="J23" s="6"/>
      <c r="K23" s="6">
        <v>42.003</v>
      </c>
      <c r="L23" s="6">
        <f>44.303-K23</f>
        <v>2.2999999999999972</v>
      </c>
      <c r="M23" s="6">
        <f>37.129-L23-K23</f>
        <v>-7.1739999999999995</v>
      </c>
      <c r="N23" s="6"/>
      <c r="O23" s="6"/>
      <c r="P23" s="6"/>
      <c r="Q23" s="6"/>
      <c r="R23" s="6"/>
      <c r="V23" s="2">
        <v>-95.587999999999994</v>
      </c>
      <c r="W23" s="2">
        <v>-193.28700000000001</v>
      </c>
      <c r="X23" s="2">
        <v>-68.373999999999995</v>
      </c>
    </row>
  </sheetData>
  <hyperlinks>
    <hyperlink ref="A1" location="Main!A1" display="Main" xr:uid="{47B83C15-C181-40D1-B9D3-D4E32597EA4D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2025-03-14T14:55:37Z</dcterms:created>
  <dcterms:modified xsi:type="dcterms:W3CDTF">2025-03-14T16:37:17Z</dcterms:modified>
</cp:coreProperties>
</file>