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0D20D5A-918F-4834-892B-5B3ADB1299CB}" xr6:coauthVersionLast="47" xr6:coauthVersionMax="47" xr10:uidLastSave="{00000000-0000-0000-0000-000000000000}"/>
  <bookViews>
    <workbookView xWindow="-51600" yWindow="495" windowWidth="25530" windowHeight="20280" activeTab="2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35" i="1" l="1"/>
  <c r="CK35" i="1"/>
  <c r="CJ35" i="1"/>
  <c r="CI35" i="1"/>
  <c r="BK7" i="1"/>
  <c r="BK58" i="1"/>
  <c r="BK37" i="1"/>
  <c r="BK76" i="1" s="1"/>
  <c r="BN76" i="1"/>
  <c r="BM76" i="1"/>
  <c r="BL76" i="1"/>
  <c r="CH98" i="1"/>
  <c r="CG99" i="1"/>
  <c r="CG98" i="1"/>
  <c r="CI32" i="1"/>
  <c r="CJ32" i="1" s="1"/>
  <c r="CK32" i="1" s="1"/>
  <c r="CL32" i="1" s="1"/>
  <c r="CI31" i="1"/>
  <c r="CJ31" i="1" s="1"/>
  <c r="CK31" i="1" s="1"/>
  <c r="CL31" i="1" s="1"/>
  <c r="CI30" i="1"/>
  <c r="CJ30" i="1" s="1"/>
  <c r="CK30" i="1" s="1"/>
  <c r="CL30" i="1" s="1"/>
  <c r="CI29" i="1"/>
  <c r="CJ29" i="1" s="1"/>
  <c r="CK29" i="1" s="1"/>
  <c r="CL29" i="1" s="1"/>
  <c r="CI28" i="1"/>
  <c r="CJ28" i="1" s="1"/>
  <c r="CK28" i="1" s="1"/>
  <c r="CL28" i="1" s="1"/>
  <c r="CI27" i="1"/>
  <c r="CJ27" i="1" s="1"/>
  <c r="CK27" i="1" s="1"/>
  <c r="CL27" i="1" s="1"/>
  <c r="CI26" i="1"/>
  <c r="CJ26" i="1" s="1"/>
  <c r="CK26" i="1" s="1"/>
  <c r="CL26" i="1" s="1"/>
  <c r="CI25" i="1"/>
  <c r="CJ25" i="1" s="1"/>
  <c r="CK25" i="1" s="1"/>
  <c r="CL25" i="1" s="1"/>
  <c r="CI24" i="1"/>
  <c r="CJ24" i="1" s="1"/>
  <c r="CK24" i="1" s="1"/>
  <c r="CL24" i="1" s="1"/>
  <c r="CI23" i="1"/>
  <c r="CJ23" i="1" s="1"/>
  <c r="CK23" i="1" s="1"/>
  <c r="CL23" i="1" s="1"/>
  <c r="CI22" i="1"/>
  <c r="CJ22" i="1" s="1"/>
  <c r="CK22" i="1" s="1"/>
  <c r="CL22" i="1" s="1"/>
  <c r="CI21" i="1"/>
  <c r="CJ21" i="1" s="1"/>
  <c r="CK21" i="1" s="1"/>
  <c r="CL21" i="1" s="1"/>
  <c r="CI20" i="1"/>
  <c r="CJ20" i="1" s="1"/>
  <c r="CK20" i="1" s="1"/>
  <c r="CL20" i="1" s="1"/>
  <c r="CI19" i="1"/>
  <c r="CJ19" i="1" s="1"/>
  <c r="CK19" i="1" s="1"/>
  <c r="CL19" i="1" s="1"/>
  <c r="CI18" i="1"/>
  <c r="CJ18" i="1" s="1"/>
  <c r="CK18" i="1" s="1"/>
  <c r="CL18" i="1" s="1"/>
  <c r="CI17" i="1"/>
  <c r="CJ17" i="1" s="1"/>
  <c r="CK17" i="1" s="1"/>
  <c r="CL17" i="1" s="1"/>
  <c r="CI68" i="1"/>
  <c r="CJ68" i="1" s="1"/>
  <c r="CK68" i="1" s="1"/>
  <c r="CL68" i="1" s="1"/>
  <c r="CI67" i="1"/>
  <c r="CJ67" i="1" s="1"/>
  <c r="CK67" i="1" s="1"/>
  <c r="CL67" i="1" s="1"/>
  <c r="CI66" i="1"/>
  <c r="CJ66" i="1" s="1"/>
  <c r="CK66" i="1" s="1"/>
  <c r="CL66" i="1" s="1"/>
  <c r="CH62" i="1"/>
  <c r="CI62" i="1" s="1"/>
  <c r="CJ62" i="1" s="1"/>
  <c r="CK62" i="1" s="1"/>
  <c r="CL62" i="1" s="1"/>
  <c r="CH61" i="1"/>
  <c r="CI61" i="1" s="1"/>
  <c r="CJ61" i="1" s="1"/>
  <c r="CK61" i="1" s="1"/>
  <c r="CL61" i="1" s="1"/>
  <c r="CL71" i="1"/>
  <c r="CK71" i="1"/>
  <c r="CJ71" i="1"/>
  <c r="CI71" i="1"/>
  <c r="CH71" i="1"/>
  <c r="DJ3" i="1"/>
  <c r="CG83" i="1"/>
  <c r="CG81" i="1"/>
  <c r="CG77" i="1"/>
  <c r="CK16" i="1" l="1"/>
  <c r="CJ16" i="1"/>
  <c r="CI16" i="1"/>
  <c r="CL16" i="1"/>
  <c r="CL15" i="1"/>
  <c r="CK15" i="1"/>
  <c r="CJ15" i="1"/>
  <c r="CI15" i="1"/>
  <c r="CK14" i="1"/>
  <c r="CJ14" i="1"/>
  <c r="CI14" i="1"/>
  <c r="CL14" i="1"/>
  <c r="CI13" i="1"/>
  <c r="CJ13" i="1" s="1"/>
  <c r="CK13" i="1" s="1"/>
  <c r="CL13" i="1" s="1"/>
  <c r="CL12" i="1"/>
  <c r="CK12" i="1"/>
  <c r="CJ12" i="1"/>
  <c r="CI12" i="1"/>
  <c r="CI11" i="1"/>
  <c r="CJ11" i="1" s="1"/>
  <c r="CK11" i="1" s="1"/>
  <c r="CL11" i="1" s="1"/>
  <c r="CI10" i="1"/>
  <c r="CJ10" i="1" s="1"/>
  <c r="CK10" i="1" s="1"/>
  <c r="CL10" i="1" s="1"/>
  <c r="CK9" i="1"/>
  <c r="CJ9" i="1"/>
  <c r="CI9" i="1"/>
  <c r="CL9" i="1"/>
  <c r="CI8" i="1"/>
  <c r="CJ8" i="1" s="1"/>
  <c r="CK8" i="1" s="1"/>
  <c r="CL8" i="1" s="1"/>
  <c r="CK6" i="1"/>
  <c r="CJ6" i="1"/>
  <c r="CI6" i="1"/>
  <c r="CL6" i="1"/>
  <c r="CI5" i="1"/>
  <c r="CJ5" i="1" s="1"/>
  <c r="CK5" i="1" s="1"/>
  <c r="CL5" i="1" s="1"/>
  <c r="CK4" i="1"/>
  <c r="CK99" i="1" s="1"/>
  <c r="CJ4" i="1"/>
  <c r="CJ99" i="1" s="1"/>
  <c r="CI4" i="1"/>
  <c r="CI99" i="1" s="1"/>
  <c r="CH99" i="1"/>
  <c r="CK7" i="1"/>
  <c r="CJ7" i="1"/>
  <c r="CI7" i="1"/>
  <c r="CL7" i="1"/>
  <c r="CL3" i="1"/>
  <c r="CL98" i="1" s="1"/>
  <c r="CK3" i="1"/>
  <c r="CK98" i="1" s="1"/>
  <c r="CJ3" i="1"/>
  <c r="CJ98" i="1" s="1"/>
  <c r="CI3" i="1"/>
  <c r="BY83" i="1"/>
  <c r="BY81" i="1"/>
  <c r="BY77" i="1"/>
  <c r="BY37" i="1"/>
  <c r="BY7" i="1"/>
  <c r="BY72" i="1"/>
  <c r="BZ83" i="1"/>
  <c r="BZ81" i="1"/>
  <c r="BZ77" i="1"/>
  <c r="BZ37" i="1"/>
  <c r="BZ7" i="1"/>
  <c r="BZ76" i="1" s="1"/>
  <c r="BZ78" i="1" s="1"/>
  <c r="BZ93" i="1" s="1"/>
  <c r="CF70" i="1"/>
  <c r="CF76" i="1" s="1"/>
  <c r="CA83" i="1"/>
  <c r="CA81" i="1"/>
  <c r="CA77" i="1"/>
  <c r="CA70" i="1"/>
  <c r="CA7" i="1"/>
  <c r="CB83" i="1"/>
  <c r="CB81" i="1"/>
  <c r="CB77" i="1"/>
  <c r="CB7" i="1"/>
  <c r="CB70" i="1"/>
  <c r="CC83" i="1"/>
  <c r="CC81" i="1"/>
  <c r="CC77" i="1"/>
  <c r="CC70" i="1"/>
  <c r="CC7" i="1"/>
  <c r="CD83" i="1"/>
  <c r="CD81" i="1"/>
  <c r="CD77" i="1"/>
  <c r="CD7" i="1"/>
  <c r="CD70" i="1"/>
  <c r="CD76" i="1" s="1"/>
  <c r="CD78" i="1" s="1"/>
  <c r="BS99" i="1"/>
  <c r="CD99" i="1"/>
  <c r="CC99" i="1"/>
  <c r="CB99" i="1"/>
  <c r="CA99" i="1"/>
  <c r="BZ99" i="1"/>
  <c r="BY99" i="1"/>
  <c r="BX99" i="1"/>
  <c r="BW99" i="1"/>
  <c r="BV99" i="1"/>
  <c r="BU99" i="1"/>
  <c r="BT99" i="1"/>
  <c r="CF99" i="1"/>
  <c r="CE99" i="1"/>
  <c r="CF98" i="1"/>
  <c r="CE98" i="1"/>
  <c r="CE83" i="1"/>
  <c r="CE81" i="1"/>
  <c r="CE77" i="1"/>
  <c r="CE78" i="1" s="1"/>
  <c r="CE76" i="1"/>
  <c r="CF83" i="1"/>
  <c r="CF81" i="1"/>
  <c r="CF77" i="1"/>
  <c r="CG76" i="1"/>
  <c r="BZ98" i="1"/>
  <c r="BY98" i="1"/>
  <c r="BX98" i="1"/>
  <c r="BS98" i="1"/>
  <c r="BO83" i="1"/>
  <c r="BO81" i="1"/>
  <c r="BO77" i="1"/>
  <c r="BO72" i="1"/>
  <c r="BO7" i="1"/>
  <c r="BO37" i="1"/>
  <c r="BP83" i="1"/>
  <c r="BP77" i="1"/>
  <c r="BP81" i="1"/>
  <c r="BP7" i="1"/>
  <c r="BP72" i="1"/>
  <c r="BP37" i="1"/>
  <c r="BP76" i="1" s="1"/>
  <c r="BT98" i="1"/>
  <c r="BU98" i="1"/>
  <c r="BQ7" i="1"/>
  <c r="BW76" i="1"/>
  <c r="BQ72" i="1"/>
  <c r="BQ37" i="1"/>
  <c r="DF3" i="1"/>
  <c r="DH3" i="1"/>
  <c r="DG3" i="1"/>
  <c r="BV98" i="1"/>
  <c r="BR72" i="1"/>
  <c r="BR76" i="1" s="1"/>
  <c r="BW98" i="1"/>
  <c r="BS72" i="1"/>
  <c r="BS76" i="1" s="1"/>
  <c r="BQ83" i="1"/>
  <c r="BQ77" i="1"/>
  <c r="BQ81" i="1"/>
  <c r="BU83" i="1"/>
  <c r="BU77" i="1"/>
  <c r="BT83" i="1"/>
  <c r="BX83" i="1"/>
  <c r="BX77" i="1"/>
  <c r="CD98" i="1"/>
  <c r="BT77" i="1"/>
  <c r="BX81" i="1"/>
  <c r="CA98" i="1"/>
  <c r="CC98" i="1"/>
  <c r="BT72" i="1"/>
  <c r="BT76" i="1" s="1"/>
  <c r="BU72" i="1"/>
  <c r="BU76" i="1" s="1"/>
  <c r="BX37" i="1"/>
  <c r="BX72" i="1"/>
  <c r="BR83" i="1"/>
  <c r="BR77" i="1"/>
  <c r="BV83" i="1"/>
  <c r="BV81" i="1"/>
  <c r="BU81" i="1"/>
  <c r="BT81" i="1"/>
  <c r="BS81" i="1"/>
  <c r="BR81" i="1"/>
  <c r="BV77" i="1"/>
  <c r="BV64" i="1"/>
  <c r="BS83" i="1"/>
  <c r="BW83" i="1"/>
  <c r="BW81" i="1"/>
  <c r="BW77" i="1"/>
  <c r="BS77" i="1"/>
  <c r="AR64" i="1"/>
  <c r="AR76" i="1" s="1"/>
  <c r="CE93" i="1" l="1"/>
  <c r="CE82" i="1"/>
  <c r="CE84" i="1" s="1"/>
  <c r="CD82" i="1"/>
  <c r="CD93" i="1"/>
  <c r="CL4" i="1"/>
  <c r="CL99" i="1" s="1"/>
  <c r="CG96" i="1"/>
  <c r="CG78" i="1"/>
  <c r="DK3" i="1"/>
  <c r="CI98" i="1"/>
  <c r="CC82" i="1"/>
  <c r="CC84" i="1" s="1"/>
  <c r="CH76" i="1"/>
  <c r="CH96" i="1" s="1"/>
  <c r="CI76" i="1"/>
  <c r="CI96" i="1" s="1"/>
  <c r="BZ82" i="1"/>
  <c r="BZ84" i="1" s="1"/>
  <c r="CF78" i="1"/>
  <c r="CF82" i="1" s="1"/>
  <c r="CF84" i="1" s="1"/>
  <c r="CD84" i="1"/>
  <c r="BU78" i="1"/>
  <c r="BU93" i="1" s="1"/>
  <c r="BO76" i="1"/>
  <c r="BS96" i="1" s="1"/>
  <c r="BT96" i="1"/>
  <c r="BW96" i="1"/>
  <c r="BQ76" i="1"/>
  <c r="BU96" i="1" s="1"/>
  <c r="BX76" i="1"/>
  <c r="BX78" i="1" s="1"/>
  <c r="BX82" i="1" s="1"/>
  <c r="BX84" i="1" s="1"/>
  <c r="BP78" i="1"/>
  <c r="BP82" i="1" s="1"/>
  <c r="BP84" i="1" s="1"/>
  <c r="BV76" i="1"/>
  <c r="BV78" i="1" s="1"/>
  <c r="DI3" i="1"/>
  <c r="CB76" i="1"/>
  <c r="CB98" i="1"/>
  <c r="CC76" i="1"/>
  <c r="CC78" i="1" s="1"/>
  <c r="CC93" i="1" s="1"/>
  <c r="BS78" i="1"/>
  <c r="BS93" i="1" s="1"/>
  <c r="CA76" i="1"/>
  <c r="CA78" i="1" s="1"/>
  <c r="CA93" i="1" s="1"/>
  <c r="BT78" i="1"/>
  <c r="BT93" i="1" s="1"/>
  <c r="BW78" i="1"/>
  <c r="BY76" i="1"/>
  <c r="BR78" i="1"/>
  <c r="BR93" i="1" s="1"/>
  <c r="AN83" i="1"/>
  <c r="AN76" i="1"/>
  <c r="AN78" i="1" s="1"/>
  <c r="AO64" i="1"/>
  <c r="AO76" i="1" s="1"/>
  <c r="AO83" i="1"/>
  <c r="AO81" i="1"/>
  <c r="AN81" i="1"/>
  <c r="AM81" i="1"/>
  <c r="AM82" i="1" s="1"/>
  <c r="AL81" i="1"/>
  <c r="AL82" i="1" s="1"/>
  <c r="AK81" i="1"/>
  <c r="AK82" i="1" s="1"/>
  <c r="AJ81" i="1"/>
  <c r="AJ82" i="1" s="1"/>
  <c r="AI81" i="1"/>
  <c r="AI82" i="1" s="1"/>
  <c r="CC94" i="1" l="1"/>
  <c r="CC87" i="1"/>
  <c r="CC89" i="1" s="1"/>
  <c r="CC90" i="1" s="1"/>
  <c r="CD87" i="1"/>
  <c r="CD89" i="1" s="1"/>
  <c r="CD90" i="1" s="1"/>
  <c r="CD94" i="1"/>
  <c r="CG82" i="1"/>
  <c r="CG84" i="1" s="1"/>
  <c r="CG93" i="1"/>
  <c r="CE87" i="1"/>
  <c r="CE89" i="1" s="1"/>
  <c r="CE90" i="1" s="1"/>
  <c r="CE94" i="1"/>
  <c r="CF96" i="1"/>
  <c r="CB78" i="1"/>
  <c r="BO78" i="1"/>
  <c r="BO93" i="1" s="1"/>
  <c r="BT82" i="1"/>
  <c r="BT84" i="1" s="1"/>
  <c r="CA82" i="1"/>
  <c r="CA84" i="1" s="1"/>
  <c r="BY96" i="1"/>
  <c r="BY78" i="1"/>
  <c r="CJ76" i="1"/>
  <c r="CJ96" i="1" s="1"/>
  <c r="BZ87" i="1"/>
  <c r="BZ89" i="1" s="1"/>
  <c r="BZ90" i="1" s="1"/>
  <c r="BZ94" i="1"/>
  <c r="CF93" i="1"/>
  <c r="CA96" i="1"/>
  <c r="CE96" i="1"/>
  <c r="CF94" i="1"/>
  <c r="CF87" i="1"/>
  <c r="CF89" i="1" s="1"/>
  <c r="CF90" i="1" s="1"/>
  <c r="BO82" i="1"/>
  <c r="BO84" i="1" s="1"/>
  <c r="BO94" i="1" s="1"/>
  <c r="BV96" i="1"/>
  <c r="BX96" i="1"/>
  <c r="BU82" i="1"/>
  <c r="BU84" i="1" s="1"/>
  <c r="BU87" i="1" s="1"/>
  <c r="BU89" i="1" s="1"/>
  <c r="BU90" i="1" s="1"/>
  <c r="BP93" i="1"/>
  <c r="BZ96" i="1"/>
  <c r="CB96" i="1"/>
  <c r="BV93" i="1"/>
  <c r="BV82" i="1"/>
  <c r="BV84" i="1" s="1"/>
  <c r="BV87" i="1" s="1"/>
  <c r="BV89" i="1" s="1"/>
  <c r="BV90" i="1" s="1"/>
  <c r="CD96" i="1"/>
  <c r="CC96" i="1"/>
  <c r="BP94" i="1"/>
  <c r="BP87" i="1"/>
  <c r="BP89" i="1" s="1"/>
  <c r="BP90" i="1" s="1"/>
  <c r="BQ78" i="1"/>
  <c r="BQ93" i="1" s="1"/>
  <c r="BS82" i="1"/>
  <c r="BS84" i="1" s="1"/>
  <c r="BS87" i="1" s="1"/>
  <c r="BS89" i="1" s="1"/>
  <c r="BS90" i="1" s="1"/>
  <c r="BR82" i="1"/>
  <c r="BR84" i="1" s="1"/>
  <c r="BR87" i="1" s="1"/>
  <c r="BR89" i="1" s="1"/>
  <c r="BR90" i="1" s="1"/>
  <c r="BX94" i="1"/>
  <c r="BX87" i="1"/>
  <c r="BX89" i="1" s="1"/>
  <c r="BX90" i="1" s="1"/>
  <c r="BX93" i="1"/>
  <c r="BW82" i="1"/>
  <c r="BW84" i="1" s="1"/>
  <c r="BW93" i="1"/>
  <c r="BT87" i="1"/>
  <c r="BT89" i="1" s="1"/>
  <c r="BT90" i="1" s="1"/>
  <c r="BT94" i="1"/>
  <c r="AN82" i="1"/>
  <c r="AN84" i="1" s="1"/>
  <c r="AN87" i="1" s="1"/>
  <c r="AN89" i="1" s="1"/>
  <c r="AN90" i="1" s="1"/>
  <c r="CB93" i="1" l="1"/>
  <c r="CB82" i="1"/>
  <c r="CB84" i="1" s="1"/>
  <c r="CG87" i="1"/>
  <c r="CG89" i="1" s="1"/>
  <c r="CG90" i="1" s="1"/>
  <c r="CG94" i="1"/>
  <c r="BO87" i="1"/>
  <c r="BO89" i="1" s="1"/>
  <c r="BO90" i="1" s="1"/>
  <c r="CA87" i="1"/>
  <c r="CA89" i="1" s="1"/>
  <c r="CA90" i="1" s="1"/>
  <c r="CA94" i="1"/>
  <c r="BY93" i="1"/>
  <c r="BY82" i="1"/>
  <c r="BY84" i="1" s="1"/>
  <c r="CL76" i="1"/>
  <c r="CL96" i="1" s="1"/>
  <c r="CK76" i="1"/>
  <c r="CK96" i="1" s="1"/>
  <c r="BV94" i="1"/>
  <c r="BU94" i="1"/>
  <c r="BQ82" i="1"/>
  <c r="BQ84" i="1" s="1"/>
  <c r="BQ94" i="1" s="1"/>
  <c r="BS94" i="1"/>
  <c r="BR94" i="1"/>
  <c r="BW87" i="1"/>
  <c r="BW89" i="1" s="1"/>
  <c r="BW90" i="1" s="1"/>
  <c r="BW94" i="1"/>
  <c r="AO78" i="1"/>
  <c r="AO82" i="1" s="1"/>
  <c r="AO84" i="1" s="1"/>
  <c r="AO87" i="1" s="1"/>
  <c r="AO89" i="1" s="1"/>
  <c r="AO90" i="1" s="1"/>
  <c r="AM76" i="1"/>
  <c r="AL76" i="1"/>
  <c r="AK76" i="1"/>
  <c r="AJ76" i="1"/>
  <c r="AI76" i="1"/>
  <c r="CB87" i="1" l="1"/>
  <c r="CB89" i="1" s="1"/>
  <c r="CB90" i="1" s="1"/>
  <c r="CB94" i="1"/>
  <c r="BY87" i="1"/>
  <c r="BY89" i="1" s="1"/>
  <c r="BY90" i="1" s="1"/>
  <c r="BY94" i="1"/>
  <c r="BQ87" i="1"/>
  <c r="BQ89" i="1" s="1"/>
  <c r="BQ90" i="1" s="1"/>
  <c r="CV19" i="1"/>
  <c r="CV22" i="1" l="1"/>
  <c r="AG43" i="1" l="1"/>
  <c r="AH43" i="1" s="1"/>
  <c r="AG42" i="1"/>
  <c r="AH42" i="1" s="1"/>
  <c r="AG38" i="1"/>
  <c r="AH38" i="1" s="1"/>
  <c r="CV64" i="1" l="1"/>
  <c r="CW64" i="1" s="1"/>
  <c r="CV80" i="1"/>
  <c r="CV79" i="1"/>
  <c r="AF91" i="1"/>
  <c r="AG91" i="1" s="1"/>
  <c r="AH91" i="1" s="1"/>
  <c r="AE86" i="1"/>
  <c r="AF86" i="1" s="1"/>
  <c r="AG86" i="1" s="1"/>
  <c r="AH86" i="1" s="1"/>
  <c r="AE106" i="1"/>
  <c r="AF106" i="1" s="1"/>
  <c r="AE76" i="1"/>
  <c r="AE78" i="1" s="1"/>
  <c r="AE93" i="1" s="1"/>
  <c r="AF74" i="1"/>
  <c r="AG74" i="1" s="1"/>
  <c r="AH74" i="1" s="1"/>
  <c r="AF73" i="1"/>
  <c r="AG73" i="1" s="1"/>
  <c r="AH73" i="1" s="1"/>
  <c r="AH65" i="1"/>
  <c r="AG65" i="1"/>
  <c r="AF65" i="1"/>
  <c r="AF64" i="1"/>
  <c r="AG64" i="1" s="1"/>
  <c r="AH64" i="1" s="1"/>
  <c r="AF63" i="1"/>
  <c r="AG63" i="1" s="1"/>
  <c r="AH63" i="1" s="1"/>
  <c r="AF61" i="1"/>
  <c r="AG61" i="1" s="1"/>
  <c r="AH61" i="1" s="1"/>
  <c r="AG19" i="1"/>
  <c r="AG22" i="1"/>
  <c r="AH22" i="1" s="1"/>
  <c r="AG40" i="1"/>
  <c r="AH40" i="1" s="1"/>
  <c r="AG15" i="1"/>
  <c r="AH15" i="1" s="1"/>
  <c r="AF60" i="1"/>
  <c r="AG60" i="1" s="1"/>
  <c r="AH60" i="1" s="1"/>
  <c r="AG41" i="1"/>
  <c r="AH41" i="1" s="1"/>
  <c r="AG52" i="1"/>
  <c r="AH52" i="1" s="1"/>
  <c r="AG12" i="1"/>
  <c r="AH12" i="1" s="1"/>
  <c r="AG6" i="1"/>
  <c r="AH6" i="1" s="1"/>
  <c r="AH4" i="1"/>
  <c r="AG4" i="1"/>
  <c r="AD100" i="1"/>
  <c r="AD86" i="1"/>
  <c r="AD81" i="1"/>
  <c r="AA77" i="1"/>
  <c r="Z76" i="1"/>
  <c r="Z78" i="1" s="1"/>
  <c r="AE81" i="1"/>
  <c r="AC76" i="1"/>
  <c r="AC78" i="1" s="1"/>
  <c r="AC93" i="1" s="1"/>
  <c r="CV49" i="1"/>
  <c r="CW79" i="1" l="1"/>
  <c r="CW4" i="1"/>
  <c r="AH19" i="1"/>
  <c r="CW19" i="1" s="1"/>
  <c r="CW73" i="1"/>
  <c r="CX73" i="1" s="1"/>
  <c r="CY73" i="1" s="1"/>
  <c r="CZ73" i="1" s="1"/>
  <c r="DA73" i="1" s="1"/>
  <c r="DB73" i="1" s="1"/>
  <c r="DC73" i="1" s="1"/>
  <c r="AF81" i="1"/>
  <c r="AG81" i="1"/>
  <c r="AH81" i="1"/>
  <c r="AF76" i="1"/>
  <c r="AG76" i="1"/>
  <c r="AE82" i="1"/>
  <c r="AE84" i="1" s="1"/>
  <c r="AE94" i="1" s="1"/>
  <c r="AC83" i="1"/>
  <c r="AB106" i="1"/>
  <c r="CU91" i="1"/>
  <c r="CT85" i="1"/>
  <c r="CS91" i="1"/>
  <c r="CT91" i="1"/>
  <c r="AB85" i="1"/>
  <c r="AB83" i="1"/>
  <c r="AB76" i="1"/>
  <c r="AB78" i="1" s="1"/>
  <c r="AB93" i="1" s="1"/>
  <c r="CT50" i="1"/>
  <c r="CR50" i="1"/>
  <c r="DC19" i="1"/>
  <c r="AA6" i="1"/>
  <c r="AA4" i="1"/>
  <c r="AA61" i="1"/>
  <c r="AA63" i="1"/>
  <c r="AA42" i="1"/>
  <c r="CV42" i="1" s="1"/>
  <c r="AD99" i="1"/>
  <c r="CV91" i="1"/>
  <c r="AB81" i="1"/>
  <c r="AC81" i="1"/>
  <c r="AC100" i="1"/>
  <c r="V100" i="1"/>
  <c r="W100" i="1"/>
  <c r="Y100" i="1"/>
  <c r="Z100" i="1"/>
  <c r="CV44" i="1"/>
  <c r="CV60" i="1"/>
  <c r="V76" i="1"/>
  <c r="U76" i="1"/>
  <c r="T76" i="1"/>
  <c r="R76" i="1"/>
  <c r="Q76" i="1"/>
  <c r="P76" i="1"/>
  <c r="N76" i="1"/>
  <c r="M76" i="1"/>
  <c r="L76" i="1"/>
  <c r="K76" i="1"/>
  <c r="CU61" i="1"/>
  <c r="CU22" i="1"/>
  <c r="CU43" i="1"/>
  <c r="AA85" i="1"/>
  <c r="AA83" i="1"/>
  <c r="AA81" i="1"/>
  <c r="Z86" i="1"/>
  <c r="Z99" i="1"/>
  <c r="CV12" i="1"/>
  <c r="Y4" i="1"/>
  <c r="Y99" i="1" s="1"/>
  <c r="CS64" i="1"/>
  <c r="CR64" i="1"/>
  <c r="CS65" i="1"/>
  <c r="CT65" i="1"/>
  <c r="Y86" i="1"/>
  <c r="Y83" i="1"/>
  <c r="X74" i="1"/>
  <c r="CU74" i="1" s="1"/>
  <c r="Y81" i="1"/>
  <c r="Z81" i="1"/>
  <c r="W99" i="1"/>
  <c r="V99" i="1"/>
  <c r="U99" i="1"/>
  <c r="T99" i="1"/>
  <c r="R99" i="1"/>
  <c r="Q99" i="1"/>
  <c r="P99" i="1"/>
  <c r="W63" i="1"/>
  <c r="CU63" i="1" s="1"/>
  <c r="X65" i="1"/>
  <c r="CU65" i="1" s="1"/>
  <c r="X77" i="1"/>
  <c r="S64" i="1"/>
  <c r="CT64" i="1" s="1"/>
  <c r="CT6" i="1"/>
  <c r="X88" i="1"/>
  <c r="X85" i="1"/>
  <c r="CU85" i="1" s="1"/>
  <c r="X80" i="1"/>
  <c r="CU80" i="1" s="1"/>
  <c r="X79" i="1"/>
  <c r="CU79" i="1" s="1"/>
  <c r="CT43" i="1"/>
  <c r="CR43" i="1"/>
  <c r="CT48" i="1"/>
  <c r="CT45" i="1"/>
  <c r="CR45" i="1"/>
  <c r="CT38" i="1"/>
  <c r="CT44" i="1"/>
  <c r="X47" i="1"/>
  <c r="CU47" i="1" s="1"/>
  <c r="X50" i="1"/>
  <c r="CU50" i="1" s="1"/>
  <c r="X48" i="1"/>
  <c r="CU48" i="1" s="1"/>
  <c r="X45" i="1"/>
  <c r="CU45" i="1" s="1"/>
  <c r="X38" i="1"/>
  <c r="CU38" i="1" s="1"/>
  <c r="X44" i="1"/>
  <c r="CU44" i="1" s="1"/>
  <c r="X40" i="1"/>
  <c r="CU40" i="1" s="1"/>
  <c r="X15" i="1"/>
  <c r="X42" i="1"/>
  <c r="CU42" i="1" s="1"/>
  <c r="X60" i="1"/>
  <c r="CU60" i="1" s="1"/>
  <c r="X41" i="1"/>
  <c r="CU41" i="1" s="1"/>
  <c r="X52" i="1"/>
  <c r="X4" i="1"/>
  <c r="X12" i="1"/>
  <c r="CU12" i="1" s="1"/>
  <c r="X6" i="1"/>
  <c r="X100" i="1" s="1"/>
  <c r="CT86" i="1"/>
  <c r="CT88" i="1"/>
  <c r="CU88" i="1" s="1"/>
  <c r="AH76" i="1" l="1"/>
  <c r="AH78" i="1" s="1"/>
  <c r="AH77" i="1" s="1"/>
  <c r="AG78" i="1"/>
  <c r="AG82" i="1" s="1"/>
  <c r="AG84" i="1" s="1"/>
  <c r="AG85" i="1" s="1"/>
  <c r="AG87" i="1" s="1"/>
  <c r="AG89" i="1" s="1"/>
  <c r="AA99" i="1"/>
  <c r="AA76" i="1"/>
  <c r="AE96" i="1" s="1"/>
  <c r="CV4" i="1"/>
  <c r="AE99" i="1"/>
  <c r="AF78" i="1"/>
  <c r="AF77" i="1" s="1"/>
  <c r="CV6" i="1"/>
  <c r="CW6" i="1" s="1"/>
  <c r="AE100" i="1"/>
  <c r="CW80" i="1"/>
  <c r="CW81" i="1" s="1"/>
  <c r="AE87" i="1"/>
  <c r="AE89" i="1" s="1"/>
  <c r="AE90" i="1" s="1"/>
  <c r="CU4" i="1"/>
  <c r="CV83" i="1"/>
  <c r="Y76" i="1"/>
  <c r="AC96" i="1" s="1"/>
  <c r="CU81" i="1"/>
  <c r="AB100" i="1"/>
  <c r="AC99" i="1"/>
  <c r="CV15" i="1"/>
  <c r="CV38" i="1"/>
  <c r="CW38" i="1" s="1"/>
  <c r="CX38" i="1" s="1"/>
  <c r="CY38" i="1" s="1"/>
  <c r="CZ38" i="1" s="1"/>
  <c r="DA38" i="1" s="1"/>
  <c r="DB38" i="1" s="1"/>
  <c r="DC38" i="1" s="1"/>
  <c r="S76" i="1"/>
  <c r="AB99" i="1"/>
  <c r="CV43" i="1"/>
  <c r="CW43" i="1" s="1"/>
  <c r="CX43" i="1" s="1"/>
  <c r="CY43" i="1" s="1"/>
  <c r="CZ43" i="1" s="1"/>
  <c r="DA43" i="1" s="1"/>
  <c r="DB43" i="1" s="1"/>
  <c r="DC43" i="1" s="1"/>
  <c r="CV45" i="1"/>
  <c r="CW45" i="1" s="1"/>
  <c r="CX45" i="1" s="1"/>
  <c r="CY45" i="1" s="1"/>
  <c r="CZ45" i="1" s="1"/>
  <c r="DA45" i="1" s="1"/>
  <c r="DB45" i="1" s="1"/>
  <c r="DC45" i="1" s="1"/>
  <c r="CV50" i="1"/>
  <c r="CW50" i="1" s="1"/>
  <c r="CX50" i="1" s="1"/>
  <c r="CY50" i="1" s="1"/>
  <c r="CZ50" i="1" s="1"/>
  <c r="DA50" i="1" s="1"/>
  <c r="DB50" i="1" s="1"/>
  <c r="DC50" i="1" s="1"/>
  <c r="AA100" i="1"/>
  <c r="CV40" i="1"/>
  <c r="CV48" i="1"/>
  <c r="CW48" i="1" s="1"/>
  <c r="CX48" i="1" s="1"/>
  <c r="CY48" i="1" s="1"/>
  <c r="CZ48" i="1" s="1"/>
  <c r="DA48" i="1" s="1"/>
  <c r="DB48" i="1" s="1"/>
  <c r="DC48" i="1" s="1"/>
  <c r="CV47" i="1"/>
  <c r="CV65" i="1"/>
  <c r="CW65" i="1" s="1"/>
  <c r="CX65" i="1" s="1"/>
  <c r="CY65" i="1" s="1"/>
  <c r="CZ65" i="1" s="1"/>
  <c r="DA65" i="1" s="1"/>
  <c r="DB65" i="1" s="1"/>
  <c r="DC65" i="1" s="1"/>
  <c r="CV52" i="1"/>
  <c r="CV63" i="1"/>
  <c r="CU52" i="1"/>
  <c r="CU15" i="1"/>
  <c r="CU6" i="1"/>
  <c r="W64" i="1"/>
  <c r="W76" i="1" s="1"/>
  <c r="X99" i="1"/>
  <c r="CW44" i="1"/>
  <c r="CX44" i="1" s="1"/>
  <c r="CY44" i="1" s="1"/>
  <c r="CZ44" i="1" s="1"/>
  <c r="DA44" i="1" s="1"/>
  <c r="DB44" i="1" s="1"/>
  <c r="DC44" i="1" s="1"/>
  <c r="X81" i="1"/>
  <c r="V83" i="1"/>
  <c r="U78" i="1"/>
  <c r="U93" i="1" s="1"/>
  <c r="V78" i="1"/>
  <c r="V93" i="1" s="1"/>
  <c r="CT4" i="1"/>
  <c r="W86" i="1"/>
  <c r="W83" i="1"/>
  <c r="W81" i="1"/>
  <c r="CT60" i="1"/>
  <c r="CW60" i="1" s="1"/>
  <c r="CX60" i="1" s="1"/>
  <c r="CY60" i="1" s="1"/>
  <c r="CZ60" i="1" s="1"/>
  <c r="DA60" i="1" s="1"/>
  <c r="DB60" i="1" s="1"/>
  <c r="DC60" i="1" s="1"/>
  <c r="CT15" i="1"/>
  <c r="CT52" i="1"/>
  <c r="CT12" i="1"/>
  <c r="U83" i="1"/>
  <c r="U81" i="1"/>
  <c r="CT41" i="1"/>
  <c r="CT47" i="1"/>
  <c r="CT42" i="1"/>
  <c r="O60" i="1"/>
  <c r="CS60" i="1" s="1"/>
  <c r="CS79" i="1"/>
  <c r="CT80" i="1"/>
  <c r="CT79" i="1"/>
  <c r="V81" i="1"/>
  <c r="O42" i="1"/>
  <c r="CS42" i="1" s="1"/>
  <c r="O15" i="1"/>
  <c r="CS15" i="1" s="1"/>
  <c r="O43" i="1"/>
  <c r="CS43" i="1" s="1"/>
  <c r="O44" i="1"/>
  <c r="CS44" i="1" s="1"/>
  <c r="O38" i="1"/>
  <c r="CS38" i="1" s="1"/>
  <c r="O45" i="1"/>
  <c r="CS45" i="1" s="1"/>
  <c r="O48" i="1"/>
  <c r="CS48" i="1" s="1"/>
  <c r="O50" i="1"/>
  <c r="CS50" i="1" s="1"/>
  <c r="O47" i="1"/>
  <c r="CS47" i="1" s="1"/>
  <c r="CR65" i="1"/>
  <c r="CS80" i="1"/>
  <c r="CS86" i="1"/>
  <c r="CS87" i="1" s="1"/>
  <c r="CZ22" i="1"/>
  <c r="DA22" i="1" s="1"/>
  <c r="DB22" i="1" s="1"/>
  <c r="DC22" i="1" s="1"/>
  <c r="CV2" i="1"/>
  <c r="CW2" i="1" s="1"/>
  <c r="CX2" i="1" s="1"/>
  <c r="CY2" i="1" s="1"/>
  <c r="CZ2" i="1" s="1"/>
  <c r="T78" i="1"/>
  <c r="T81" i="1"/>
  <c r="T83" i="1"/>
  <c r="K4" i="2"/>
  <c r="R78" i="1"/>
  <c r="R81" i="1"/>
  <c r="R83" i="1"/>
  <c r="S81" i="1"/>
  <c r="S83" i="1"/>
  <c r="O6" i="1"/>
  <c r="O12" i="1"/>
  <c r="CS12" i="1" s="1"/>
  <c r="O4" i="1"/>
  <c r="O52" i="1"/>
  <c r="CS52" i="1" s="1"/>
  <c r="O41" i="1"/>
  <c r="CS41" i="1" s="1"/>
  <c r="O81" i="1"/>
  <c r="O83" i="1"/>
  <c r="P78" i="1"/>
  <c r="P93" i="1" s="1"/>
  <c r="P81" i="1"/>
  <c r="P83" i="1"/>
  <c r="Q78" i="1"/>
  <c r="Q81" i="1"/>
  <c r="Q83" i="1"/>
  <c r="CW91" i="1"/>
  <c r="CX91" i="1" s="1"/>
  <c r="CY91" i="1" s="1"/>
  <c r="CZ91" i="1" s="1"/>
  <c r="DA91" i="1" s="1"/>
  <c r="DB91" i="1" s="1"/>
  <c r="DC91" i="1" s="1"/>
  <c r="N83" i="1"/>
  <c r="N78" i="1"/>
  <c r="N81" i="1"/>
  <c r="M83" i="1"/>
  <c r="M78" i="1"/>
  <c r="M81" i="1"/>
  <c r="C75" i="1"/>
  <c r="G75" i="1"/>
  <c r="CR6" i="1"/>
  <c r="CR12" i="1"/>
  <c r="CR4" i="1"/>
  <c r="CR52" i="1"/>
  <c r="CR41" i="1"/>
  <c r="CR60" i="1"/>
  <c r="CR42" i="1"/>
  <c r="CR15" i="1"/>
  <c r="CR44" i="1"/>
  <c r="CR38" i="1"/>
  <c r="CR48" i="1"/>
  <c r="CR47" i="1"/>
  <c r="P96" i="1"/>
  <c r="C74" i="1"/>
  <c r="C77" i="1"/>
  <c r="C79" i="1"/>
  <c r="C80" i="1"/>
  <c r="D81" i="1"/>
  <c r="C81" i="1" s="1"/>
  <c r="D83" i="1"/>
  <c r="C83" i="1" s="1"/>
  <c r="C85" i="1"/>
  <c r="C86" i="1"/>
  <c r="C88" i="1"/>
  <c r="G74" i="1"/>
  <c r="G77" i="1"/>
  <c r="G79" i="1"/>
  <c r="G80" i="1"/>
  <c r="H81" i="1"/>
  <c r="G81" i="1" s="1"/>
  <c r="G83" i="1"/>
  <c r="G85" i="1"/>
  <c r="G86" i="1"/>
  <c r="H76" i="1"/>
  <c r="H78" i="1" s="1"/>
  <c r="D76" i="1"/>
  <c r="D78" i="1" s="1"/>
  <c r="H83" i="1"/>
  <c r="CX80" i="1" l="1"/>
  <c r="CY80" i="1" s="1"/>
  <c r="CZ80" i="1" s="1"/>
  <c r="DA80" i="1" s="1"/>
  <c r="DB80" i="1" s="1"/>
  <c r="H82" i="1"/>
  <c r="AH82" i="1"/>
  <c r="AH84" i="1" s="1"/>
  <c r="AH85" i="1" s="1"/>
  <c r="AH87" i="1" s="1"/>
  <c r="AH89" i="1" s="1"/>
  <c r="AH90" i="1" s="1"/>
  <c r="AA78" i="1"/>
  <c r="AA93" i="1" s="1"/>
  <c r="AG77" i="1"/>
  <c r="AF82" i="1"/>
  <c r="AF84" i="1" s="1"/>
  <c r="AF85" i="1" s="1"/>
  <c r="AF87" i="1" s="1"/>
  <c r="AF89" i="1" s="1"/>
  <c r="AF90" i="1" s="1"/>
  <c r="AG90" i="1"/>
  <c r="AG106" i="1"/>
  <c r="CX6" i="1"/>
  <c r="CY6" i="1" s="1"/>
  <c r="CZ6" i="1" s="1"/>
  <c r="DA6" i="1" s="1"/>
  <c r="DB6" i="1" s="1"/>
  <c r="DC6" i="1" s="1"/>
  <c r="CW47" i="1"/>
  <c r="CX47" i="1" s="1"/>
  <c r="CY47" i="1" s="1"/>
  <c r="CW15" i="1"/>
  <c r="CX15" i="1" s="1"/>
  <c r="CY15" i="1" s="1"/>
  <c r="CZ15" i="1" s="1"/>
  <c r="DA15" i="1" s="1"/>
  <c r="DB15" i="1" s="1"/>
  <c r="DC15" i="1" s="1"/>
  <c r="CR76" i="1"/>
  <c r="AA96" i="1"/>
  <c r="CV81" i="1"/>
  <c r="CX4" i="1"/>
  <c r="CY4" i="1" s="1"/>
  <c r="CZ4" i="1" s="1"/>
  <c r="DA4" i="1" s="1"/>
  <c r="DB4" i="1" s="1"/>
  <c r="DC4" i="1" s="1"/>
  <c r="CT76" i="1"/>
  <c r="CW52" i="1"/>
  <c r="CX52" i="1" s="1"/>
  <c r="CY52" i="1" s="1"/>
  <c r="CZ52" i="1" s="1"/>
  <c r="DA52" i="1" s="1"/>
  <c r="DB52" i="1" s="1"/>
  <c r="DC52" i="1" s="1"/>
  <c r="CV61" i="1"/>
  <c r="CW61" i="1" s="1"/>
  <c r="CX61" i="1" s="1"/>
  <c r="CY61" i="1" s="1"/>
  <c r="CZ61" i="1" s="1"/>
  <c r="DA61" i="1" s="1"/>
  <c r="DB61" i="1" s="1"/>
  <c r="DC61" i="1" s="1"/>
  <c r="D82" i="1"/>
  <c r="D84" i="1" s="1"/>
  <c r="D87" i="1" s="1"/>
  <c r="D89" i="1" s="1"/>
  <c r="D90" i="1" s="1"/>
  <c r="O76" i="1"/>
  <c r="S96" i="1" s="1"/>
  <c r="CW42" i="1"/>
  <c r="CX42" i="1" s="1"/>
  <c r="CY42" i="1" s="1"/>
  <c r="CZ42" i="1" s="1"/>
  <c r="DA42" i="1" s="1"/>
  <c r="DB42" i="1" s="1"/>
  <c r="DC42" i="1" s="1"/>
  <c r="AD76" i="1"/>
  <c r="CW63" i="1"/>
  <c r="CX63" i="1" s="1"/>
  <c r="CY63" i="1" s="1"/>
  <c r="CZ63" i="1" s="1"/>
  <c r="DA63" i="1" s="1"/>
  <c r="DB63" i="1" s="1"/>
  <c r="DC63" i="1" s="1"/>
  <c r="AA82" i="1"/>
  <c r="AA84" i="1" s="1"/>
  <c r="AA87" i="1" s="1"/>
  <c r="AA89" i="1" s="1"/>
  <c r="AA90" i="1" s="1"/>
  <c r="X83" i="1"/>
  <c r="CU83" i="1" s="1"/>
  <c r="X86" i="1"/>
  <c r="CU86" i="1" s="1"/>
  <c r="X64" i="1"/>
  <c r="T96" i="1"/>
  <c r="CS4" i="1"/>
  <c r="S99" i="1"/>
  <c r="O99" i="1"/>
  <c r="Y96" i="1"/>
  <c r="Y78" i="1"/>
  <c r="Z96" i="1"/>
  <c r="CW40" i="1"/>
  <c r="CX40" i="1" s="1"/>
  <c r="CY40" i="1" s="1"/>
  <c r="CZ40" i="1" s="1"/>
  <c r="DA40" i="1" s="1"/>
  <c r="DB40" i="1" s="1"/>
  <c r="DC40" i="1" s="1"/>
  <c r="C76" i="1"/>
  <c r="C78" i="1" s="1"/>
  <c r="C82" i="1" s="1"/>
  <c r="C84" i="1" s="1"/>
  <c r="C87" i="1" s="1"/>
  <c r="C89" i="1" s="1"/>
  <c r="C90" i="1" s="1"/>
  <c r="Q96" i="1"/>
  <c r="G76" i="1"/>
  <c r="G78" i="1" s="1"/>
  <c r="G82" i="1" s="1"/>
  <c r="G84" i="1" s="1"/>
  <c r="G87" i="1" s="1"/>
  <c r="G89" i="1" s="1"/>
  <c r="G90" i="1" s="1"/>
  <c r="M93" i="1"/>
  <c r="M82" i="1"/>
  <c r="M84" i="1" s="1"/>
  <c r="W96" i="1"/>
  <c r="H84" i="1"/>
  <c r="H87" i="1" s="1"/>
  <c r="H89" i="1" s="1"/>
  <c r="H90" i="1" s="1"/>
  <c r="N82" i="1"/>
  <c r="N84" i="1" s="1"/>
  <c r="N93" i="1"/>
  <c r="R93" i="1"/>
  <c r="R82" i="1"/>
  <c r="R84" i="1" s="1"/>
  <c r="R87" i="1" s="1"/>
  <c r="R89" i="1" s="1"/>
  <c r="Q93" i="1"/>
  <c r="Q82" i="1"/>
  <c r="Q84" i="1" s="1"/>
  <c r="Q94" i="1" s="1"/>
  <c r="U96" i="1"/>
  <c r="R96" i="1"/>
  <c r="DA2" i="1"/>
  <c r="CS6" i="1"/>
  <c r="S78" i="1"/>
  <c r="CT78" i="1" s="1"/>
  <c r="CT81" i="1"/>
  <c r="T82" i="1"/>
  <c r="T84" i="1" s="1"/>
  <c r="T87" i="1" s="1"/>
  <c r="T93" i="1"/>
  <c r="P82" i="1"/>
  <c r="P84" i="1" s="1"/>
  <c r="K7" i="2"/>
  <c r="U82" i="1"/>
  <c r="U84" i="1" s="1"/>
  <c r="U87" i="1" s="1"/>
  <c r="DA81" i="1" l="1"/>
  <c r="AH106" i="1"/>
  <c r="CV106" i="1" s="1"/>
  <c r="CW83" i="1" s="1"/>
  <c r="AD78" i="1"/>
  <c r="AD96" i="1"/>
  <c r="CS76" i="1"/>
  <c r="CS93" i="1" s="1"/>
  <c r="CU64" i="1"/>
  <c r="CU76" i="1" s="1"/>
  <c r="X76" i="1"/>
  <c r="AB96" i="1" s="1"/>
  <c r="CV41" i="1"/>
  <c r="CV76" i="1" s="1"/>
  <c r="DB81" i="1"/>
  <c r="DC80" i="1"/>
  <c r="DC81" i="1" s="1"/>
  <c r="AA94" i="1"/>
  <c r="AB82" i="1"/>
  <c r="AB84" i="1" s="1"/>
  <c r="AC82" i="1"/>
  <c r="AC84" i="1" s="1"/>
  <c r="Q87" i="1"/>
  <c r="Q89" i="1" s="1"/>
  <c r="Q90" i="1" s="1"/>
  <c r="CX64" i="1"/>
  <c r="R94" i="1"/>
  <c r="CW12" i="1"/>
  <c r="U89" i="1"/>
  <c r="U90" i="1" s="1"/>
  <c r="U94" i="1"/>
  <c r="W78" i="1"/>
  <c r="P94" i="1"/>
  <c r="P87" i="1"/>
  <c r="P89" i="1" s="1"/>
  <c r="P90" i="1" s="1"/>
  <c r="V82" i="1"/>
  <c r="V84" i="1" s="1"/>
  <c r="V96" i="1"/>
  <c r="R90" i="1"/>
  <c r="R103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4" i="1"/>
  <c r="N87" i="1"/>
  <c r="N89" i="1" s="1"/>
  <c r="N90" i="1" s="1"/>
  <c r="T89" i="1"/>
  <c r="T90" i="1" s="1"/>
  <c r="T94" i="1"/>
  <c r="S82" i="1"/>
  <c r="S84" i="1" s="1"/>
  <c r="S93" i="1"/>
  <c r="M94" i="1"/>
  <c r="M87" i="1"/>
  <c r="M89" i="1" s="1"/>
  <c r="M90" i="1" s="1"/>
  <c r="O78" i="1"/>
  <c r="O96" i="1"/>
  <c r="CS96" i="1" l="1"/>
  <c r="CT96" i="1"/>
  <c r="AD82" i="1"/>
  <c r="AD84" i="1" s="1"/>
  <c r="AD93" i="1"/>
  <c r="CY64" i="1"/>
  <c r="X78" i="1"/>
  <c r="X93" i="1" s="1"/>
  <c r="Q101" i="1"/>
  <c r="U101" i="1"/>
  <c r="CV78" i="1"/>
  <c r="CV82" i="1" s="1"/>
  <c r="CV84" i="1" s="1"/>
  <c r="CW41" i="1"/>
  <c r="CX41" i="1" s="1"/>
  <c r="CY41" i="1" s="1"/>
  <c r="CZ41" i="1" s="1"/>
  <c r="DA41" i="1" s="1"/>
  <c r="DB41" i="1" s="1"/>
  <c r="DC41" i="1" s="1"/>
  <c r="AC87" i="1"/>
  <c r="AC89" i="1" s="1"/>
  <c r="AC90" i="1" s="1"/>
  <c r="AC94" i="1"/>
  <c r="AB87" i="1"/>
  <c r="AB89" i="1" s="1"/>
  <c r="AB90" i="1" s="1"/>
  <c r="AB94" i="1"/>
  <c r="X96" i="1"/>
  <c r="T101" i="1"/>
  <c r="V94" i="1"/>
  <c r="V87" i="1"/>
  <c r="V89" i="1" s="1"/>
  <c r="CX12" i="1"/>
  <c r="CU96" i="1"/>
  <c r="W82" i="1"/>
  <c r="W84" i="1" s="1"/>
  <c r="W87" i="1" s="1"/>
  <c r="W93" i="1"/>
  <c r="O82" i="1"/>
  <c r="O84" i="1" s="1"/>
  <c r="O93" i="1"/>
  <c r="CV96" i="1"/>
  <c r="S87" i="1"/>
  <c r="S89" i="1" s="1"/>
  <c r="S90" i="1" s="1"/>
  <c r="S94" i="1"/>
  <c r="R101" i="1"/>
  <c r="X82" i="1" l="1"/>
  <c r="X84" i="1" s="1"/>
  <c r="X87" i="1" s="1"/>
  <c r="X89" i="1" s="1"/>
  <c r="X90" i="1" s="1"/>
  <c r="CX76" i="1"/>
  <c r="AD94" i="1"/>
  <c r="AD87" i="1"/>
  <c r="AD89" i="1" s="1"/>
  <c r="CW76" i="1"/>
  <c r="CZ64" i="1"/>
  <c r="CV77" i="1"/>
  <c r="CV85" i="1"/>
  <c r="CV87" i="1" s="1"/>
  <c r="CV89" i="1" s="1"/>
  <c r="CY12" i="1"/>
  <c r="CY76" i="1" s="1"/>
  <c r="W89" i="1"/>
  <c r="W90" i="1" s="1"/>
  <c r="W94" i="1"/>
  <c r="V103" i="1"/>
  <c r="V90" i="1"/>
  <c r="V101" i="1" s="1"/>
  <c r="O87" i="1"/>
  <c r="O89" i="1" s="1"/>
  <c r="O90" i="1" s="1"/>
  <c r="CS90" i="1" s="1"/>
  <c r="O94" i="1"/>
  <c r="X94" i="1" l="1"/>
  <c r="CW78" i="1"/>
  <c r="CW82" i="1" s="1"/>
  <c r="CW84" i="1" s="1"/>
  <c r="DA64" i="1"/>
  <c r="CW96" i="1"/>
  <c r="CV90" i="1"/>
  <c r="W101" i="1"/>
  <c r="AA101" i="1"/>
  <c r="X101" i="1"/>
  <c r="AB101" i="1"/>
  <c r="CZ12" i="1"/>
  <c r="CZ76" i="1" s="1"/>
  <c r="S101" i="1"/>
  <c r="CX81" i="1"/>
  <c r="CX78" i="1"/>
  <c r="CX77" i="1" s="1"/>
  <c r="CX96" i="1"/>
  <c r="CW77" i="1" l="1"/>
  <c r="CW85" i="1"/>
  <c r="CW87" i="1" s="1"/>
  <c r="CW89" i="1" s="1"/>
  <c r="DB64" i="1"/>
  <c r="DA12" i="1"/>
  <c r="DA76" i="1" s="1"/>
  <c r="CZ81" i="1"/>
  <c r="CY81" i="1"/>
  <c r="CY96" i="1"/>
  <c r="CY78" i="1"/>
  <c r="CX82" i="1"/>
  <c r="DC64" i="1" l="1"/>
  <c r="DB12" i="1"/>
  <c r="DC12" i="1" s="1"/>
  <c r="CY82" i="1"/>
  <c r="CZ78" i="1"/>
  <c r="CZ82" i="1" s="1"/>
  <c r="CZ96" i="1"/>
  <c r="CY77" i="1"/>
  <c r="DB76" i="1" l="1"/>
  <c r="DB78" i="1" s="1"/>
  <c r="DB82" i="1" s="1"/>
  <c r="DC76" i="1"/>
  <c r="CZ77" i="1"/>
  <c r="DA96" i="1"/>
  <c r="DA78" i="1"/>
  <c r="DA82" i="1" s="1"/>
  <c r="DC78" i="1" l="1"/>
  <c r="DC96" i="1"/>
  <c r="DB96" i="1"/>
  <c r="DA77" i="1"/>
  <c r="DB77" i="1"/>
  <c r="DC77" i="1" l="1"/>
  <c r="DC82" i="1"/>
  <c r="Y82" i="1"/>
  <c r="Y84" i="1" s="1"/>
  <c r="Y94" i="1" s="1"/>
  <c r="Y93" i="1"/>
  <c r="Y87" i="1" l="1"/>
  <c r="Y89" i="1" s="1"/>
  <c r="Y90" i="1" s="1"/>
  <c r="AC101" i="1" s="1"/>
  <c r="CT77" i="1"/>
  <c r="CT93" i="1"/>
  <c r="CT82" i="1"/>
  <c r="CT84" i="1" s="1"/>
  <c r="CT94" i="1" s="1"/>
  <c r="Y101" i="1" l="1"/>
  <c r="CT87" i="1"/>
  <c r="CT89" i="1" s="1"/>
  <c r="CT104" i="1" l="1"/>
  <c r="CT90" i="1"/>
  <c r="CT101" i="1" l="1"/>
  <c r="CU78" i="1" l="1"/>
  <c r="CU82" i="1" s="1"/>
  <c r="CU84" i="1" s="1"/>
  <c r="CU87" i="1" l="1"/>
  <c r="CU89" i="1" s="1"/>
  <c r="CU90" i="1" s="1"/>
  <c r="CU94" i="1"/>
  <c r="CU93" i="1"/>
  <c r="CU77" i="1"/>
  <c r="Z82" i="1"/>
  <c r="Z84" i="1" s="1"/>
  <c r="Z94" i="1" s="1"/>
  <c r="Z93" i="1"/>
  <c r="Z87" i="1" l="1"/>
  <c r="Z89" i="1" s="1"/>
  <c r="Z90" i="1" s="1"/>
  <c r="Z101" i="1" s="1"/>
  <c r="CU101" i="1" l="1"/>
  <c r="CU104" i="1"/>
  <c r="CV101" i="1" l="1"/>
  <c r="CV104" i="1"/>
  <c r="CW90" i="1" l="1"/>
  <c r="CW101" i="1" s="1"/>
  <c r="CW104" i="1"/>
  <c r="CW106" i="1" s="1"/>
  <c r="CX83" i="1" s="1"/>
  <c r="CX84" i="1" s="1"/>
  <c r="CX85" i="1" l="1"/>
  <c r="CX87" i="1" s="1"/>
  <c r="CX89" i="1" s="1"/>
  <c r="CX104" i="1" s="1"/>
  <c r="CX106" i="1" s="1"/>
  <c r="CY83" i="1" s="1"/>
  <c r="CY84" i="1" s="1"/>
  <c r="CY85" i="1" l="1"/>
  <c r="CY87" i="1" s="1"/>
  <c r="CY89" i="1" s="1"/>
  <c r="CY90" i="1" s="1"/>
  <c r="CX90" i="1"/>
  <c r="CX101" i="1" s="1"/>
  <c r="CY101" i="1" l="1"/>
  <c r="CY104" i="1"/>
  <c r="CY106" i="1" s="1"/>
  <c r="CZ83" i="1" s="1"/>
  <c r="CZ84" i="1" s="1"/>
  <c r="CZ85" i="1" l="1"/>
  <c r="CZ87" i="1" s="1"/>
  <c r="CZ89" i="1" s="1"/>
  <c r="CZ90" i="1" l="1"/>
  <c r="CZ101" i="1" s="1"/>
  <c r="CZ104" i="1"/>
  <c r="CZ106" i="1" s="1"/>
  <c r="DA83" i="1" s="1"/>
  <c r="DA84" i="1" s="1"/>
  <c r="DA85" i="1" l="1"/>
  <c r="DA87" i="1" s="1"/>
  <c r="DA89" i="1" s="1"/>
  <c r="DA90" i="1" l="1"/>
  <c r="DA101" i="1" s="1"/>
  <c r="DA104" i="1"/>
  <c r="DA106" i="1" s="1"/>
  <c r="DB83" i="1" s="1"/>
  <c r="DB84" i="1" s="1"/>
  <c r="DB85" i="1" l="1"/>
  <c r="DB87" i="1" s="1"/>
  <c r="DB89" i="1" s="1"/>
  <c r="DB90" i="1" l="1"/>
  <c r="DB101" i="1" s="1"/>
  <c r="DB104" i="1"/>
  <c r="DB106" i="1" s="1"/>
  <c r="DC83" i="1" l="1"/>
  <c r="DC84" i="1" s="1"/>
  <c r="DC106" i="1"/>
  <c r="DC85" i="1" l="1"/>
  <c r="DC87" i="1" s="1"/>
  <c r="DC89" i="1" s="1"/>
  <c r="DC90" i="1" l="1"/>
  <c r="DC101" i="1" s="1"/>
  <c r="DD89" i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DO95" i="1" l="1"/>
  <c r="DO96" i="1" s="1"/>
  <c r="DO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tc={D5DD676B-0E5E-4508-8BC7-B0A73A9A23F5}</author>
    <author>Martin</author>
    <author>MSMB</author>
    <author>RBC</author>
    <author>Martin Shkreli</author>
    <author xml:space="preserve"> </author>
    <author>MSMB - Andre</author>
    <author>tc={F9AC6D8E-D4E8-48E6-87BF-AFF3BAEAF239}</author>
    <author>tc={F7588713-7B33-4A55-9D7A-5A4110D76910}</author>
    <author>tc={C332E2A7-7FFB-4B2F-83D9-CD4DD37631A5}</author>
    <author>tc={65F7C13C-73F7-432E-96BC-9619FA75CE2E}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
16% CER
US 2.551B EUR</t>
      </text>
    </comment>
    <comment ref="DJ3" authorId="2" shapeId="0" xr:uid="{D5DD676B-0E5E-4508-8BC7-B0A73A9A23F5}">
      <text>
        <t>[Threaded comment]
Your version of Excel allows you to read this threaded comment; however, any edits to it will get removed if the file is opened in a newer version of Excel. Learn more: https://go.microsoft.com/fwlink/?linkid=870924
Comment:
    +23.1% CER</t>
      </text>
    </comment>
    <comment ref="Y4" authorId="3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4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4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5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6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4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4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4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6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S12" authorId="6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7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6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7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4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7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Y41" authorId="6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1" authorId="8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2" authorId="6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2" authorId="4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3" authorId="7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3" authorId="7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3" authorId="7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8" authorId="7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2" authorId="4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2" authorId="4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2" authorId="7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60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1" authorId="4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1" authorId="9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3" authorId="4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4" authorId="7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4" authorId="6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6" authorId="3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6" authorId="10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S86" authorId="6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9" authorId="11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90" authorId="12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T90" authorId="6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90" authorId="4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90" authorId="13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7" authorId="3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9" authorId="8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9" authorId="4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9" authorId="3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1" authorId="3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<sst xmlns="http://schemas.openxmlformats.org/spreadsheetml/2006/main" count="850" uniqueCount="614">
  <si>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</si>
  <si>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</si>
  <si>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</si>
  <si>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</si>
  <si>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</si>
  <si>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</si>
  <si>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</si>
  <si>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</si>
  <si>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</si>
  <si>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</si>
  <si>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</si>
  <si>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</si>
  <si>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</si>
  <si>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</si>
  <si>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</si>
  <si>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</si>
  <si>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</si>
  <si>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</si>
  <si>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</si>
  <si>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</si>
  <si>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</si>
  <si>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</si>
  <si>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</si>
  <si>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</si>
  <si>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</si>
  <si>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</si>
  <si>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</si>
  <si>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</si>
  <si>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</si>
  <si>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</si>
  <si>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</si>
  <si>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</si>
  <si>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</si>
  <si>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</si>
  <si>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</si>
  <si>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</si>
  <si>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</si>
  <si>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</si>
  <si>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</si>
  <si>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</si>
  <si>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</si>
  <si>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</si>
  <si>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</si>
  <si>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</si>
  <si>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</si>
  <si>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</si>
  <si>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</si>
  <si>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</si>
  <si>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</si>
  <si>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</si>
  <si>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</si>
  <si>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</si>
  <si>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</si>
  <si>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</si>
  <si>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</si>
  <si>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</si>
  <si>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</si>
  <si>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</si>
  <si>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</si>
  <si>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</si>
  <si>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</si>
  <si>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</si>
  <si>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</si>
  <si>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</si>
  <si>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</si>
  <si>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</si>
  <si>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</si>
  <si>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</si>
  <si>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</si>
  <si>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</si>
  <si>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</si>
  <si>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</si>
  <si>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</si>
  <si>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</si>
  <si>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</si>
  <si>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</si>
  <si>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</si>
  <si>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</si>
  <si>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</si>
  <si>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</si>
  <si>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</si>
  <si>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</si>
  <si>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</si>
  <si>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</si>
  <si>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</si>
  <si>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</si>
  <si>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</si>
  <si>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</si>
  <si>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</si>
  <si>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</si>
  <si>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</si>
  <si>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</si>
  <si>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</si>
  <si>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</si>
  <si>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</si>
  <si>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</si>
  <si>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</si>
  <si>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</si>
  <si>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</si>
  <si>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</si>
  <si>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</si>
  <si>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</si>
  <si>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</si>
  <si>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</si>
  <si>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</si>
  <si>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</si>
  <si>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</si>
  <si>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</si>
  <si>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</si>
  <si>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</si>
  <si>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</si>
  <si>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</si>
  <si>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</si>
  <si>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</si>
  <si>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</si>
  <si>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</si>
  <si>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</si>
  <si>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</si>
  <si>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</si>
  <si>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</si>
  <si>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</si>
  <si>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</si>
  <si>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</si>
  <si>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</si>
  <si>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</si>
  <si>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</si>
  <si>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</si>
  <si>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</si>
  <si>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</si>
  <si>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</si>
  <si>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</si>
  <si>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</si>
  <si>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</si>
  <si>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</si>
  <si>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</si>
  <si>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</si>
  <si>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</si>
  <si>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</si>
  <si>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</si>
  <si>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</si>
  <si>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</si>
  <si>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</si>
  <si>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</si>
  <si>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</si>
  <si>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</si>
  <si>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</si>
  <si>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</si>
  <si>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</si>
  <si>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</si>
  <si>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</si>
  <si>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</si>
  <si>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</si>
  <si>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</si>
  <si>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</si>
  <si>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</si>
  <si>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</si>
  <si>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</si>
  <si>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</si>
  <si>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</si>
  <si>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</si>
  <si>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</si>
  <si>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</si>
  <si>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</si>
  <si>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</si>
  <si>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</si>
  <si>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</si>
  <si>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</si>
  <si>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</si>
  <si>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</si>
  <si>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</si>
  <si>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</si>
  <si>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</si>
  <si>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</si>
  <si>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</si>
  <si>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</si>
  <si>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</si>
  <si>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</si>
  <si>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</si>
  <si>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</si>
  <si>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</si>
  <si>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</si>
  <si>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</si>
  <si>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</si>
  <si>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</si>
  <si>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</si>
  <si>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</si>
  <si>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</si>
  <si>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</si>
  <si>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</si>
  <si>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</si>
  <si>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</si>
  <si>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</si>
  <si>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</si>
  <si>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</si>
  <si>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</si>
  <si>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</si>
  <si>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</si>
  <si>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</si>
  <si>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</si>
  <si>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</si>
  <si>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</si>
  <si>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</si>
  <si>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</si>
  <si>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</si>
  <si>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</si>
  <si>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</si>
  <si>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</si>
  <si>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</si>
  <si>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</si>
  <si>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</si>
  <si>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</si>
  <si>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</si>
  <si>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</si>
  <si>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</si>
  <si>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</si>
  <si>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</si>
  <si>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</si>
  <si>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</si>
  <si>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</si>
  <si>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</si>
  <si>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</si>
  <si>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</si>
  <si>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</si>
  <si>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</si>
  <si>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</si>
  <si>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</si>
  <si>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</si>
  <si>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</si>
  <si>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</si>
  <si>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</si>
  <si>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</si>
  <si>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</si>
  <si>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</si>
  <si>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</si>
  <si>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</si>
  <si>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</si>
  <si>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</si>
  <si>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</si>
  <si>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</si>
  <si>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</si>
  <si>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</si>
  <si>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</si>
  <si>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</si>
  <si>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</si>
  <si>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</si>
  <si>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</si>
  <si>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</si>
  <si>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</si>
  <si>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</si>
  <si>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</si>
  <si>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</si>
  <si>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</si>
  <si>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</si>
  <si>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</si>
  <si>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</si>
  <si>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</si>
  <si>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</si>
  <si>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</si>
  <si>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</si>
  <si>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</si>
  <si>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</si>
  <si>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</si>
  <si>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</si>
  <si>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</si>
  <si>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</si>
  <si>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</si>
  <si>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</si>
  <si>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</si>
  <si>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</si>
  <si>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</si>
  <si>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</si>
  <si>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</si>
  <si>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</si>
  <si>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</si>
  <si>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</si>
  <si>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</si>
  <si>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</si>
  <si>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</si>
  <si>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</si>
  <si>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</si>
  <si>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</si>
  <si>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</si>
  <si>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</si>
  <si>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</si>
  <si>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</si>
  <si>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</si>
  <si>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</si>
  <si>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</si>
  <si>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</si>
  <si>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</si>
  <si>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</si>
  <si>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</si>
  <si>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</si>
  <si>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</si>
  <si>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</si>
  <si>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</si>
  <si>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</si>
  <si>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</si>
  <si>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</si>
  <si>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</si>
  <si>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</si>
  <si>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</si>
  <si>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</si>
  <si>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</si>
  <si>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</si>
  <si>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</si>
  <si>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</si>
  <si>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</si>
  <si>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</si>
  <si>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</si>
  <si>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</si>
  <si>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</si>
  <si>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</si>
  <si>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</si>
  <si>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</si>
  <si>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</si>
  <si>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</si>
  <si>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</si>
  <si>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</si>
  <si>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</si>
  <si>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</si>
  <si>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</si>
  <si>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</si>
  <si>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</si>
  <si>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</si>
  <si>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</si>
  <si>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</si>
  <si>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</si>
  <si>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</si>
  <si>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</si>
  <si>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</si>
  <si>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</si>
  <si>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</si>
  <si>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</si>
  <si>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</si>
  <si>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</si>
  <si>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</si>
  <si>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</si>
  <si>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</si>
  <si>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</si>
  <si>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</si>
  <si>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</si>
  <si>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</si>
  <si>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</si>
  <si>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</si>
  <si>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</si>
  <si>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</si>
  <si>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</si>
  <si>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</si>
  <si>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</si>
  <si>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</si>
  <si>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</si>
  <si>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</si>
  <si>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</si>
  <si>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</si>
  <si>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</si>
  <si>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</si>
  <si>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</si>
  <si>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</si>
  <si>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</si>
  <si>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</si>
  <si>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</si>
  <si>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</si>
  <si>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</si>
  <si>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</si>
  <si>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</si>
  <si>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</si>
  <si>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</si>
  <si>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</si>
  <si>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</si>
  <si>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</si>
  <si>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</si>
  <si>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</si>
  <si>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</si>
  <si>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</si>
  <si>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</si>
  <si>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</si>
  <si>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</si>
  <si>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</si>
  <si>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</si>
  <si>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</si>
  <si>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</si>
  <si>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</si>
  <si>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</si>
  <si>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</si>
  <si>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</si>
  <si>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</si>
  <si>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</si>
  <si>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</si>
  <si>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</si>
  <si>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</si>
  <si>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</si>
  <si>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Niemann-Pick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</si>
  <si>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</si>
  <si>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</si>
  <si>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</si>
  <si>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</si>
  <si>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</si>
  <si>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</si>
  <si>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</si>
  <si>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</si>
  <si>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</si>
  <si>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</si>
  <si>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</si>
  <si>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</si>
  <si>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</si>
  <si>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</si>
  <si>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</si>
  <si>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</si>
  <si>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</si>
  <si>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</si>
  <si>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</si>
  <si>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</si>
  <si>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</si>
  <si>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</si>
  <si>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</si>
  <si>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</si>
  <si>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</si>
  <si>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</si>
  <si>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</si>
  <si>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</si>
  <si>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</si>
  <si>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</si>
  <si>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</si>
  <si>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</si>
  <si>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</si>
  <si>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</si>
  <si>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</si>
  <si>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</si>
  <si>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</si>
  <si>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</si>
  <si>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</si>
  <si>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</si>
  <si>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</si>
  <si>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</si>
  <si>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</si>
  <si>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</si>
  <si>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</si>
  <si>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</si>
  <si>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</si>
  <si>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</si>
  <si>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</si>
  <si>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</si>
  <si>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</si>
  <si>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</si>
  <si>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</si>
  <si>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</si>
  <si>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</si>
  <si>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</si>
  <si>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</si>
  <si>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</si>
  <si>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</si>
  <si>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</si>
  <si>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</si>
  <si>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</si>
  <si>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</si>
  <si>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</si>
  <si>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</si>
  <si>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</si>
  <si>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</si>
  <si>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</si>
  <si>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</si>
  <si>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</si>
  <si>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</si>
  <si>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</si>
  <si>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</si>
  <si>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</si>
  <si>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</si>
  <si>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</si>
  <si>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</si>
  <si>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</si>
  <si>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</si>
  <si>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</si>
  <si>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</si>
  <si>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</si>
  <si>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</si>
  <si>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</si>
  <si>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</si>
  <si>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</si>
  <si>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</si>
  <si>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</si>
  <si>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</si>
  <si>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</si>
  <si>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</si>
  <si>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</si>
  <si>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</si>
  <si>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</si>
  <si>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</si>
  <si>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</si>
  <si>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</si>
  <si>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</si>
  <si>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</si>
  <si>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</si>
  <si>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</si>
  <si>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</si>
  <si>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</si>
  <si>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</si>
  <si>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</si>
  <si>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</si>
  <si>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</si>
  <si>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</si>
  <si>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</si>
  <si>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</si>
  <si>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</si>
  <si>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</si>
  <si>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</si>
  <si>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</si>
  <si>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</si>
  <si>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</si>
  <si>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</si>
  <si>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</si>
  <si>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</si>
  <si>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</si>
  <si>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</si>
  <si>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</si>
  <si>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</si>
  <si>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</si>
  <si>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</si>
  <si>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</si>
  <si>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</si>
  <si>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</si>
  <si>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</si>
  <si>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</si>
  <si>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</si>
  <si>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</si>
  <si>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</si>
  <si>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</si>
  <si>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</si>
  <si>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</si>
  <si>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</si>
  <si>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</si>
  <si>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</si>
  <si>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</si>
  <si>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</si>
  <si>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</si>
  <si>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</si>
  <si>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</si>
  <si>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</si>
  <si>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</si>
  <si>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</si>
  <si>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</si>
  <si>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</si>
  <si>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</si>
  <si>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</si>
  <si>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</si>
  <si>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</si>
  <si>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</si>
  <si>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</si>
  <si>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</si>
  <si>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</si>
  <si>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</si>
  <si>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</si>
  <si>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</si>
  <si>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</si>
  <si>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</si>
  <si>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</si>
  <si>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</si>
  <si>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</si>
  <si>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</si>
  <si>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</si>
  <si>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</si>
  <si>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</si>
  <si>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</si>
  <si>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</si>
  <si>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</si>
  <si>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</si>
  <si>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</si>
  <si>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</si>
  <si>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</si>
  <si>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</si>
  <si>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</si>
  <si>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</si>
  <si>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</si>
  <si>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</si>
  <si>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</si>
  <si>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</si>
  <si>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</si>
  <si>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</si>
  <si>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Xenopozyme</t>
  </si>
  <si>
    <t>Altuviiio</t>
  </si>
  <si>
    <t>Hemophilia A</t>
  </si>
  <si>
    <t>rF8</t>
  </si>
  <si>
    <t>Enjaymo</t>
  </si>
  <si>
    <t>Tzield</t>
  </si>
  <si>
    <t>Altuviiio (efanesoctocog alfa)</t>
  </si>
  <si>
    <t>fitusiran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</si>
  <si>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</si>
  <si>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</si>
  <si>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</si>
  <si>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</si>
  <si>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</si>
  <si>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</si>
  <si>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</si>
  <si>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</si>
  <si>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</si>
  <si>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</si>
  <si>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</si>
  <si>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</si>
  <si>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</si>
  <si>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</si>
  <si>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</si>
  <si>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</si>
  <si>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</si>
  <si>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</si>
  <si>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</si>
  <si>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</si>
  <si>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</si>
  <si>
    <t>Admelog</t>
  </si>
  <si>
    <t>COPD launch initiated Q424</t>
  </si>
  <si>
    <t>Phase III "EoE KIDS" - NCT04394351</t>
  </si>
  <si>
    <t>Phase III "STYLE1" lichen simplex chronicus - NCT06687967</t>
  </si>
  <si>
    <t>Phase III "STYLE2" lichen simplex chronicus - NCT06687980</t>
  </si>
  <si>
    <t>initiated Q424</t>
  </si>
  <si>
    <t>CSU - sBLA resubmitted Q424, 4/18/25 PDUFA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</si>
</sst>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16" fontId="7" fillId="2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3" fontId="0" fillId="5" borderId="0" xfId="0" applyNumberForma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17180</xdr:colOff>
      <xdr:row>0</xdr:row>
      <xdr:rowOff>0</xdr:rowOff>
    </xdr:from>
    <xdr:to>
      <xdr:col>85</xdr:col>
      <xdr:colOff>17180</xdr:colOff>
      <xdr:row>120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7663921" y="0"/>
          <a:ext cx="0" cy="196474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113</xdr:col>
      <xdr:colOff>13138</xdr:colOff>
      <xdr:row>0</xdr:row>
      <xdr:rowOff>0</xdr:rowOff>
    </xdr:from>
    <xdr:to>
      <xdr:col>113</xdr:col>
      <xdr:colOff>13138</xdr:colOff>
      <xdr:row>130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047431" y="0"/>
          <a:ext cx="0" cy="214443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
16% CER
US 2.551B EUR</text>
  </threadedComment>
  <threadedComment ref="DJ3" dT="2025-03-31T00:00:38.98" personId="{318CC6C7-4C79-4B81-8AA8-0F5CDEEED97F}" id="{D5DD676B-0E5E-4508-8BC7-B0A73A9A23F5}">
    <text>+23.1% CER</text>
  </threadedComment>
  <threadedComment ref="CG61" dT="2024-11-23T22:17:42.49" personId="{318CC6C7-4C79-4B81-8AA8-0F5CDEEED97F}" id="{F9AC6D8E-D4E8-48E6-87BF-AFF3BAEAF239}">
    <text>Qunol acquisition</text>
  </threadedComment>
  <threadedComment ref="BZ76" dT="2023-03-01T21:09:31.45" personId="{318CC6C7-4C79-4B81-8AA8-0F5CDEEED97F}" id="{F7588713-7B33-4A55-9D7A-5A4110D76910}">
    <text>10725m reported</text>
  </threadedComment>
  <threadedComment ref="CG89" dT="2024-11-23T22:33:35.82" personId="{318CC6C7-4C79-4B81-8AA8-0F5CDEEED97F}" id="{C332E2A7-7FFB-4B2F-83D9-CD4DD37631A5}">
    <text>Business NI 3585m</text>
  </threadedComment>
  <threadedComment ref="CG90" dT="2024-11-23T22:32:08.55" personId="{318CC6C7-4C79-4B81-8AA8-0F5CDEEED97F}" id="{65F7C13C-73F7-432E-96BC-9619FA75CE2E}">
    <text>Business EPS 2.86
IFRS EPS 2.25</text>
  </threadedComment>
  <threadedComment ref="DJ90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1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9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9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9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470</v>
      </c>
      <c r="C11" s="16" t="s">
        <v>477</v>
      </c>
      <c r="D11" s="17" t="s">
        <v>469</v>
      </c>
      <c r="E11" s="16" t="s">
        <v>213</v>
      </c>
      <c r="F11" s="16" t="s">
        <v>457</v>
      </c>
      <c r="G11" s="16" t="s">
        <v>412</v>
      </c>
      <c r="H11" s="16" t="s">
        <v>457</v>
      </c>
      <c r="I11" s="18" t="s">
        <v>478</v>
      </c>
    </row>
    <row r="12" spans="1:11" x14ac:dyDescent="0.2">
      <c r="B12" s="34" t="s">
        <v>471</v>
      </c>
      <c r="C12" s="16" t="s">
        <v>476</v>
      </c>
      <c r="D12" s="17" t="s">
        <v>469</v>
      </c>
      <c r="E12" s="16" t="s">
        <v>213</v>
      </c>
      <c r="F12" s="16" t="s">
        <v>457</v>
      </c>
      <c r="G12" s="16" t="s">
        <v>412</v>
      </c>
      <c r="H12" s="16" t="s">
        <v>457</v>
      </c>
      <c r="I12" s="18" t="s">
        <v>478</v>
      </c>
    </row>
    <row r="13" spans="1:11" x14ac:dyDescent="0.2">
      <c r="B13" s="34" t="s">
        <v>472</v>
      </c>
      <c r="C13" s="16" t="s">
        <v>475</v>
      </c>
      <c r="D13" s="17">
        <v>1</v>
      </c>
      <c r="E13" s="16" t="s">
        <v>213</v>
      </c>
      <c r="F13" s="16" t="s">
        <v>457</v>
      </c>
      <c r="G13" s="16" t="s">
        <v>412</v>
      </c>
      <c r="H13" s="16" t="s">
        <v>457</v>
      </c>
      <c r="I13" s="18" t="s">
        <v>478</v>
      </c>
    </row>
    <row r="14" spans="1:11" x14ac:dyDescent="0.2">
      <c r="B14" s="34" t="s">
        <v>473</v>
      </c>
      <c r="C14" s="16" t="s">
        <v>474</v>
      </c>
      <c r="D14" s="17" t="s">
        <v>469</v>
      </c>
      <c r="E14" s="16" t="s">
        <v>213</v>
      </c>
      <c r="F14" s="16" t="s">
        <v>457</v>
      </c>
      <c r="G14" s="16" t="s">
        <v>412</v>
      </c>
      <c r="H14" s="16" t="s">
        <v>457</v>
      </c>
      <c r="I14" s="18" t="s">
        <v>478</v>
      </c>
    </row>
    <row r="15" spans="1:11" x14ac:dyDescent="0.2">
      <c r="B15" s="34" t="s">
        <v>461</v>
      </c>
      <c r="C15" s="16" t="s">
        <v>158</v>
      </c>
      <c r="D15" s="17">
        <v>1</v>
      </c>
      <c r="E15" s="16" t="s">
        <v>213</v>
      </c>
      <c r="F15" s="16" t="s">
        <v>462</v>
      </c>
      <c r="G15" s="16" t="s">
        <v>412</v>
      </c>
      <c r="H15" s="16" t="s">
        <v>370</v>
      </c>
      <c r="I15" s="18" t="s">
        <v>416</v>
      </c>
    </row>
    <row r="16" spans="1:11" s="1" customFormat="1" x14ac:dyDescent="0.2">
      <c r="B16" s="34" t="s">
        <v>421</v>
      </c>
      <c r="C16" s="16" t="s">
        <v>422</v>
      </c>
      <c r="D16" s="17" t="s">
        <v>412</v>
      </c>
      <c r="E16" s="16" t="s">
        <v>154</v>
      </c>
      <c r="F16" s="16" t="s">
        <v>423</v>
      </c>
      <c r="G16" s="16" t="s">
        <v>370</v>
      </c>
      <c r="H16" s="18" t="s">
        <v>412</v>
      </c>
      <c r="J16" s="19" t="s">
        <v>600</v>
      </c>
      <c r="K16" s="13"/>
    </row>
    <row r="17" spans="2:10" x14ac:dyDescent="0.2">
      <c r="B17" s="19" t="s">
        <v>604</v>
      </c>
      <c r="C17" s="16" t="s">
        <v>257</v>
      </c>
      <c r="D17" s="17"/>
      <c r="E17" s="16" t="s">
        <v>154</v>
      </c>
      <c r="F17" s="16" t="s">
        <v>605</v>
      </c>
      <c r="G17" s="16"/>
      <c r="H17" s="16"/>
      <c r="I17" s="16"/>
      <c r="J17" s="29" t="s">
        <v>606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396</v>
      </c>
    </row>
    <row r="39" spans="2:2" x14ac:dyDescent="0.2">
      <c r="B39" s="19" t="s">
        <v>397</v>
      </c>
    </row>
    <row r="40" spans="2:2" x14ac:dyDescent="0.2">
      <c r="B40" s="19" t="s">
        <v>398</v>
      </c>
    </row>
    <row r="41" spans="2:2" x14ac:dyDescent="0.2">
      <c r="B41" s="19" t="s">
        <v>399</v>
      </c>
    </row>
    <row r="42" spans="2:2" x14ac:dyDescent="0.2">
      <c r="B42" s="19" t="s">
        <v>400</v>
      </c>
    </row>
    <row r="43" spans="2:2" x14ac:dyDescent="0.2">
      <c r="B43" s="19" t="s">
        <v>487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3"/>
  <sheetViews>
    <sheetView zoomScale="130" zoomScaleNormal="130" workbookViewId="0">
      <selection activeCell="B6" sqref="B6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" t="s">
        <v>15</v>
      </c>
      <c r="G2" s="35" t="s">
        <v>70</v>
      </c>
      <c r="H2" s="4" t="s">
        <v>94</v>
      </c>
      <c r="J2" s="1" t="s">
        <v>102</v>
      </c>
      <c r="K2" s="22">
        <v>91</v>
      </c>
    </row>
    <row r="3" spans="1:13" x14ac:dyDescent="0.2">
      <c r="B3" s="8" t="s">
        <v>223</v>
      </c>
      <c r="C3" s="6" t="s">
        <v>83</v>
      </c>
      <c r="D3" s="69">
        <v>1</v>
      </c>
      <c r="E3" s="70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570</v>
      </c>
    </row>
    <row r="4" spans="1:13" x14ac:dyDescent="0.2">
      <c r="B4" s="8" t="s">
        <v>107</v>
      </c>
      <c r="C4" s="6" t="s">
        <v>40</v>
      </c>
      <c r="D4" s="69" t="s">
        <v>41</v>
      </c>
      <c r="E4" s="71">
        <v>35751</v>
      </c>
      <c r="F4" s="72" t="s">
        <v>196</v>
      </c>
      <c r="G4" s="73" t="s">
        <v>186</v>
      </c>
      <c r="H4" s="7" t="s">
        <v>109</v>
      </c>
      <c r="J4" s="1" t="s">
        <v>105</v>
      </c>
      <c r="K4" s="23">
        <f>K2*K3</f>
        <v>113841</v>
      </c>
      <c r="L4" s="20"/>
    </row>
    <row r="5" spans="1:13" x14ac:dyDescent="0.2">
      <c r="B5" s="8" t="s">
        <v>64</v>
      </c>
      <c r="C5" s="6" t="s">
        <v>40</v>
      </c>
      <c r="D5" s="69">
        <v>1</v>
      </c>
      <c r="E5" s="71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571</v>
      </c>
      <c r="M5" s="27"/>
    </row>
    <row r="6" spans="1:13" x14ac:dyDescent="0.2">
      <c r="B6" s="8" t="s">
        <v>559</v>
      </c>
      <c r="C6" s="16" t="s">
        <v>401</v>
      </c>
      <c r="D6" s="17" t="s">
        <v>81</v>
      </c>
      <c r="E6" s="68"/>
      <c r="F6" s="16" t="s">
        <v>560</v>
      </c>
      <c r="G6" s="16" t="s">
        <v>370</v>
      </c>
      <c r="H6" s="18" t="s">
        <v>402</v>
      </c>
      <c r="J6" s="1" t="s">
        <v>104</v>
      </c>
      <c r="K6" s="23">
        <v>11483</v>
      </c>
      <c r="L6" s="33" t="s">
        <v>571</v>
      </c>
    </row>
    <row r="7" spans="1:13" x14ac:dyDescent="0.2">
      <c r="B7" s="34" t="s">
        <v>269</v>
      </c>
      <c r="C7" s="16" t="s">
        <v>286</v>
      </c>
      <c r="D7" s="69">
        <v>1</v>
      </c>
      <c r="E7" s="71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125324</v>
      </c>
    </row>
    <row r="8" spans="1:13" x14ac:dyDescent="0.2">
      <c r="B8" s="34" t="s">
        <v>267</v>
      </c>
      <c r="C8" s="6" t="s">
        <v>96</v>
      </c>
      <c r="D8" s="17" t="s">
        <v>268</v>
      </c>
      <c r="E8" s="71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9">
        <v>1</v>
      </c>
      <c r="E9" s="70">
        <v>41164</v>
      </c>
      <c r="F9" s="6"/>
      <c r="G9" s="16" t="s">
        <v>199</v>
      </c>
      <c r="H9" s="7" t="s">
        <v>109</v>
      </c>
      <c r="J9" s="19" t="s">
        <v>577</v>
      </c>
    </row>
    <row r="10" spans="1:13" x14ac:dyDescent="0.2">
      <c r="B10" s="34" t="s">
        <v>275</v>
      </c>
      <c r="C10" s="6" t="s">
        <v>80</v>
      </c>
      <c r="D10" s="69" t="s">
        <v>157</v>
      </c>
      <c r="E10" s="71">
        <v>37477</v>
      </c>
      <c r="F10" s="16" t="s">
        <v>276</v>
      </c>
      <c r="G10" s="16" t="s">
        <v>262</v>
      </c>
      <c r="H10" s="7" t="s">
        <v>135</v>
      </c>
      <c r="J10" s="11"/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9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9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9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3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9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9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9">
        <v>1</v>
      </c>
      <c r="E19" s="6"/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9">
        <v>1</v>
      </c>
      <c r="E20" s="6"/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9" t="s">
        <v>81</v>
      </c>
      <c r="E21" s="6"/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363</v>
      </c>
      <c r="C22" s="16" t="s">
        <v>331</v>
      </c>
      <c r="D22" s="17">
        <v>1</v>
      </c>
      <c r="E22" s="16"/>
      <c r="F22" s="16" t="s">
        <v>368</v>
      </c>
      <c r="G22" s="16" t="s">
        <v>371</v>
      </c>
      <c r="H22" s="7"/>
    </row>
    <row r="23" spans="2:10" x14ac:dyDescent="0.2">
      <c r="B23" s="34" t="s">
        <v>599</v>
      </c>
      <c r="C23" s="16" t="s">
        <v>392</v>
      </c>
      <c r="D23" s="69">
        <v>1</v>
      </c>
      <c r="E23" s="16" t="s">
        <v>213</v>
      </c>
      <c r="F23" s="16" t="s">
        <v>393</v>
      </c>
      <c r="G23" s="16" t="s">
        <v>245</v>
      </c>
      <c r="H23" s="18" t="s">
        <v>394</v>
      </c>
    </row>
    <row r="24" spans="2:10" x14ac:dyDescent="0.2">
      <c r="B24" s="34" t="s">
        <v>326</v>
      </c>
      <c r="C24" s="16" t="s">
        <v>481</v>
      </c>
      <c r="D24" s="69">
        <v>1</v>
      </c>
      <c r="E24" s="6"/>
      <c r="F24" s="16"/>
      <c r="G24" s="6"/>
      <c r="H24" s="7"/>
    </row>
    <row r="25" spans="2:10" x14ac:dyDescent="0.2">
      <c r="B25" s="34" t="s">
        <v>584</v>
      </c>
      <c r="C25" s="16" t="s">
        <v>580</v>
      </c>
      <c r="D25" s="69"/>
      <c r="E25" s="6"/>
      <c r="F25" s="16"/>
      <c r="G25" s="16" t="s">
        <v>581</v>
      </c>
      <c r="H25" s="7"/>
    </row>
    <row r="26" spans="2:10" x14ac:dyDescent="0.2">
      <c r="B26" s="34" t="s">
        <v>561</v>
      </c>
      <c r="C26" s="16" t="s">
        <v>387</v>
      </c>
      <c r="D26" s="17" t="s">
        <v>81</v>
      </c>
      <c r="E26" s="16"/>
      <c r="F26" s="16" t="s">
        <v>388</v>
      </c>
      <c r="G26" s="16" t="s">
        <v>370</v>
      </c>
      <c r="H26" s="18" t="s">
        <v>369</v>
      </c>
    </row>
    <row r="27" spans="2:10" x14ac:dyDescent="0.2">
      <c r="B27" s="34" t="s">
        <v>597</v>
      </c>
      <c r="C27" s="16" t="s">
        <v>364</v>
      </c>
      <c r="D27" s="17" t="s">
        <v>81</v>
      </c>
      <c r="E27" s="16"/>
      <c r="F27" s="16" t="s">
        <v>365</v>
      </c>
      <c r="G27" s="16" t="s">
        <v>370</v>
      </c>
      <c r="H27" s="18" t="s">
        <v>369</v>
      </c>
    </row>
    <row r="28" spans="2:10" x14ac:dyDescent="0.2">
      <c r="B28" s="34" t="s">
        <v>598</v>
      </c>
      <c r="C28" s="16" t="s">
        <v>441</v>
      </c>
      <c r="D28" s="17">
        <v>1</v>
      </c>
      <c r="E28" s="16"/>
      <c r="F28" s="16" t="s">
        <v>442</v>
      </c>
      <c r="G28" s="16" t="s">
        <v>370</v>
      </c>
      <c r="H28" s="18" t="s">
        <v>416</v>
      </c>
    </row>
    <row r="29" spans="2:10" x14ac:dyDescent="0.2">
      <c r="B29" s="34" t="s">
        <v>322</v>
      </c>
      <c r="C29" s="16" t="s">
        <v>137</v>
      </c>
      <c r="D29" s="69">
        <v>1</v>
      </c>
      <c r="E29" s="6"/>
      <c r="F29" s="16" t="s">
        <v>266</v>
      </c>
      <c r="G29" s="6"/>
      <c r="H29" s="7"/>
      <c r="J29" s="19"/>
    </row>
    <row r="30" spans="2:10" x14ac:dyDescent="0.2">
      <c r="B30" s="34" t="s">
        <v>366</v>
      </c>
      <c r="C30" s="16" t="s">
        <v>257</v>
      </c>
      <c r="D30" s="17" t="s">
        <v>328</v>
      </c>
      <c r="E30" s="16"/>
      <c r="F30" s="16" t="s">
        <v>367</v>
      </c>
      <c r="G30" s="16" t="s">
        <v>370</v>
      </c>
      <c r="H30" s="18" t="s">
        <v>135</v>
      </c>
    </row>
    <row r="31" spans="2:10" x14ac:dyDescent="0.2">
      <c r="B31" s="2"/>
      <c r="C31" s="3"/>
      <c r="D31" s="3"/>
      <c r="E31" s="3" t="s">
        <v>17</v>
      </c>
      <c r="F31" s="3" t="s">
        <v>70</v>
      </c>
      <c r="G31" s="35" t="s">
        <v>15</v>
      </c>
      <c r="H31" s="4"/>
    </row>
    <row r="32" spans="2:10" x14ac:dyDescent="0.2">
      <c r="B32" s="34" t="s">
        <v>382</v>
      </c>
      <c r="C32" s="16" t="s">
        <v>384</v>
      </c>
      <c r="D32" s="17">
        <v>1</v>
      </c>
      <c r="E32" s="16" t="s">
        <v>153</v>
      </c>
      <c r="F32" s="16" t="s">
        <v>266</v>
      </c>
      <c r="G32" s="16" t="s">
        <v>266</v>
      </c>
      <c r="H32" s="18" t="s">
        <v>386</v>
      </c>
    </row>
    <row r="33" spans="2:8" x14ac:dyDescent="0.2">
      <c r="B33" s="34" t="s">
        <v>585</v>
      </c>
      <c r="C33" s="16"/>
      <c r="D33" s="17"/>
      <c r="E33" s="16"/>
      <c r="F33" s="16" t="s">
        <v>586</v>
      </c>
      <c r="G33" s="16"/>
      <c r="H33" s="18"/>
    </row>
    <row r="34" spans="2:8" x14ac:dyDescent="0.2">
      <c r="B34" s="34" t="s">
        <v>383</v>
      </c>
      <c r="C34" s="16" t="s">
        <v>385</v>
      </c>
      <c r="D34" s="17">
        <v>1</v>
      </c>
      <c r="E34" s="16" t="s">
        <v>153</v>
      </c>
      <c r="F34" s="16" t="s">
        <v>266</v>
      </c>
      <c r="G34" s="16" t="s">
        <v>266</v>
      </c>
      <c r="H34" s="18" t="s">
        <v>386</v>
      </c>
    </row>
    <row r="35" spans="2:8" x14ac:dyDescent="0.2">
      <c r="B35" s="34" t="s">
        <v>485</v>
      </c>
      <c r="C35" s="16" t="s">
        <v>83</v>
      </c>
      <c r="D35" s="17">
        <v>1</v>
      </c>
      <c r="E35" s="16" t="s">
        <v>153</v>
      </c>
      <c r="F35" s="16" t="s">
        <v>486</v>
      </c>
      <c r="G35" s="16" t="s">
        <v>245</v>
      </c>
      <c r="H35" s="18" t="s">
        <v>369</v>
      </c>
    </row>
    <row r="36" spans="2:8" x14ac:dyDescent="0.2">
      <c r="B36" s="34" t="s">
        <v>332</v>
      </c>
      <c r="C36" s="16" t="s">
        <v>333</v>
      </c>
      <c r="D36" s="17">
        <v>1</v>
      </c>
      <c r="E36" s="16" t="s">
        <v>153</v>
      </c>
      <c r="F36" s="6"/>
      <c r="G36" s="16" t="s">
        <v>266</v>
      </c>
      <c r="H36" s="7"/>
    </row>
    <row r="37" spans="2:8" x14ac:dyDescent="0.2">
      <c r="B37" s="34" t="s">
        <v>375</v>
      </c>
      <c r="C37" s="16" t="s">
        <v>83</v>
      </c>
      <c r="D37" s="17" t="s">
        <v>395</v>
      </c>
      <c r="E37" s="16" t="s">
        <v>153</v>
      </c>
      <c r="F37" s="16" t="s">
        <v>84</v>
      </c>
      <c r="G37" s="16" t="s">
        <v>376</v>
      </c>
      <c r="H37" s="18" t="s">
        <v>377</v>
      </c>
    </row>
    <row r="38" spans="2:8" x14ac:dyDescent="0.2">
      <c r="B38" s="19" t="s">
        <v>601</v>
      </c>
      <c r="C38" s="16" t="s">
        <v>602</v>
      </c>
    </row>
    <row r="39" spans="2:8" x14ac:dyDescent="0.2">
      <c r="B39" s="34" t="s">
        <v>424</v>
      </c>
      <c r="C39" s="16" t="s">
        <v>425</v>
      </c>
      <c r="D39" s="17" t="s">
        <v>426</v>
      </c>
      <c r="E39" s="16" t="s">
        <v>154</v>
      </c>
      <c r="F39" s="16" t="s">
        <v>427</v>
      </c>
      <c r="G39" s="16" t="s">
        <v>370</v>
      </c>
      <c r="H39" s="18" t="s">
        <v>412</v>
      </c>
    </row>
    <row r="40" spans="2:8" x14ac:dyDescent="0.2">
      <c r="B40" s="34" t="s">
        <v>428</v>
      </c>
      <c r="C40" s="16" t="s">
        <v>429</v>
      </c>
      <c r="D40" s="17" t="s">
        <v>307</v>
      </c>
      <c r="E40" s="16" t="s">
        <v>154</v>
      </c>
      <c r="F40" s="16" t="s">
        <v>430</v>
      </c>
      <c r="G40" s="16" t="s">
        <v>370</v>
      </c>
      <c r="H40" s="18" t="s">
        <v>412</v>
      </c>
    </row>
    <row r="41" spans="2:8" x14ac:dyDescent="0.2">
      <c r="B41" s="34" t="s">
        <v>431</v>
      </c>
      <c r="C41" s="16" t="s">
        <v>432</v>
      </c>
      <c r="D41" s="17" t="s">
        <v>243</v>
      </c>
      <c r="E41" s="16" t="s">
        <v>154</v>
      </c>
      <c r="F41" s="16" t="s">
        <v>433</v>
      </c>
      <c r="G41" s="16" t="s">
        <v>371</v>
      </c>
      <c r="H41" s="18" t="s">
        <v>109</v>
      </c>
    </row>
    <row r="42" spans="2:8" x14ac:dyDescent="0.2">
      <c r="B42" s="34" t="s">
        <v>434</v>
      </c>
      <c r="C42" s="16" t="s">
        <v>435</v>
      </c>
      <c r="D42" s="17" t="s">
        <v>307</v>
      </c>
      <c r="E42" s="16" t="s">
        <v>154</v>
      </c>
      <c r="F42" s="16" t="s">
        <v>436</v>
      </c>
      <c r="G42" s="16" t="s">
        <v>412</v>
      </c>
      <c r="H42" s="18" t="s">
        <v>412</v>
      </c>
    </row>
    <row r="43" spans="2:8" x14ac:dyDescent="0.2">
      <c r="B43" s="34" t="s">
        <v>417</v>
      </c>
      <c r="C43" s="16" t="s">
        <v>418</v>
      </c>
      <c r="D43" s="17" t="s">
        <v>419</v>
      </c>
      <c r="E43" s="16" t="s">
        <v>154</v>
      </c>
      <c r="F43" s="16" t="s">
        <v>420</v>
      </c>
      <c r="G43" s="16" t="s">
        <v>412</v>
      </c>
      <c r="H43" s="18" t="s">
        <v>412</v>
      </c>
    </row>
    <row r="44" spans="2:8" x14ac:dyDescent="0.2">
      <c r="B44" s="34" t="s">
        <v>413</v>
      </c>
      <c r="C44" s="16" t="s">
        <v>414</v>
      </c>
      <c r="D44" s="69">
        <v>1</v>
      </c>
      <c r="E44" s="16" t="s">
        <v>154</v>
      </c>
      <c r="F44" s="16" t="s">
        <v>415</v>
      </c>
      <c r="G44" s="16" t="s">
        <v>370</v>
      </c>
      <c r="H44" s="18" t="s">
        <v>416</v>
      </c>
    </row>
    <row r="45" spans="2:8" x14ac:dyDescent="0.2">
      <c r="B45" s="34" t="s">
        <v>409</v>
      </c>
      <c r="C45" s="16" t="s">
        <v>410</v>
      </c>
      <c r="D45" s="69">
        <v>1</v>
      </c>
      <c r="E45" s="16" t="s">
        <v>154</v>
      </c>
      <c r="F45" s="16" t="s">
        <v>411</v>
      </c>
      <c r="G45" s="16" t="s">
        <v>412</v>
      </c>
      <c r="H45" s="18" t="s">
        <v>412</v>
      </c>
    </row>
    <row r="46" spans="2:8" x14ac:dyDescent="0.2">
      <c r="B46" s="34" t="s">
        <v>406</v>
      </c>
      <c r="C46" s="16" t="s">
        <v>407</v>
      </c>
      <c r="D46" s="69">
        <v>1</v>
      </c>
      <c r="E46" s="16" t="s">
        <v>154</v>
      </c>
      <c r="F46" s="16" t="s">
        <v>408</v>
      </c>
      <c r="G46" s="16" t="s">
        <v>370</v>
      </c>
      <c r="H46" s="18" t="s">
        <v>402</v>
      </c>
    </row>
    <row r="47" spans="2:8" x14ac:dyDescent="0.2">
      <c r="B47" s="34" t="s">
        <v>454</v>
      </c>
      <c r="C47" s="16" t="s">
        <v>455</v>
      </c>
      <c r="D47" s="69">
        <v>1</v>
      </c>
      <c r="E47" s="16" t="s">
        <v>213</v>
      </c>
      <c r="F47" s="16" t="s">
        <v>456</v>
      </c>
      <c r="G47" s="16" t="s">
        <v>457</v>
      </c>
      <c r="H47" s="18" t="s">
        <v>416</v>
      </c>
    </row>
    <row r="48" spans="2:8" x14ac:dyDescent="0.2">
      <c r="B48" s="34" t="s">
        <v>403</v>
      </c>
      <c r="C48" s="16" t="s">
        <v>404</v>
      </c>
      <c r="D48" s="69">
        <v>1</v>
      </c>
      <c r="E48" s="16" t="s">
        <v>154</v>
      </c>
      <c r="F48" s="16" t="s">
        <v>405</v>
      </c>
      <c r="G48" s="16" t="s">
        <v>370</v>
      </c>
      <c r="H48" s="18" t="s">
        <v>402</v>
      </c>
    </row>
    <row r="49" spans="2:8" x14ac:dyDescent="0.2">
      <c r="B49" s="34" t="s">
        <v>437</v>
      </c>
      <c r="C49" s="16" t="s">
        <v>242</v>
      </c>
      <c r="D49" s="69">
        <v>1</v>
      </c>
      <c r="E49" s="16" t="s">
        <v>213</v>
      </c>
      <c r="F49" s="16" t="s">
        <v>438</v>
      </c>
      <c r="G49" s="16" t="s">
        <v>370</v>
      </c>
      <c r="H49" s="18"/>
    </row>
    <row r="50" spans="2:8" x14ac:dyDescent="0.2">
      <c r="B50" s="34" t="s">
        <v>439</v>
      </c>
      <c r="C50" s="16" t="s">
        <v>242</v>
      </c>
      <c r="D50" s="17" t="s">
        <v>412</v>
      </c>
      <c r="E50" s="16" t="s">
        <v>213</v>
      </c>
      <c r="F50" s="16" t="s">
        <v>440</v>
      </c>
      <c r="G50" s="16" t="s">
        <v>412</v>
      </c>
      <c r="H50" s="18" t="s">
        <v>412</v>
      </c>
    </row>
    <row r="51" spans="2:8" x14ac:dyDescent="0.2">
      <c r="B51" s="34" t="s">
        <v>458</v>
      </c>
      <c r="C51" s="16" t="s">
        <v>459</v>
      </c>
      <c r="D51" s="17">
        <v>1</v>
      </c>
      <c r="E51" s="16" t="s">
        <v>213</v>
      </c>
      <c r="F51" s="16" t="s">
        <v>460</v>
      </c>
      <c r="G51" s="16" t="s">
        <v>370</v>
      </c>
      <c r="H51" s="18" t="s">
        <v>412</v>
      </c>
    </row>
    <row r="52" spans="2:8" x14ac:dyDescent="0.2">
      <c r="B52" s="34" t="s">
        <v>463</v>
      </c>
      <c r="C52" s="16" t="s">
        <v>464</v>
      </c>
      <c r="D52" s="17">
        <v>1</v>
      </c>
      <c r="E52" s="16" t="s">
        <v>213</v>
      </c>
      <c r="F52" s="16" t="s">
        <v>465</v>
      </c>
      <c r="G52" s="16" t="s">
        <v>370</v>
      </c>
      <c r="H52" s="18" t="s">
        <v>412</v>
      </c>
    </row>
    <row r="53" spans="2:8" x14ac:dyDescent="0.2">
      <c r="B53" s="34" t="s">
        <v>466</v>
      </c>
      <c r="C53" s="16" t="s">
        <v>467</v>
      </c>
      <c r="D53" s="17">
        <v>1</v>
      </c>
      <c r="E53" s="16" t="s">
        <v>213</v>
      </c>
      <c r="F53" s="16" t="s">
        <v>468</v>
      </c>
      <c r="G53" s="16" t="s">
        <v>370</v>
      </c>
      <c r="H53" s="18" t="s">
        <v>412</v>
      </c>
    </row>
    <row r="54" spans="2:8" x14ac:dyDescent="0.2">
      <c r="B54" s="34" t="s">
        <v>483</v>
      </c>
      <c r="C54" s="16" t="s">
        <v>327</v>
      </c>
      <c r="D54" s="17">
        <v>1</v>
      </c>
      <c r="E54" s="16" t="s">
        <v>213</v>
      </c>
      <c r="F54" s="16" t="s">
        <v>484</v>
      </c>
      <c r="G54" s="16" t="s">
        <v>245</v>
      </c>
      <c r="H54" s="18" t="s">
        <v>135</v>
      </c>
    </row>
    <row r="55" spans="2:8" x14ac:dyDescent="0.2">
      <c r="B55" s="34" t="s">
        <v>479</v>
      </c>
      <c r="C55" s="16" t="s">
        <v>480</v>
      </c>
      <c r="D55" s="17">
        <v>1</v>
      </c>
      <c r="E55" s="16" t="s">
        <v>213</v>
      </c>
      <c r="F55" s="16" t="s">
        <v>482</v>
      </c>
      <c r="G55" s="16" t="s">
        <v>371</v>
      </c>
      <c r="H55" s="18" t="s">
        <v>109</v>
      </c>
    </row>
    <row r="56" spans="2:8" x14ac:dyDescent="0.2">
      <c r="B56" s="34" t="s">
        <v>445</v>
      </c>
      <c r="C56" s="16" t="s">
        <v>242</v>
      </c>
      <c r="D56" s="17">
        <v>1</v>
      </c>
      <c r="E56" s="16" t="s">
        <v>213</v>
      </c>
      <c r="F56" s="16" t="s">
        <v>447</v>
      </c>
      <c r="G56" s="16" t="s">
        <v>412</v>
      </c>
      <c r="H56" s="18" t="s">
        <v>446</v>
      </c>
    </row>
    <row r="57" spans="2:8" x14ac:dyDescent="0.2">
      <c r="B57" s="34" t="s">
        <v>452</v>
      </c>
      <c r="C57" s="16" t="s">
        <v>242</v>
      </c>
      <c r="D57" s="17" t="s">
        <v>243</v>
      </c>
      <c r="E57" s="16" t="s">
        <v>213</v>
      </c>
      <c r="F57" s="16" t="s">
        <v>453</v>
      </c>
      <c r="G57" s="16" t="s">
        <v>371</v>
      </c>
      <c r="H57" s="18" t="s">
        <v>109</v>
      </c>
    </row>
    <row r="58" spans="2:8" x14ac:dyDescent="0.2">
      <c r="B58" s="34" t="s">
        <v>448</v>
      </c>
      <c r="C58" s="16" t="s">
        <v>242</v>
      </c>
      <c r="D58" s="17">
        <v>1</v>
      </c>
      <c r="E58" s="16" t="s">
        <v>213</v>
      </c>
      <c r="F58" s="16" t="s">
        <v>449</v>
      </c>
      <c r="G58" s="16" t="s">
        <v>370</v>
      </c>
      <c r="H58" s="18" t="s">
        <v>416</v>
      </c>
    </row>
    <row r="59" spans="2:8" x14ac:dyDescent="0.2">
      <c r="B59" s="34" t="s">
        <v>450</v>
      </c>
      <c r="C59" s="16" t="s">
        <v>242</v>
      </c>
      <c r="D59" s="17">
        <v>1</v>
      </c>
      <c r="E59" s="16" t="s">
        <v>213</v>
      </c>
      <c r="F59" s="16" t="s">
        <v>451</v>
      </c>
      <c r="G59" s="16" t="s">
        <v>371</v>
      </c>
      <c r="H59" s="18" t="s">
        <v>109</v>
      </c>
    </row>
    <row r="60" spans="2:8" x14ac:dyDescent="0.2">
      <c r="B60" s="49" t="s">
        <v>443</v>
      </c>
      <c r="C60" s="50" t="s">
        <v>242</v>
      </c>
      <c r="D60" s="51" t="s">
        <v>426</v>
      </c>
      <c r="E60" s="50" t="s">
        <v>213</v>
      </c>
      <c r="F60" s="50" t="s">
        <v>444</v>
      </c>
      <c r="G60" s="50" t="s">
        <v>370</v>
      </c>
      <c r="H60" s="52" t="s">
        <v>416</v>
      </c>
    </row>
    <row r="62" spans="2:8" x14ac:dyDescent="0.2">
      <c r="F62" s="19" t="s">
        <v>251</v>
      </c>
    </row>
    <row r="63" spans="2:8" x14ac:dyDescent="0.2">
      <c r="E63" s="12"/>
      <c r="F63" s="19" t="s">
        <v>372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4"/>
  <sheetViews>
    <sheetView tabSelected="1" zoomScale="145" zoomScaleNormal="145" workbookViewId="0">
      <pane xSplit="2" ySplit="2" topLeftCell="BW45" activePane="bottomRight" state="frozen"/>
      <selection pane="topRight" activeCell="C1" sqref="C1"/>
      <selection pane="bottomLeft" activeCell="A3" sqref="A3"/>
      <selection pane="bottomRight" activeCell="CH68" sqref="CH68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11" width="6.85546875" style="1" customWidth="1"/>
    <col min="112" max="116" width="7" style="1" customWidth="1"/>
    <col min="117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490</v>
      </c>
      <c r="AR2" s="55" t="s">
        <v>491</v>
      </c>
      <c r="AS2" s="33" t="s">
        <v>492</v>
      </c>
      <c r="AT2" s="33" t="s">
        <v>493</v>
      </c>
      <c r="AU2" s="33" t="s">
        <v>496</v>
      </c>
      <c r="AV2" s="33" t="s">
        <v>497</v>
      </c>
      <c r="AW2" s="33" t="s">
        <v>498</v>
      </c>
      <c r="AX2" s="33" t="s">
        <v>499</v>
      </c>
      <c r="AY2" s="33" t="s">
        <v>500</v>
      </c>
      <c r="AZ2" s="33" t="s">
        <v>501</v>
      </c>
      <c r="BA2" s="33" t="s">
        <v>502</v>
      </c>
      <c r="BB2" s="33" t="s">
        <v>503</v>
      </c>
      <c r="BC2" s="33" t="s">
        <v>504</v>
      </c>
      <c r="BD2" s="33" t="s">
        <v>505</v>
      </c>
      <c r="BE2" s="33" t="s">
        <v>506</v>
      </c>
      <c r="BF2" s="33" t="s">
        <v>507</v>
      </c>
      <c r="BG2" s="33" t="s">
        <v>508</v>
      </c>
      <c r="BH2" s="33" t="s">
        <v>509</v>
      </c>
      <c r="BI2" s="33" t="s">
        <v>510</v>
      </c>
      <c r="BJ2" s="33" t="s">
        <v>511</v>
      </c>
      <c r="BK2" s="59" t="s">
        <v>512</v>
      </c>
      <c r="BL2" s="59" t="s">
        <v>513</v>
      </c>
      <c r="BM2" s="59" t="s">
        <v>514</v>
      </c>
      <c r="BN2" s="59" t="s">
        <v>515</v>
      </c>
      <c r="BO2" s="59" t="s">
        <v>516</v>
      </c>
      <c r="BP2" s="59" t="s">
        <v>517</v>
      </c>
      <c r="BQ2" s="59" t="s">
        <v>518</v>
      </c>
      <c r="BR2" s="59" t="s">
        <v>519</v>
      </c>
      <c r="BS2" s="59" t="s">
        <v>520</v>
      </c>
      <c r="BT2" s="59" t="s">
        <v>521</v>
      </c>
      <c r="BU2" s="59" t="s">
        <v>522</v>
      </c>
      <c r="BV2" s="59" t="s">
        <v>523</v>
      </c>
      <c r="BW2" s="59" t="s">
        <v>524</v>
      </c>
      <c r="BX2" s="59" t="s">
        <v>525</v>
      </c>
      <c r="BY2" s="59" t="s">
        <v>526</v>
      </c>
      <c r="BZ2" s="59" t="s">
        <v>527</v>
      </c>
      <c r="CA2" s="59" t="s">
        <v>552</v>
      </c>
      <c r="CB2" s="59" t="s">
        <v>553</v>
      </c>
      <c r="CC2" s="59" t="s">
        <v>554</v>
      </c>
      <c r="CD2" s="59" t="s">
        <v>555</v>
      </c>
      <c r="CE2" s="59" t="s">
        <v>569</v>
      </c>
      <c r="CF2" s="59" t="s">
        <v>570</v>
      </c>
      <c r="CG2" s="59" t="s">
        <v>571</v>
      </c>
      <c r="CH2" s="59" t="s">
        <v>572</v>
      </c>
      <c r="CI2" s="59" t="s">
        <v>573</v>
      </c>
      <c r="CJ2" s="59" t="s">
        <v>574</v>
      </c>
      <c r="CK2" s="59" t="s">
        <v>575</v>
      </c>
      <c r="CL2" s="59" t="s">
        <v>576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60">
        <v>329</v>
      </c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v>3458</v>
      </c>
      <c r="CI3" s="60">
        <f t="shared" ref="CI3:CL3" si="19">+CE3*1.3</f>
        <v>3685.5</v>
      </c>
      <c r="CJ3" s="60">
        <f t="shared" si="19"/>
        <v>4293.9000000000005</v>
      </c>
      <c r="CK3" s="60">
        <f t="shared" si="19"/>
        <v>4518.8</v>
      </c>
      <c r="CL3" s="60">
        <f t="shared" si="19"/>
        <v>4495.4000000000005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>SUM(CE3:CH3)</f>
        <v>13072</v>
      </c>
      <c r="DK3" s="27">
        <f>SUM(CI3:CL3)</f>
        <v>16993.600000000002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54">
        <v>774</v>
      </c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v>439</v>
      </c>
      <c r="CI4" s="54">
        <f t="shared" ref="CH4:CL4" si="21">+CE4*0.9</f>
        <v>324</v>
      </c>
      <c r="CJ4" s="54">
        <f t="shared" si="21"/>
        <v>358.2</v>
      </c>
      <c r="CK4" s="54">
        <f t="shared" si="21"/>
        <v>387.90000000000003</v>
      </c>
      <c r="CL4" s="54">
        <f t="shared" si="21"/>
        <v>395.1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54">
        <v>437</v>
      </c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v>78</v>
      </c>
      <c r="CI5" s="54">
        <f t="shared" ref="CH5:CL5" si="23">+CH5-5</f>
        <v>73</v>
      </c>
      <c r="CJ5" s="54">
        <f t="shared" si="23"/>
        <v>68</v>
      </c>
      <c r="CK5" s="54">
        <f t="shared" si="23"/>
        <v>63</v>
      </c>
      <c r="CL5" s="54">
        <f t="shared" si="23"/>
        <v>58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54">
        <v>343</v>
      </c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v>231</v>
      </c>
      <c r="CI6" s="54">
        <f t="shared" ref="CH6:CL7" si="24">+CE6</f>
        <v>262</v>
      </c>
      <c r="CJ6" s="54">
        <f t="shared" si="24"/>
        <v>256</v>
      </c>
      <c r="CK6" s="54">
        <f t="shared" si="24"/>
        <v>233</v>
      </c>
      <c r="CL6" s="54">
        <f t="shared" si="24"/>
        <v>231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8" si="25">SUM(W6:Z6)</f>
        <v>3043</v>
      </c>
      <c r="CV6" s="23">
        <f t="shared" ref="CV6:CV50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</row>
    <row r="7" spans="1:125" s="27" customFormat="1" x14ac:dyDescent="0.2">
      <c r="B7" s="48" t="s">
        <v>542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54">
        <f>1294-BK4-BK9-89-90-66</f>
        <v>64</v>
      </c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v>1010</v>
      </c>
      <c r="CI7" s="54">
        <f t="shared" si="24"/>
        <v>1140</v>
      </c>
      <c r="CJ7" s="54">
        <f t="shared" si="24"/>
        <v>1080</v>
      </c>
      <c r="CK7" s="54">
        <f t="shared" si="24"/>
        <v>1055</v>
      </c>
      <c r="CL7" s="54">
        <f t="shared" si="24"/>
        <v>1010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</row>
    <row r="8" spans="1:125" s="27" customFormat="1" x14ac:dyDescent="0.2">
      <c r="B8" s="48" t="s">
        <v>579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v>230</v>
      </c>
      <c r="CI8" s="54">
        <f t="shared" ref="CH8:CL8" si="27">+CH8+10</f>
        <v>240</v>
      </c>
      <c r="CJ8" s="54">
        <f t="shared" si="27"/>
        <v>250</v>
      </c>
      <c r="CK8" s="54">
        <f t="shared" si="27"/>
        <v>260</v>
      </c>
      <c r="CL8" s="54">
        <f t="shared" si="27"/>
        <v>270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</row>
    <row r="9" spans="1:125" s="27" customFormat="1" x14ac:dyDescent="0.2">
      <c r="B9" s="48" t="s">
        <v>538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54">
        <v>211</v>
      </c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v>290</v>
      </c>
      <c r="CI9" s="54">
        <f t="shared" ref="CH9:CL9" si="28">+CE9*0.9</f>
        <v>288.90000000000003</v>
      </c>
      <c r="CJ9" s="54">
        <f t="shared" si="28"/>
        <v>281.7</v>
      </c>
      <c r="CK9" s="54">
        <f t="shared" si="28"/>
        <v>272.7</v>
      </c>
      <c r="CL9" s="54">
        <f t="shared" si="28"/>
        <v>261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</row>
    <row r="10" spans="1:125" s="27" customFormat="1" x14ac:dyDescent="0.2">
      <c r="B10" s="48" t="s">
        <v>582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v>22</v>
      </c>
      <c r="CI10" s="54">
        <f t="shared" ref="CH10:CL10" si="29">+CH10+5</f>
        <v>27</v>
      </c>
      <c r="CJ10" s="54">
        <f t="shared" si="29"/>
        <v>32</v>
      </c>
      <c r="CK10" s="54">
        <f t="shared" si="29"/>
        <v>37</v>
      </c>
      <c r="CL10" s="54">
        <f t="shared" si="29"/>
        <v>42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</row>
    <row r="11" spans="1:125" s="27" customFormat="1" x14ac:dyDescent="0.2">
      <c r="B11" s="48" t="s">
        <v>583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v>18</v>
      </c>
      <c r="CI11" s="54">
        <f t="shared" ref="CH11:CL11" si="30">+CH11+5</f>
        <v>23</v>
      </c>
      <c r="CJ11" s="54">
        <f t="shared" si="30"/>
        <v>28</v>
      </c>
      <c r="CK11" s="54">
        <f t="shared" si="30"/>
        <v>33</v>
      </c>
      <c r="CL11" s="54">
        <f t="shared" si="30"/>
        <v>38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1">+AF12-10</f>
        <v>500</v>
      </c>
      <c r="AH12" s="23">
        <f t="shared" si="31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54">
        <v>404</v>
      </c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v>211</v>
      </c>
      <c r="CI12" s="54">
        <f t="shared" ref="CH12:CL12" si="32">+CD12</f>
        <v>254</v>
      </c>
      <c r="CJ12" s="54">
        <f t="shared" si="32"/>
        <v>238</v>
      </c>
      <c r="CK12" s="54">
        <f t="shared" si="32"/>
        <v>235</v>
      </c>
      <c r="CL12" s="54">
        <f t="shared" si="32"/>
        <v>230</v>
      </c>
      <c r="CM12" s="54"/>
      <c r="CN12" s="23"/>
      <c r="CO12" s="23"/>
      <c r="CP12" s="23"/>
      <c r="CQ12" s="23"/>
      <c r="CR12" s="23">
        <f t="shared" ref="CR12:CR65" si="33">SUM(K12:N12)</f>
        <v>2229</v>
      </c>
      <c r="CS12" s="23">
        <f>SUM(O12:R12)</f>
        <v>2424</v>
      </c>
      <c r="CT12" s="23">
        <f t="shared" ref="CT12:CT15" si="34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5">CZ12*0.8</f>
        <v>576.70771200000024</v>
      </c>
      <c r="DB12" s="23">
        <f t="shared" si="35"/>
        <v>461.36616960000021</v>
      </c>
      <c r="DC12" s="23">
        <f>+DB12*0.1</f>
        <v>46.136616960000026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54">
        <v>220</v>
      </c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v>132</v>
      </c>
      <c r="CI13" s="54">
        <f t="shared" ref="CH13:CL13" si="36">+CH13-5</f>
        <v>127</v>
      </c>
      <c r="CJ13" s="54">
        <f t="shared" si="36"/>
        <v>122</v>
      </c>
      <c r="CK13" s="54">
        <f t="shared" si="36"/>
        <v>117</v>
      </c>
      <c r="CL13" s="54">
        <f t="shared" si="36"/>
        <v>112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54">
        <v>185</v>
      </c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v>269</v>
      </c>
      <c r="CI14" s="54">
        <f t="shared" ref="CH14:CL14" si="37">+CE14*1.01</f>
        <v>255.53</v>
      </c>
      <c r="CJ14" s="54">
        <f t="shared" si="37"/>
        <v>275.73</v>
      </c>
      <c r="CK14" s="54">
        <f t="shared" si="37"/>
        <v>255.53</v>
      </c>
      <c r="CL14" s="54">
        <f t="shared" si="37"/>
        <v>271.69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8">+AF15</f>
        <v>343</v>
      </c>
      <c r="AH15" s="23">
        <f t="shared" si="3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54">
        <v>201</v>
      </c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v>105</v>
      </c>
      <c r="CI15" s="54">
        <f t="shared" ref="CH15:CL15" si="39">+CE15*0.9</f>
        <v>94.5</v>
      </c>
      <c r="CJ15" s="54">
        <f t="shared" si="39"/>
        <v>97.2</v>
      </c>
      <c r="CK15" s="54">
        <f t="shared" si="39"/>
        <v>88.2</v>
      </c>
      <c r="CL15" s="54">
        <f t="shared" si="39"/>
        <v>94.5</v>
      </c>
      <c r="CM15" s="54"/>
      <c r="CN15" s="23"/>
      <c r="CO15" s="23"/>
      <c r="CP15" s="23"/>
      <c r="CQ15" s="23"/>
      <c r="CR15" s="23">
        <f t="shared" si="33"/>
        <v>1015</v>
      </c>
      <c r="CS15" s="23">
        <f t="shared" ref="CS15:CS48" si="40">SUM(O15:R15)</f>
        <v>1080</v>
      </c>
      <c r="CT15" s="23">
        <f t="shared" si="34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1">CX15*0.8</f>
        <v>424.6400000000001</v>
      </c>
      <c r="CZ15" s="23">
        <f t="shared" si="41"/>
        <v>339.7120000000001</v>
      </c>
      <c r="DA15" s="23">
        <f t="shared" si="41"/>
        <v>271.76960000000008</v>
      </c>
      <c r="DB15" s="23">
        <f t="shared" si="41"/>
        <v>217.41568000000007</v>
      </c>
      <c r="DC15" s="23">
        <f t="shared" si="41"/>
        <v>173.93254400000006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54">
        <v>176</v>
      </c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v>171</v>
      </c>
      <c r="CI16" s="54">
        <f t="shared" ref="CH16:CL16" si="42">+CE16</f>
        <v>214</v>
      </c>
      <c r="CJ16" s="54">
        <f t="shared" si="42"/>
        <v>193</v>
      </c>
      <c r="CK16" s="54">
        <f t="shared" si="42"/>
        <v>164</v>
      </c>
      <c r="CL16" s="54">
        <f t="shared" si="42"/>
        <v>171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</row>
    <row r="17" spans="2:109" s="27" customFormat="1" x14ac:dyDescent="0.2">
      <c r="B17" s="48" t="s">
        <v>535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54">
        <v>174</v>
      </c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>
        <v>81</v>
      </c>
      <c r="CI17" s="54">
        <f t="shared" ref="CI17:CL17" si="43">+CH17</f>
        <v>81</v>
      </c>
      <c r="CJ17" s="54">
        <f t="shared" si="43"/>
        <v>81</v>
      </c>
      <c r="CK17" s="54">
        <f t="shared" si="43"/>
        <v>81</v>
      </c>
      <c r="CL17" s="54">
        <f t="shared" si="43"/>
        <v>81</v>
      </c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</row>
    <row r="18" spans="2:109" s="27" customFormat="1" x14ac:dyDescent="0.2">
      <c r="B18" s="48" t="s">
        <v>536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54">
        <v>95</v>
      </c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>
        <v>169</v>
      </c>
      <c r="CI18" s="54">
        <f t="shared" ref="CH18:CL18" si="44">+CH18</f>
        <v>169</v>
      </c>
      <c r="CJ18" s="54">
        <f t="shared" si="44"/>
        <v>169</v>
      </c>
      <c r="CK18" s="54">
        <f t="shared" si="44"/>
        <v>169</v>
      </c>
      <c r="CL18" s="54">
        <f t="shared" si="44"/>
        <v>169</v>
      </c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</row>
    <row r="19" spans="2:109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54">
        <v>111</v>
      </c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>
        <v>77</v>
      </c>
      <c r="CI19" s="54">
        <f t="shared" ref="CH19:CL19" si="45">+CH19</f>
        <v>77</v>
      </c>
      <c r="CJ19" s="54">
        <f t="shared" si="45"/>
        <v>77</v>
      </c>
      <c r="CK19" s="54">
        <f t="shared" si="45"/>
        <v>77</v>
      </c>
      <c r="CL19" s="54">
        <f t="shared" si="45"/>
        <v>77</v>
      </c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</row>
    <row r="20" spans="2:109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4">
        <v>81</v>
      </c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>
        <v>125</v>
      </c>
      <c r="CI20" s="54">
        <f t="shared" ref="CH20:CL20" si="46">+CH20</f>
        <v>125</v>
      </c>
      <c r="CJ20" s="54">
        <f t="shared" si="46"/>
        <v>125</v>
      </c>
      <c r="CK20" s="54">
        <f t="shared" si="46"/>
        <v>125</v>
      </c>
      <c r="CL20" s="54">
        <f t="shared" si="46"/>
        <v>125</v>
      </c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</row>
    <row r="21" spans="2:109" s="27" customFormat="1" x14ac:dyDescent="0.2">
      <c r="B21" s="48" t="s">
        <v>529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54">
        <v>30</v>
      </c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>
        <v>126</v>
      </c>
      <c r="CI21" s="54">
        <f t="shared" ref="CH21:CL21" si="47">+CH21</f>
        <v>126</v>
      </c>
      <c r="CJ21" s="54">
        <f t="shared" si="47"/>
        <v>126</v>
      </c>
      <c r="CK21" s="54">
        <f t="shared" si="47"/>
        <v>126</v>
      </c>
      <c r="CL21" s="54">
        <f t="shared" si="47"/>
        <v>126</v>
      </c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</row>
    <row r="22" spans="2:109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8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54">
        <v>79</v>
      </c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>
        <v>77</v>
      </c>
      <c r="CI22" s="54">
        <f t="shared" ref="CH22:CL22" si="49">+CH22</f>
        <v>77</v>
      </c>
      <c r="CJ22" s="54">
        <f t="shared" si="49"/>
        <v>77</v>
      </c>
      <c r="CK22" s="54">
        <f t="shared" si="49"/>
        <v>77</v>
      </c>
      <c r="CL22" s="54">
        <f t="shared" si="49"/>
        <v>77</v>
      </c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</row>
    <row r="23" spans="2:109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54">
        <v>67</v>
      </c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>
        <v>69</v>
      </c>
      <c r="CI23" s="54">
        <f t="shared" ref="CH23:CL23" si="50">+CH23</f>
        <v>69</v>
      </c>
      <c r="CJ23" s="54">
        <f t="shared" si="50"/>
        <v>69</v>
      </c>
      <c r="CK23" s="54">
        <f t="shared" si="50"/>
        <v>69</v>
      </c>
      <c r="CL23" s="54">
        <f t="shared" si="50"/>
        <v>69</v>
      </c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</row>
    <row r="24" spans="2:109" s="27" customFormat="1" x14ac:dyDescent="0.2">
      <c r="B24" s="48" t="s">
        <v>540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4">
        <v>56</v>
      </c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>
        <v>110</v>
      </c>
      <c r="CI24" s="54">
        <f t="shared" ref="CH24:CL24" si="51">+CH24</f>
        <v>110</v>
      </c>
      <c r="CJ24" s="54">
        <f t="shared" si="51"/>
        <v>110</v>
      </c>
      <c r="CK24" s="54">
        <f t="shared" si="51"/>
        <v>110</v>
      </c>
      <c r="CL24" s="54">
        <f t="shared" si="51"/>
        <v>110</v>
      </c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</row>
    <row r="25" spans="2:109" s="27" customFormat="1" x14ac:dyDescent="0.2">
      <c r="B25" s="48" t="s">
        <v>531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54">
        <v>48</v>
      </c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>
        <v>87</v>
      </c>
      <c r="CI25" s="54">
        <f t="shared" ref="CH25:CL25" si="52">+CH25</f>
        <v>87</v>
      </c>
      <c r="CJ25" s="54">
        <f t="shared" si="52"/>
        <v>87</v>
      </c>
      <c r="CK25" s="54">
        <f t="shared" si="52"/>
        <v>87</v>
      </c>
      <c r="CL25" s="54">
        <f t="shared" si="52"/>
        <v>87</v>
      </c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</row>
    <row r="26" spans="2:109" s="27" customFormat="1" x14ac:dyDescent="0.2">
      <c r="B26" s="48" t="s">
        <v>532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5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>
        <v>130</v>
      </c>
      <c r="CI26" s="54">
        <f t="shared" ref="CH26:CL26" si="53">+CH26</f>
        <v>130</v>
      </c>
      <c r="CJ26" s="54">
        <f t="shared" si="53"/>
        <v>130</v>
      </c>
      <c r="CK26" s="54">
        <f t="shared" si="53"/>
        <v>130</v>
      </c>
      <c r="CL26" s="54">
        <f t="shared" si="53"/>
        <v>130</v>
      </c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</row>
    <row r="27" spans="2:109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4">
        <v>44</v>
      </c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>
        <v>12</v>
      </c>
      <c r="CI27" s="54">
        <f t="shared" ref="CH27:CL27" si="54">+CH27</f>
        <v>12</v>
      </c>
      <c r="CJ27" s="54">
        <f t="shared" si="54"/>
        <v>12</v>
      </c>
      <c r="CK27" s="54">
        <f t="shared" si="54"/>
        <v>12</v>
      </c>
      <c r="CL27" s="54">
        <f t="shared" si="54"/>
        <v>12</v>
      </c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</row>
    <row r="28" spans="2:109" s="27" customFormat="1" x14ac:dyDescent="0.2">
      <c r="B28" s="48" t="s">
        <v>539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>
        <v>58</v>
      </c>
      <c r="CI28" s="54">
        <f t="shared" ref="CH28:CL28" si="55">+CH28</f>
        <v>58</v>
      </c>
      <c r="CJ28" s="54">
        <f t="shared" si="55"/>
        <v>58</v>
      </c>
      <c r="CK28" s="54">
        <f t="shared" si="55"/>
        <v>58</v>
      </c>
      <c r="CL28" s="54">
        <f t="shared" si="55"/>
        <v>58</v>
      </c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</row>
    <row r="29" spans="2:109" s="27" customFormat="1" x14ac:dyDescent="0.2">
      <c r="B29" s="48" t="s">
        <v>537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54">
        <v>5</v>
      </c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>
        <v>73</v>
      </c>
      <c r="CI29" s="54">
        <f t="shared" ref="CH29:CL29" si="56">+CH29</f>
        <v>73</v>
      </c>
      <c r="CJ29" s="54">
        <f t="shared" si="56"/>
        <v>73</v>
      </c>
      <c r="CK29" s="54">
        <f t="shared" si="56"/>
        <v>73</v>
      </c>
      <c r="CL29" s="54">
        <f t="shared" si="56"/>
        <v>73</v>
      </c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</row>
    <row r="30" spans="2:109" s="27" customFormat="1" x14ac:dyDescent="0.2">
      <c r="B30" s="48" t="s">
        <v>578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>
        <v>38</v>
      </c>
      <c r="CI30" s="54">
        <f t="shared" ref="CH30:CL30" si="57">+CH30</f>
        <v>38</v>
      </c>
      <c r="CJ30" s="54">
        <f t="shared" si="57"/>
        <v>38</v>
      </c>
      <c r="CK30" s="54">
        <f t="shared" si="57"/>
        <v>38</v>
      </c>
      <c r="CL30" s="54">
        <f t="shared" si="57"/>
        <v>38</v>
      </c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</row>
    <row r="31" spans="2:109" s="27" customFormat="1" x14ac:dyDescent="0.2">
      <c r="B31" s="48" t="s">
        <v>533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>
        <v>51</v>
      </c>
      <c r="CI31" s="54">
        <f t="shared" ref="CH31:CL31" si="58">+CH31</f>
        <v>51</v>
      </c>
      <c r="CJ31" s="54">
        <f t="shared" si="58"/>
        <v>51</v>
      </c>
      <c r="CK31" s="54">
        <f t="shared" si="58"/>
        <v>51</v>
      </c>
      <c r="CL31" s="54">
        <f t="shared" si="58"/>
        <v>51</v>
      </c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</row>
    <row r="32" spans="2:109" s="27" customFormat="1" x14ac:dyDescent="0.2">
      <c r="B32" s="48" t="s">
        <v>541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>
        <v>132</v>
      </c>
      <c r="CI32" s="54">
        <f t="shared" ref="CH32:CL32" si="59">+CH32</f>
        <v>132</v>
      </c>
      <c r="CJ32" s="54">
        <f t="shared" si="59"/>
        <v>132</v>
      </c>
      <c r="CK32" s="54">
        <f t="shared" si="59"/>
        <v>132</v>
      </c>
      <c r="CL32" s="54">
        <f t="shared" si="59"/>
        <v>132</v>
      </c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</row>
    <row r="33" spans="2:107" s="27" customFormat="1" x14ac:dyDescent="0.2">
      <c r="B33" s="48" t="s">
        <v>534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07" s="27" customFormat="1" x14ac:dyDescent="0.2">
      <c r="B34" s="48" t="s">
        <v>607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54">
        <v>66</v>
      </c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23"/>
      <c r="CW34" s="23"/>
      <c r="CX34" s="23"/>
      <c r="CY34" s="23"/>
      <c r="CZ34" s="23"/>
      <c r="DA34" s="23"/>
      <c r="DB34" s="23"/>
      <c r="DC34" s="23"/>
    </row>
    <row r="35" spans="2:107" s="27" customFormat="1" x14ac:dyDescent="0.2">
      <c r="B35" s="48" t="s">
        <v>530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54">
        <v>0</v>
      </c>
      <c r="BV35" s="54">
        <v>15</v>
      </c>
      <c r="BW35" s="54">
        <v>30</v>
      </c>
      <c r="BX35" s="54">
        <v>43</v>
      </c>
      <c r="BY35" s="54">
        <v>58</v>
      </c>
      <c r="BZ35" s="54">
        <v>65</v>
      </c>
      <c r="CA35" s="54">
        <v>81</v>
      </c>
      <c r="CB35" s="54">
        <v>103</v>
      </c>
      <c r="CC35" s="54">
        <v>110</v>
      </c>
      <c r="CD35" s="54">
        <v>131</v>
      </c>
      <c r="CE35" s="54">
        <v>152</v>
      </c>
      <c r="CF35" s="54">
        <v>168</v>
      </c>
      <c r="CG35" s="54">
        <v>163</v>
      </c>
      <c r="CH35" s="54">
        <v>184</v>
      </c>
      <c r="CI35" s="54">
        <f>+CH35+10</f>
        <v>194</v>
      </c>
      <c r="CJ35" s="54">
        <f>+CI35+10</f>
        <v>204</v>
      </c>
      <c r="CK35" s="54">
        <f>+CJ35+10</f>
        <v>214</v>
      </c>
      <c r="CL35" s="54">
        <f>+CK35+10</f>
        <v>224</v>
      </c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</row>
    <row r="36" spans="2:107" s="27" customFormat="1" x14ac:dyDescent="0.2">
      <c r="B36" s="48" t="s">
        <v>495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56"/>
      <c r="AP36" s="23"/>
      <c r="AQ36" s="23"/>
      <c r="AR36" s="56">
        <v>6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54">
        <v>92</v>
      </c>
      <c r="BL36" s="54"/>
      <c r="BM36" s="54"/>
      <c r="BN36" s="54"/>
      <c r="BO36" s="54">
        <v>49</v>
      </c>
      <c r="BP36" s="54">
        <v>19</v>
      </c>
      <c r="BQ36" s="54">
        <v>24</v>
      </c>
      <c r="BR36" s="54">
        <v>21</v>
      </c>
      <c r="BS36" s="54">
        <v>24</v>
      </c>
      <c r="BT36" s="54">
        <v>19</v>
      </c>
      <c r="BU36" s="54">
        <v>20</v>
      </c>
      <c r="BV36" s="54">
        <v>19</v>
      </c>
      <c r="BW36" s="54">
        <v>25</v>
      </c>
      <c r="BX36" s="54">
        <v>20</v>
      </c>
      <c r="BY36" s="54">
        <v>18</v>
      </c>
      <c r="BZ36" s="54">
        <v>17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07" s="27" customFormat="1" x14ac:dyDescent="0.2">
      <c r="B37" s="48" t="s">
        <v>489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>
        <v>63</v>
      </c>
      <c r="AO37" s="56">
        <v>59</v>
      </c>
      <c r="AP37" s="23"/>
      <c r="AQ37" s="23"/>
      <c r="AR37" s="56">
        <v>64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54">
        <f>766-176-48-220-185-67</f>
        <v>70</v>
      </c>
      <c r="BL37" s="54"/>
      <c r="BM37" s="54"/>
      <c r="BN37" s="54"/>
      <c r="BO37" s="54">
        <f>794-67-214-246-58-189</f>
        <v>20</v>
      </c>
      <c r="BP37" s="54">
        <f>738-55-199-226-57-179</f>
        <v>22</v>
      </c>
      <c r="BQ37" s="54">
        <f>745-55-204-241-60-162</f>
        <v>23</v>
      </c>
      <c r="BR37" s="54">
        <v>23</v>
      </c>
      <c r="BS37" s="54">
        <v>21</v>
      </c>
      <c r="BT37" s="54">
        <v>24</v>
      </c>
      <c r="BU37" s="54">
        <v>24</v>
      </c>
      <c r="BV37" s="54">
        <v>15</v>
      </c>
      <c r="BW37" s="54">
        <v>18</v>
      </c>
      <c r="BX37" s="54">
        <f>3+20</f>
        <v>23</v>
      </c>
      <c r="BY37" s="54">
        <f>336-52-151-126+900-69-240-58-255-78-181</f>
        <v>26</v>
      </c>
      <c r="BZ37" s="54">
        <f>850-BZ35-BZ23-BZ16-BZ25-BZ13-BZ14</f>
        <v>34</v>
      </c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/>
      <c r="CS37" s="23"/>
      <c r="CT37" s="23"/>
      <c r="CU37" s="32"/>
      <c r="CV37" s="32"/>
      <c r="CW37" s="23"/>
      <c r="CX37" s="23"/>
      <c r="CY37" s="23"/>
      <c r="CZ37" s="23"/>
      <c r="DA37" s="23"/>
      <c r="DB37" s="23"/>
      <c r="DC37" s="23"/>
    </row>
    <row r="38" spans="2:107" s="27" customFormat="1" x14ac:dyDescent="0.2">
      <c r="B38" s="58" t="s">
        <v>228</v>
      </c>
      <c r="C38" s="23"/>
      <c r="D38" s="23"/>
      <c r="E38" s="23"/>
      <c r="F38" s="23"/>
      <c r="G38" s="23"/>
      <c r="H38" s="23"/>
      <c r="I38" s="23"/>
      <c r="J38" s="23"/>
      <c r="K38" s="23">
        <v>121</v>
      </c>
      <c r="L38" s="23">
        <v>119</v>
      </c>
      <c r="M38" s="23">
        <v>106</v>
      </c>
      <c r="N38" s="23">
        <v>105</v>
      </c>
      <c r="O38" s="23">
        <f>197-P38</f>
        <v>94</v>
      </c>
      <c r="P38" s="23">
        <v>103</v>
      </c>
      <c r="Q38" s="23">
        <v>94</v>
      </c>
      <c r="R38" s="23">
        <v>101</v>
      </c>
      <c r="S38" s="23">
        <v>92</v>
      </c>
      <c r="T38" s="23">
        <v>95</v>
      </c>
      <c r="U38" s="23">
        <v>94</v>
      </c>
      <c r="V38" s="23">
        <v>106</v>
      </c>
      <c r="W38" s="23">
        <v>100</v>
      </c>
      <c r="X38" s="23">
        <f>207-W38</f>
        <v>107</v>
      </c>
      <c r="Y38" s="23">
        <v>103</v>
      </c>
      <c r="Z38" s="23">
        <v>106</v>
      </c>
      <c r="AA38" s="23">
        <v>108</v>
      </c>
      <c r="AB38" s="23">
        <v>126</v>
      </c>
      <c r="AC38" s="23">
        <v>121</v>
      </c>
      <c r="AD38" s="23">
        <v>123</v>
      </c>
      <c r="AE38" s="23">
        <v>108</v>
      </c>
      <c r="AF38" s="23">
        <v>109</v>
      </c>
      <c r="AG38" s="23">
        <f>+AF38-5</f>
        <v>104</v>
      </c>
      <c r="AH38" s="23">
        <f>+AG38-5</f>
        <v>99</v>
      </c>
      <c r="AI38" s="23"/>
      <c r="AJ38" s="23"/>
      <c r="AK38" s="23"/>
      <c r="AL38" s="23"/>
      <c r="AM38" s="23"/>
      <c r="AN38" s="23">
        <v>99</v>
      </c>
      <c r="AO38" s="56">
        <v>91</v>
      </c>
      <c r="AP38" s="23"/>
      <c r="AQ38" s="23"/>
      <c r="AR38" s="56">
        <v>96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54">
        <v>90</v>
      </c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>
        <f>SUM(K38:N38)</f>
        <v>451</v>
      </c>
      <c r="CS38" s="23">
        <f>SUM(O38:R38)</f>
        <v>392</v>
      </c>
      <c r="CT38" s="23">
        <f>SUM(S38:V38)</f>
        <v>387</v>
      </c>
      <c r="CU38" s="23">
        <f>SUM(W38:Z38)</f>
        <v>416</v>
      </c>
      <c r="CV38" s="23">
        <f>SUM(AA38:AD38)</f>
        <v>478</v>
      </c>
      <c r="CW38" s="23">
        <f t="shared" ref="CW38:DC38" si="60">CV38*0.9</f>
        <v>430.2</v>
      </c>
      <c r="CX38" s="23">
        <f t="shared" si="60"/>
        <v>387.18</v>
      </c>
      <c r="CY38" s="23">
        <f t="shared" si="60"/>
        <v>348.46199999999999</v>
      </c>
      <c r="CZ38" s="23">
        <f t="shared" si="60"/>
        <v>313.61579999999998</v>
      </c>
      <c r="DA38" s="23">
        <f t="shared" si="60"/>
        <v>282.25421999999998</v>
      </c>
      <c r="DB38" s="23">
        <f t="shared" si="60"/>
        <v>254.02879799999999</v>
      </c>
      <c r="DC38" s="23">
        <f t="shared" si="60"/>
        <v>228.6259182</v>
      </c>
    </row>
    <row r="39" spans="2:107" s="27" customFormat="1" x14ac:dyDescent="0.2">
      <c r="B39" s="48" t="s">
        <v>340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89</v>
      </c>
      <c r="AG39" s="23"/>
      <c r="AH39" s="23"/>
      <c r="AI39" s="23"/>
      <c r="AJ39" s="23"/>
      <c r="AK39" s="23"/>
      <c r="AL39" s="23"/>
      <c r="AM39" s="23"/>
      <c r="AN39" s="23">
        <v>105</v>
      </c>
      <c r="AO39" s="56">
        <v>90</v>
      </c>
      <c r="AP39" s="23"/>
      <c r="AQ39" s="23"/>
      <c r="AR39" s="56">
        <v>93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54">
        <v>68</v>
      </c>
      <c r="BL39" s="54"/>
      <c r="BM39" s="54"/>
      <c r="BN39" s="54"/>
      <c r="BO39" s="54">
        <v>58</v>
      </c>
      <c r="BP39" s="54">
        <v>38</v>
      </c>
      <c r="BQ39" s="54">
        <v>56</v>
      </c>
      <c r="BR39" s="54">
        <v>40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32"/>
      <c r="CV39" s="32"/>
      <c r="CW39" s="23"/>
      <c r="CX39" s="23"/>
      <c r="CY39" s="23"/>
      <c r="CZ39" s="23"/>
      <c r="DA39" s="23"/>
      <c r="DB39" s="23"/>
      <c r="DC39" s="23"/>
    </row>
    <row r="40" spans="2:107" s="27" customFormat="1" x14ac:dyDescent="0.2">
      <c r="B40" s="27" t="s">
        <v>214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31</v>
      </c>
      <c r="X40" s="23">
        <f>66-W40</f>
        <v>35</v>
      </c>
      <c r="Y40" s="23">
        <v>34</v>
      </c>
      <c r="Z40" s="23">
        <v>37</v>
      </c>
      <c r="AA40" s="23">
        <v>39</v>
      </c>
      <c r="AB40" s="23">
        <v>44</v>
      </c>
      <c r="AC40" s="23">
        <v>45</v>
      </c>
      <c r="AD40" s="23">
        <v>49</v>
      </c>
      <c r="AE40" s="23">
        <v>49</v>
      </c>
      <c r="AF40" s="23">
        <v>53</v>
      </c>
      <c r="AG40" s="23">
        <f>+AF40</f>
        <v>53</v>
      </c>
      <c r="AH40" s="23">
        <f>+AG40</f>
        <v>53</v>
      </c>
      <c r="AI40" s="23"/>
      <c r="AJ40" s="23"/>
      <c r="AK40" s="23"/>
      <c r="AL40" s="23"/>
      <c r="AM40" s="23"/>
      <c r="AN40" s="23">
        <v>68</v>
      </c>
      <c r="AO40" s="56">
        <v>73</v>
      </c>
      <c r="AP40" s="23"/>
      <c r="AQ40" s="23"/>
      <c r="AR40" s="56">
        <v>77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54">
        <v>89</v>
      </c>
      <c r="BL40" s="54"/>
      <c r="BM40" s="54"/>
      <c r="BN40" s="54"/>
      <c r="BO40" s="54">
        <v>89</v>
      </c>
      <c r="BP40" s="54">
        <v>84</v>
      </c>
      <c r="BQ40" s="54">
        <v>79</v>
      </c>
      <c r="BR40" s="54">
        <v>80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O40" s="23"/>
      <c r="CP40" s="23"/>
      <c r="CQ40" s="23"/>
      <c r="CR40" s="23"/>
      <c r="CS40" s="23"/>
      <c r="CT40" s="23"/>
      <c r="CU40" s="23">
        <f>SUM(W40:Z40)</f>
        <v>137</v>
      </c>
      <c r="CV40" s="23">
        <f>SUM(AA40:AD40)</f>
        <v>177</v>
      </c>
      <c r="CW40" s="23">
        <f t="shared" ref="CW40:DB40" si="61">CV40*1.02</f>
        <v>180.54</v>
      </c>
      <c r="CX40" s="23">
        <f t="shared" si="61"/>
        <v>184.1508</v>
      </c>
      <c r="CY40" s="23">
        <f t="shared" si="61"/>
        <v>187.83381600000001</v>
      </c>
      <c r="CZ40" s="23">
        <f t="shared" si="61"/>
        <v>191.59049232000001</v>
      </c>
      <c r="DA40" s="23">
        <f t="shared" si="61"/>
        <v>195.42230216640002</v>
      </c>
      <c r="DB40" s="23">
        <f t="shared" si="61"/>
        <v>199.33074820972803</v>
      </c>
      <c r="DC40" s="23">
        <f t="shared" ref="DC40" si="62">DB40*1.02</f>
        <v>203.31736317392259</v>
      </c>
    </row>
    <row r="41" spans="2:107" x14ac:dyDescent="0.2">
      <c r="B41" s="1" t="s">
        <v>61</v>
      </c>
      <c r="K41" s="23">
        <v>429</v>
      </c>
      <c r="L41" s="23">
        <v>445</v>
      </c>
      <c r="M41" s="23">
        <v>417</v>
      </c>
      <c r="N41" s="23">
        <v>402</v>
      </c>
      <c r="O41" s="23">
        <f>773-P41</f>
        <v>393</v>
      </c>
      <c r="P41" s="23">
        <v>380</v>
      </c>
      <c r="Q41" s="23">
        <v>383</v>
      </c>
      <c r="R41" s="23">
        <v>365</v>
      </c>
      <c r="S41" s="23">
        <v>342</v>
      </c>
      <c r="T41" s="23">
        <v>326</v>
      </c>
      <c r="U41" s="23">
        <v>325</v>
      </c>
      <c r="V41" s="23">
        <v>355</v>
      </c>
      <c r="W41" s="23">
        <v>344</v>
      </c>
      <c r="X41" s="23">
        <f>697-W41</f>
        <v>353</v>
      </c>
      <c r="Y41" s="23">
        <v>193</v>
      </c>
      <c r="Z41" s="23">
        <v>67</v>
      </c>
      <c r="AA41" s="23">
        <v>66</v>
      </c>
      <c r="AB41" s="23">
        <v>94</v>
      </c>
      <c r="AC41" s="23">
        <v>120</v>
      </c>
      <c r="AD41" s="23">
        <v>147</v>
      </c>
      <c r="AE41" s="23">
        <v>188</v>
      </c>
      <c r="AF41" s="23">
        <v>248</v>
      </c>
      <c r="AG41" s="23">
        <f t="shared" ref="AG41:AH41" si="63">+AF41</f>
        <v>248</v>
      </c>
      <c r="AH41" s="23">
        <f t="shared" si="63"/>
        <v>248</v>
      </c>
      <c r="AI41" s="23"/>
      <c r="AJ41" s="23"/>
      <c r="AK41" s="23"/>
      <c r="AL41" s="23"/>
      <c r="AM41" s="23"/>
      <c r="AN41" s="23">
        <v>60</v>
      </c>
      <c r="AO41" s="56">
        <v>50</v>
      </c>
      <c r="AP41" s="23"/>
      <c r="AQ41" s="23"/>
      <c r="AR41" s="56">
        <v>47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4">
        <v>54</v>
      </c>
      <c r="BL41" s="54"/>
      <c r="BM41" s="54"/>
      <c r="BN41" s="54"/>
      <c r="BO41" s="54">
        <v>47</v>
      </c>
      <c r="BP41" s="54">
        <v>47</v>
      </c>
      <c r="BQ41" s="54">
        <v>52</v>
      </c>
      <c r="BR41" s="54">
        <v>52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1693</v>
      </c>
      <c r="CS41" s="23">
        <f>SUM(O41:R41)</f>
        <v>1521</v>
      </c>
      <c r="CT41" s="23">
        <f t="shared" ref="CT41:CT48" si="64">SUM(S41:V41)</f>
        <v>1348</v>
      </c>
      <c r="CU41" s="23">
        <f>SUM(W41:Z41)</f>
        <v>957</v>
      </c>
      <c r="CV41" s="23">
        <f>SUM(AA41:AD41)</f>
        <v>427</v>
      </c>
      <c r="CW41" s="23">
        <f>CV41*0.85</f>
        <v>362.95</v>
      </c>
      <c r="CX41" s="23">
        <f t="shared" ref="CX41:DC41" si="65">CW41*0.85</f>
        <v>308.50749999999999</v>
      </c>
      <c r="CY41" s="23">
        <f t="shared" si="65"/>
        <v>262.23137500000001</v>
      </c>
      <c r="CZ41" s="23">
        <f t="shared" si="65"/>
        <v>222.89666875</v>
      </c>
      <c r="DA41" s="23">
        <f t="shared" si="65"/>
        <v>189.4621684375</v>
      </c>
      <c r="DB41" s="23">
        <f t="shared" si="65"/>
        <v>161.04284317187501</v>
      </c>
      <c r="DC41" s="23">
        <f t="shared" si="65"/>
        <v>136.88641669609376</v>
      </c>
    </row>
    <row r="42" spans="2:107" x14ac:dyDescent="0.2">
      <c r="B42" s="1" t="s">
        <v>132</v>
      </c>
      <c r="K42" s="23">
        <v>441</v>
      </c>
      <c r="L42" s="23">
        <v>467</v>
      </c>
      <c r="M42" s="23">
        <v>538</v>
      </c>
      <c r="N42" s="23">
        <v>580</v>
      </c>
      <c r="O42" s="23">
        <f>858-P42</f>
        <v>606</v>
      </c>
      <c r="P42" s="23">
        <v>252</v>
      </c>
      <c r="Q42" s="23">
        <v>207</v>
      </c>
      <c r="R42" s="23">
        <v>185</v>
      </c>
      <c r="S42" s="23">
        <v>210</v>
      </c>
      <c r="T42" s="23">
        <v>191</v>
      </c>
      <c r="U42" s="23">
        <v>201</v>
      </c>
      <c r="V42" s="23">
        <v>227</v>
      </c>
      <c r="W42" s="23">
        <v>220</v>
      </c>
      <c r="X42" s="23">
        <f>447-W42</f>
        <v>227</v>
      </c>
      <c r="Y42" s="23">
        <v>213</v>
      </c>
      <c r="Z42" s="23">
        <v>213</v>
      </c>
      <c r="AA42" s="23">
        <f>142+62+17</f>
        <v>221</v>
      </c>
      <c r="AB42" s="23">
        <v>220</v>
      </c>
      <c r="AC42" s="23">
        <v>218</v>
      </c>
      <c r="AD42" s="23">
        <v>160</v>
      </c>
      <c r="AE42" s="23">
        <v>116</v>
      </c>
      <c r="AF42" s="23">
        <v>116</v>
      </c>
      <c r="AG42" s="23">
        <f>+AF42-5</f>
        <v>111</v>
      </c>
      <c r="AH42" s="23">
        <f>+AG42-5</f>
        <v>106</v>
      </c>
      <c r="AI42" s="23"/>
      <c r="AJ42" s="23"/>
      <c r="AK42" s="23"/>
      <c r="AL42" s="23"/>
      <c r="AM42" s="23"/>
      <c r="AN42" s="23">
        <v>92</v>
      </c>
      <c r="AO42" s="56">
        <v>94</v>
      </c>
      <c r="AP42" s="23"/>
      <c r="AQ42" s="23"/>
      <c r="AR42" s="56">
        <v>73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54">
        <v>52</v>
      </c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2026</v>
      </c>
      <c r="CS42" s="23">
        <f>SUM(O42:R42)</f>
        <v>1250</v>
      </c>
      <c r="CT42" s="23">
        <f t="shared" si="64"/>
        <v>829</v>
      </c>
      <c r="CU42" s="23">
        <f>SUM(W42:Z42)</f>
        <v>873</v>
      </c>
      <c r="CV42" s="23">
        <f>SUM(AA42:AD42)</f>
        <v>819</v>
      </c>
      <c r="CW42" s="23">
        <f>CV42*0.2</f>
        <v>163.80000000000001</v>
      </c>
      <c r="CX42" s="23">
        <f>CW42*0.2</f>
        <v>32.760000000000005</v>
      </c>
      <c r="CY42" s="23">
        <f>CX42*0.2</f>
        <v>6.5520000000000014</v>
      </c>
      <c r="CZ42" s="23">
        <f t="shared" ref="CZ42:DB42" si="66">CY42*0.5</f>
        <v>3.2760000000000007</v>
      </c>
      <c r="DA42" s="23">
        <f t="shared" si="66"/>
        <v>1.6380000000000003</v>
      </c>
      <c r="DB42" s="23">
        <f t="shared" si="66"/>
        <v>0.81900000000000017</v>
      </c>
      <c r="DC42" s="23">
        <f t="shared" ref="DC42" si="67">DB42*0.5</f>
        <v>0.40950000000000009</v>
      </c>
    </row>
    <row r="43" spans="2:107" x14ac:dyDescent="0.2">
      <c r="B43" s="1" t="s">
        <v>48</v>
      </c>
      <c r="K43" s="23">
        <v>180</v>
      </c>
      <c r="L43" s="23">
        <v>189</v>
      </c>
      <c r="M43" s="23">
        <v>156</v>
      </c>
      <c r="N43" s="23">
        <v>163</v>
      </c>
      <c r="O43" s="23">
        <f>399-P43</f>
        <v>201</v>
      </c>
      <c r="P43" s="23">
        <v>198</v>
      </c>
      <c r="Q43" s="23">
        <v>159</v>
      </c>
      <c r="R43" s="23">
        <v>148</v>
      </c>
      <c r="S43" s="23">
        <v>204</v>
      </c>
      <c r="T43" s="23">
        <v>171</v>
      </c>
      <c r="U43" s="23">
        <v>139</v>
      </c>
      <c r="V43" s="23">
        <v>174</v>
      </c>
      <c r="W43" s="23">
        <v>251</v>
      </c>
      <c r="X43" s="23">
        <v>191</v>
      </c>
      <c r="Y43" s="23">
        <v>153</v>
      </c>
      <c r="Z43" s="23">
        <v>140</v>
      </c>
      <c r="AA43" s="23">
        <v>171</v>
      </c>
      <c r="AB43" s="23">
        <v>148</v>
      </c>
      <c r="AC43" s="23">
        <v>136</v>
      </c>
      <c r="AD43" s="23">
        <v>152</v>
      </c>
      <c r="AE43" s="23">
        <v>216</v>
      </c>
      <c r="AF43" s="23">
        <v>119</v>
      </c>
      <c r="AG43" s="23">
        <f>+AF43-5</f>
        <v>114</v>
      </c>
      <c r="AH43" s="23">
        <f>+AG43+10</f>
        <v>124</v>
      </c>
      <c r="AI43" s="23"/>
      <c r="AJ43" s="23"/>
      <c r="AK43" s="23"/>
      <c r="AL43" s="23"/>
      <c r="AM43" s="23"/>
      <c r="AN43" s="23">
        <v>79</v>
      </c>
      <c r="AO43" s="56">
        <v>71</v>
      </c>
      <c r="AP43" s="23"/>
      <c r="AQ43" s="23"/>
      <c r="AR43" s="56">
        <v>39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54">
        <v>56</v>
      </c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>SUM(K43:N43)</f>
        <v>688</v>
      </c>
      <c r="CS43" s="23">
        <f>SUM(O43:R43)</f>
        <v>706</v>
      </c>
      <c r="CT43" s="23">
        <f t="shared" si="64"/>
        <v>688</v>
      </c>
      <c r="CU43" s="23">
        <f t="shared" si="25"/>
        <v>735</v>
      </c>
      <c r="CV43" s="23">
        <f t="shared" si="26"/>
        <v>607</v>
      </c>
      <c r="CW43" s="23">
        <f t="shared" ref="CW43:DC43" si="68">CV43*0.8</f>
        <v>485.6</v>
      </c>
      <c r="CX43" s="23">
        <f t="shared" si="68"/>
        <v>388.48</v>
      </c>
      <c r="CY43" s="23">
        <f t="shared" si="68"/>
        <v>310.78400000000005</v>
      </c>
      <c r="CZ43" s="23">
        <f t="shared" si="68"/>
        <v>248.62720000000004</v>
      </c>
      <c r="DA43" s="23">
        <f t="shared" si="68"/>
        <v>198.90176000000005</v>
      </c>
      <c r="DB43" s="23">
        <f t="shared" si="68"/>
        <v>159.12140800000006</v>
      </c>
      <c r="DC43" s="23">
        <f t="shared" si="68"/>
        <v>127.29712640000005</v>
      </c>
    </row>
    <row r="44" spans="2:107" x14ac:dyDescent="0.2">
      <c r="B44" s="31" t="s">
        <v>226</v>
      </c>
      <c r="K44" s="23">
        <v>235</v>
      </c>
      <c r="L44" s="23">
        <v>248</v>
      </c>
      <c r="M44" s="23">
        <v>223</v>
      </c>
      <c r="N44" s="23">
        <v>271</v>
      </c>
      <c r="O44" s="23">
        <f>378-P44</f>
        <v>211</v>
      </c>
      <c r="P44" s="23">
        <v>167</v>
      </c>
      <c r="Q44" s="23">
        <v>168</v>
      </c>
      <c r="R44" s="23">
        <v>195</v>
      </c>
      <c r="S44" s="23">
        <v>138</v>
      </c>
      <c r="T44" s="23">
        <v>137</v>
      </c>
      <c r="U44" s="23">
        <v>122</v>
      </c>
      <c r="V44" s="23">
        <v>116</v>
      </c>
      <c r="W44" s="23">
        <v>110</v>
      </c>
      <c r="X44" s="23">
        <f>221-W44</f>
        <v>111</v>
      </c>
      <c r="Y44" s="23">
        <v>107</v>
      </c>
      <c r="Z44" s="23">
        <v>101</v>
      </c>
      <c r="AA44" s="23">
        <v>105</v>
      </c>
      <c r="AB44" s="23">
        <v>106</v>
      </c>
      <c r="AC44" s="23">
        <v>103</v>
      </c>
      <c r="AD44" s="23">
        <v>96</v>
      </c>
      <c r="AE44" s="23">
        <v>99</v>
      </c>
      <c r="AF44" s="23"/>
      <c r="AG44" s="23"/>
      <c r="AH44" s="23"/>
      <c r="AI44" s="23"/>
      <c r="AJ44" s="23"/>
      <c r="AK44" s="23"/>
      <c r="AL44" s="23"/>
      <c r="AM44" s="23"/>
      <c r="AN44" s="23">
        <v>80</v>
      </c>
      <c r="AO44" s="56">
        <v>75</v>
      </c>
      <c r="AP44" s="23"/>
      <c r="AQ44" s="23"/>
      <c r="AR44" s="56">
        <v>75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54">
        <v>53</v>
      </c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 t="shared" si="33"/>
        <v>977</v>
      </c>
      <c r="CS44" s="23">
        <f t="shared" si="40"/>
        <v>741</v>
      </c>
      <c r="CT44" s="23">
        <f t="shared" si="64"/>
        <v>513</v>
      </c>
      <c r="CU44" s="23">
        <f t="shared" si="25"/>
        <v>429</v>
      </c>
      <c r="CV44" s="23">
        <f t="shared" si="26"/>
        <v>410</v>
      </c>
      <c r="CW44" s="23">
        <f t="shared" ref="CW44:DC48" si="69">CV44*0.9</f>
        <v>369</v>
      </c>
      <c r="CX44" s="23">
        <f t="shared" si="69"/>
        <v>332.1</v>
      </c>
      <c r="CY44" s="23">
        <f t="shared" si="69"/>
        <v>298.89000000000004</v>
      </c>
      <c r="CZ44" s="23">
        <f>+CY44*0.4</f>
        <v>119.55600000000003</v>
      </c>
      <c r="DA44" s="23">
        <f t="shared" ref="DA44:DC44" si="70">+CZ44*0.4</f>
        <v>47.822400000000016</v>
      </c>
      <c r="DB44" s="23">
        <f t="shared" si="70"/>
        <v>19.128960000000006</v>
      </c>
      <c r="DC44" s="23">
        <f t="shared" si="70"/>
        <v>7.6515840000000033</v>
      </c>
    </row>
    <row r="45" spans="2:107" x14ac:dyDescent="0.2">
      <c r="B45" s="31" t="s">
        <v>237</v>
      </c>
      <c r="K45" s="23">
        <v>94</v>
      </c>
      <c r="L45" s="23">
        <v>92</v>
      </c>
      <c r="M45" s="23">
        <v>83</v>
      </c>
      <c r="N45" s="23">
        <v>84</v>
      </c>
      <c r="O45" s="23">
        <f>167-P45</f>
        <v>82</v>
      </c>
      <c r="P45" s="23">
        <v>85</v>
      </c>
      <c r="Q45" s="23">
        <v>82</v>
      </c>
      <c r="R45" s="23">
        <v>84</v>
      </c>
      <c r="S45" s="23">
        <v>83</v>
      </c>
      <c r="T45" s="23">
        <v>85</v>
      </c>
      <c r="U45" s="23">
        <v>79</v>
      </c>
      <c r="V45" s="23">
        <v>84</v>
      </c>
      <c r="W45" s="23">
        <v>75</v>
      </c>
      <c r="X45" s="23">
        <f>153-W45</f>
        <v>78</v>
      </c>
      <c r="Y45" s="23">
        <v>72</v>
      </c>
      <c r="Z45" s="23">
        <v>71</v>
      </c>
      <c r="AA45" s="23">
        <v>76</v>
      </c>
      <c r="AB45" s="23">
        <v>77</v>
      </c>
      <c r="AC45" s="23">
        <v>72</v>
      </c>
      <c r="AD45" s="23">
        <v>71</v>
      </c>
      <c r="AE45" s="23">
        <v>65</v>
      </c>
      <c r="AF45" s="23"/>
      <c r="AG45" s="23"/>
      <c r="AH45" s="23"/>
      <c r="AI45" s="23"/>
      <c r="AJ45" s="23"/>
      <c r="AK45" s="23"/>
      <c r="AL45" s="23"/>
      <c r="AM45" s="23"/>
      <c r="AN45" s="23">
        <v>25</v>
      </c>
      <c r="AO45" s="56">
        <v>26</v>
      </c>
      <c r="AP45" s="23"/>
      <c r="AQ45" s="23"/>
      <c r="AR45" s="56">
        <v>23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>
        <f>SUM(K45:N45)</f>
        <v>353</v>
      </c>
      <c r="CS45" s="23">
        <f>SUM(O45:R45)</f>
        <v>333</v>
      </c>
      <c r="CT45" s="23">
        <f t="shared" si="64"/>
        <v>331</v>
      </c>
      <c r="CU45" s="23">
        <f t="shared" si="25"/>
        <v>296</v>
      </c>
      <c r="CV45" s="23">
        <f t="shared" si="26"/>
        <v>296</v>
      </c>
      <c r="CW45" s="23">
        <f t="shared" si="69"/>
        <v>266.40000000000003</v>
      </c>
      <c r="CX45" s="23">
        <f t="shared" si="69"/>
        <v>239.76000000000005</v>
      </c>
      <c r="CY45" s="23">
        <f t="shared" si="69"/>
        <v>215.78400000000005</v>
      </c>
      <c r="CZ45" s="23">
        <f t="shared" si="69"/>
        <v>194.20560000000006</v>
      </c>
      <c r="DA45" s="23">
        <f t="shared" si="69"/>
        <v>174.78504000000007</v>
      </c>
      <c r="DB45" s="23">
        <f t="shared" si="69"/>
        <v>157.30653600000005</v>
      </c>
      <c r="DC45" s="23">
        <f t="shared" si="69"/>
        <v>141.57588240000004</v>
      </c>
    </row>
    <row r="46" spans="2:107" x14ac:dyDescent="0.2">
      <c r="B46" s="19" t="s">
        <v>354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>
        <v>137</v>
      </c>
      <c r="AG46" s="23"/>
      <c r="AH46" s="23"/>
      <c r="AI46" s="23"/>
      <c r="AJ46" s="23"/>
      <c r="AK46" s="23"/>
      <c r="AL46" s="23"/>
      <c r="AM46" s="23"/>
      <c r="AN46" s="23">
        <v>175</v>
      </c>
      <c r="AO46" s="56">
        <v>187</v>
      </c>
      <c r="AP46" s="23"/>
      <c r="AQ46" s="23"/>
      <c r="AR46" s="56">
        <v>137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54">
        <v>79</v>
      </c>
      <c r="BL46" s="54"/>
      <c r="BM46" s="54"/>
      <c r="BN46" s="54"/>
      <c r="BO46" s="54">
        <v>71</v>
      </c>
      <c r="BP46" s="54">
        <v>60</v>
      </c>
      <c r="BQ46" s="54">
        <v>63</v>
      </c>
      <c r="BR46" s="54">
        <v>44</v>
      </c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/>
      <c r="CS46" s="23"/>
      <c r="CT46" s="23"/>
      <c r="CU46" s="32"/>
      <c r="CV46" s="32"/>
      <c r="CW46" s="23"/>
      <c r="CX46" s="23"/>
      <c r="CY46" s="23"/>
      <c r="CZ46" s="23"/>
      <c r="DA46" s="23"/>
      <c r="DB46" s="23"/>
      <c r="DC46" s="23"/>
    </row>
    <row r="47" spans="2:107" x14ac:dyDescent="0.2">
      <c r="B47" s="26" t="s">
        <v>133</v>
      </c>
      <c r="K47" s="23">
        <v>78</v>
      </c>
      <c r="L47" s="23">
        <v>76</v>
      </c>
      <c r="M47" s="23">
        <v>73</v>
      </c>
      <c r="N47" s="23">
        <v>74</v>
      </c>
      <c r="O47" s="23">
        <f>157-P47</f>
        <v>76</v>
      </c>
      <c r="P47" s="23">
        <v>81</v>
      </c>
      <c r="Q47" s="23">
        <v>79</v>
      </c>
      <c r="R47" s="23">
        <v>80</v>
      </c>
      <c r="S47" s="23">
        <v>82</v>
      </c>
      <c r="T47" s="23">
        <v>81</v>
      </c>
      <c r="U47" s="23">
        <v>81</v>
      </c>
      <c r="V47" s="23">
        <v>85</v>
      </c>
      <c r="W47" s="23">
        <v>80</v>
      </c>
      <c r="X47" s="23">
        <f>165-W47</f>
        <v>85</v>
      </c>
      <c r="Y47" s="23">
        <v>80</v>
      </c>
      <c r="Z47" s="23">
        <v>84</v>
      </c>
      <c r="AA47" s="23">
        <v>88</v>
      </c>
      <c r="AB47" s="23">
        <v>96</v>
      </c>
      <c r="AC47" s="23">
        <v>93</v>
      </c>
      <c r="AD47" s="23">
        <v>95</v>
      </c>
      <c r="AE47" s="23">
        <v>96</v>
      </c>
      <c r="AF47" s="23"/>
      <c r="AG47" s="23"/>
      <c r="AH47" s="23"/>
      <c r="AI47" s="23"/>
      <c r="AJ47" s="23"/>
      <c r="AK47" s="23"/>
      <c r="AL47" s="23"/>
      <c r="AM47" s="23"/>
      <c r="AN47" s="23">
        <v>103</v>
      </c>
      <c r="AO47" s="56">
        <v>102</v>
      </c>
      <c r="AP47" s="23"/>
      <c r="AQ47" s="23"/>
      <c r="AR47" s="56">
        <v>99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54">
        <v>120</v>
      </c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>SUM(K47:N47)</f>
        <v>301</v>
      </c>
      <c r="CS47" s="23">
        <f>SUM(O47:R47)</f>
        <v>316</v>
      </c>
      <c r="CT47" s="23">
        <f t="shared" ref="CT47" si="71">SUM(S47:V47)</f>
        <v>329</v>
      </c>
      <c r="CU47" s="23">
        <f>SUM(W47:Z47)</f>
        <v>329</v>
      </c>
      <c r="CV47" s="23">
        <f>SUM(AA47:AD47)</f>
        <v>372</v>
      </c>
      <c r="CW47" s="23">
        <f t="shared" ref="CW47:CY47" si="72">CV47</f>
        <v>372</v>
      </c>
      <c r="CX47" s="23">
        <f t="shared" si="72"/>
        <v>372</v>
      </c>
      <c r="CY47" s="23">
        <f t="shared" si="72"/>
        <v>372</v>
      </c>
      <c r="CZ47" s="23"/>
      <c r="DA47" s="23"/>
      <c r="DB47" s="23"/>
      <c r="DC47" s="23"/>
    </row>
    <row r="48" spans="2:107" x14ac:dyDescent="0.2">
      <c r="B48" s="31" t="s">
        <v>238</v>
      </c>
      <c r="K48" s="23">
        <v>71</v>
      </c>
      <c r="L48" s="23">
        <v>78</v>
      </c>
      <c r="M48" s="23">
        <v>60</v>
      </c>
      <c r="N48" s="23">
        <v>74</v>
      </c>
      <c r="O48" s="23">
        <f>166-P48</f>
        <v>79</v>
      </c>
      <c r="P48" s="23">
        <v>87</v>
      </c>
      <c r="Q48" s="23">
        <v>61</v>
      </c>
      <c r="R48" s="23">
        <v>67</v>
      </c>
      <c r="S48" s="23">
        <v>70</v>
      </c>
      <c r="T48" s="23">
        <v>60</v>
      </c>
      <c r="U48" s="23">
        <v>51</v>
      </c>
      <c r="V48" s="23">
        <v>60</v>
      </c>
      <c r="W48" s="23">
        <v>59</v>
      </c>
      <c r="X48" s="23">
        <f>120-W48</f>
        <v>61</v>
      </c>
      <c r="Y48" s="23">
        <v>48</v>
      </c>
      <c r="Z48" s="23">
        <v>52</v>
      </c>
      <c r="AA48" s="23">
        <v>48</v>
      </c>
      <c r="AB48" s="23">
        <v>56</v>
      </c>
      <c r="AC48" s="23">
        <v>42</v>
      </c>
      <c r="AD48" s="23">
        <v>43</v>
      </c>
      <c r="AE48" s="23">
        <v>43</v>
      </c>
      <c r="AF48" s="23"/>
      <c r="AG48" s="23"/>
      <c r="AH48" s="23"/>
      <c r="AI48" s="23"/>
      <c r="AJ48" s="23"/>
      <c r="AK48" s="23"/>
      <c r="AL48" s="23"/>
      <c r="AM48" s="23"/>
      <c r="AN48" s="23">
        <v>0</v>
      </c>
      <c r="AO48" s="56">
        <v>0</v>
      </c>
      <c r="AP48" s="23"/>
      <c r="AQ48" s="23"/>
      <c r="AR48" s="56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>
        <f t="shared" si="33"/>
        <v>283</v>
      </c>
      <c r="CS48" s="23">
        <f t="shared" si="40"/>
        <v>294</v>
      </c>
      <c r="CT48" s="23">
        <f t="shared" si="64"/>
        <v>241</v>
      </c>
      <c r="CU48" s="23">
        <f t="shared" si="25"/>
        <v>220</v>
      </c>
      <c r="CV48" s="23">
        <f t="shared" si="26"/>
        <v>189</v>
      </c>
      <c r="CW48" s="23">
        <f t="shared" si="69"/>
        <v>170.1</v>
      </c>
      <c r="CX48" s="23">
        <f>CW48*0.4</f>
        <v>68.040000000000006</v>
      </c>
      <c r="CY48" s="23">
        <f t="shared" si="69"/>
        <v>61.236000000000004</v>
      </c>
      <c r="CZ48" s="23">
        <f t="shared" si="69"/>
        <v>55.112400000000008</v>
      </c>
      <c r="DA48" s="23">
        <f t="shared" si="69"/>
        <v>49.601160000000007</v>
      </c>
      <c r="DB48" s="23">
        <f t="shared" si="69"/>
        <v>44.641044000000008</v>
      </c>
      <c r="DC48" s="23">
        <f t="shared" si="69"/>
        <v>40.176939600000011</v>
      </c>
    </row>
    <row r="49" spans="2:109" x14ac:dyDescent="0.2">
      <c r="B49" s="31" t="s">
        <v>295</v>
      </c>
      <c r="R49" s="23"/>
      <c r="S49" s="23"/>
      <c r="T49" s="23"/>
      <c r="U49" s="23"/>
      <c r="V49" s="23"/>
      <c r="W49" s="23"/>
      <c r="X49" s="23"/>
      <c r="Y49" s="23"/>
      <c r="Z49" s="23"/>
      <c r="AA49" s="23">
        <v>34</v>
      </c>
      <c r="AB49" s="23">
        <v>33</v>
      </c>
      <c r="AC49" s="23">
        <v>31</v>
      </c>
      <c r="AD49" s="23">
        <v>35</v>
      </c>
      <c r="AE49" s="23">
        <v>31</v>
      </c>
      <c r="AF49" s="23"/>
      <c r="AG49" s="23"/>
      <c r="AH49" s="23"/>
      <c r="AI49" s="23"/>
      <c r="AJ49" s="23"/>
      <c r="AK49" s="23"/>
      <c r="AL49" s="23"/>
      <c r="AM49" s="23"/>
      <c r="AN49" s="23">
        <v>32</v>
      </c>
      <c r="AO49" s="56">
        <v>34</v>
      </c>
      <c r="AP49" s="23"/>
      <c r="AQ49" s="23"/>
      <c r="AR49" s="56">
        <v>33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/>
      <c r="CS49" s="23"/>
      <c r="CT49" s="23"/>
      <c r="CU49" s="23"/>
      <c r="CV49" s="23">
        <f>SUM(AA49:AE49)</f>
        <v>164</v>
      </c>
      <c r="CW49" s="23"/>
      <c r="CX49" s="23"/>
      <c r="CY49" s="23"/>
      <c r="CZ49" s="23"/>
      <c r="DA49" s="23"/>
      <c r="DB49" s="23"/>
      <c r="DC49" s="23"/>
    </row>
    <row r="50" spans="2:109" x14ac:dyDescent="0.2">
      <c r="B50" s="31" t="s">
        <v>303</v>
      </c>
      <c r="K50" s="23">
        <v>89</v>
      </c>
      <c r="L50" s="23">
        <v>91</v>
      </c>
      <c r="M50" s="23">
        <v>84</v>
      </c>
      <c r="N50" s="23">
        <v>87</v>
      </c>
      <c r="O50" s="23">
        <f>160-P50</f>
        <v>78</v>
      </c>
      <c r="P50" s="23">
        <v>82</v>
      </c>
      <c r="Q50" s="23">
        <v>79</v>
      </c>
      <c r="R50" s="23">
        <v>81</v>
      </c>
      <c r="S50" s="23">
        <v>75</v>
      </c>
      <c r="T50" s="23">
        <v>87</v>
      </c>
      <c r="U50" s="23">
        <v>85</v>
      </c>
      <c r="V50" s="23">
        <v>83</v>
      </c>
      <c r="W50" s="23">
        <v>68</v>
      </c>
      <c r="X50" s="23">
        <f>137-W50</f>
        <v>69</v>
      </c>
      <c r="Y50" s="23">
        <v>62</v>
      </c>
      <c r="Z50" s="23">
        <v>65</v>
      </c>
      <c r="AA50" s="23">
        <v>60</v>
      </c>
      <c r="AB50" s="23">
        <v>64</v>
      </c>
      <c r="AC50" s="23">
        <v>58</v>
      </c>
      <c r="AD50" s="23">
        <v>56</v>
      </c>
      <c r="AE50" s="23">
        <v>48</v>
      </c>
      <c r="AF50" s="23"/>
      <c r="AG50" s="23"/>
      <c r="AH50" s="23"/>
      <c r="AI50" s="23"/>
      <c r="AJ50" s="23"/>
      <c r="AK50" s="23"/>
      <c r="AL50" s="23"/>
      <c r="AM50" s="23"/>
      <c r="AN50" s="23">
        <v>24</v>
      </c>
      <c r="AO50" s="56">
        <v>23</v>
      </c>
      <c r="AP50" s="23"/>
      <c r="AQ50" s="23"/>
      <c r="AR50" s="56">
        <v>20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>
        <f>SUM(K50:N50)</f>
        <v>351</v>
      </c>
      <c r="CS50" s="23">
        <f>SUM(O50:R50)</f>
        <v>320</v>
      </c>
      <c r="CT50" s="23">
        <f>SUM(S50:V50)</f>
        <v>330</v>
      </c>
      <c r="CU50" s="23">
        <f>SUM(W50:Z50)</f>
        <v>264</v>
      </c>
      <c r="CV50" s="23">
        <f t="shared" si="26"/>
        <v>238</v>
      </c>
      <c r="CW50" s="23">
        <f>+CV50*0.9</f>
        <v>214.20000000000002</v>
      </c>
      <c r="CX50" s="23">
        <f t="shared" ref="CX50:DC50" si="73">+CW50*0.9</f>
        <v>192.78000000000003</v>
      </c>
      <c r="CY50" s="23">
        <f t="shared" si="73"/>
        <v>173.50200000000004</v>
      </c>
      <c r="CZ50" s="23">
        <f t="shared" si="73"/>
        <v>156.15180000000004</v>
      </c>
      <c r="DA50" s="23">
        <f t="shared" si="73"/>
        <v>140.53662000000003</v>
      </c>
      <c r="DB50" s="23">
        <f t="shared" si="73"/>
        <v>126.48295800000002</v>
      </c>
      <c r="DC50" s="23">
        <f t="shared" si="73"/>
        <v>113.83466220000003</v>
      </c>
      <c r="DE50" s="19"/>
    </row>
    <row r="51" spans="2:109" x14ac:dyDescent="0.2">
      <c r="B51" s="19" t="s">
        <v>352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>
        <v>14</v>
      </c>
      <c r="AO51" s="56">
        <v>13</v>
      </c>
      <c r="AP51" s="23"/>
      <c r="AQ51" s="23"/>
      <c r="AR51" s="56">
        <v>15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 t="s">
        <v>253</v>
      </c>
      <c r="CS51" s="23" t="s">
        <v>253</v>
      </c>
      <c r="CT51" s="23" t="s">
        <v>254</v>
      </c>
      <c r="CU51" s="32" t="s">
        <v>254</v>
      </c>
      <c r="CV51" s="32" t="s">
        <v>254</v>
      </c>
      <c r="CW51" s="23">
        <v>50</v>
      </c>
      <c r="CX51" s="23">
        <v>100</v>
      </c>
      <c r="CY51" s="23">
        <v>200</v>
      </c>
      <c r="CZ51" s="23">
        <v>300</v>
      </c>
      <c r="DA51" s="23">
        <v>400</v>
      </c>
      <c r="DB51" s="32">
        <v>500</v>
      </c>
      <c r="DC51" s="32">
        <v>500</v>
      </c>
    </row>
    <row r="52" spans="2:109" x14ac:dyDescent="0.2">
      <c r="B52" s="1" t="s">
        <v>60</v>
      </c>
      <c r="K52" s="23">
        <v>430</v>
      </c>
      <c r="L52" s="23">
        <v>456</v>
      </c>
      <c r="M52" s="23">
        <v>429</v>
      </c>
      <c r="N52" s="23">
        <v>437</v>
      </c>
      <c r="O52" s="23">
        <f>923-P52</f>
        <v>449</v>
      </c>
      <c r="P52" s="23">
        <v>474</v>
      </c>
      <c r="Q52" s="23">
        <v>475</v>
      </c>
      <c r="R52" s="23">
        <v>476</v>
      </c>
      <c r="S52" s="23">
        <v>484</v>
      </c>
      <c r="T52" s="23">
        <v>503</v>
      </c>
      <c r="U52" s="23">
        <v>505</v>
      </c>
      <c r="V52" s="23">
        <v>541</v>
      </c>
      <c r="W52" s="23">
        <v>534</v>
      </c>
      <c r="X52" s="23">
        <f>1118-W52</f>
        <v>584</v>
      </c>
      <c r="Y52" s="23">
        <v>526</v>
      </c>
      <c r="Z52" s="23">
        <v>533</v>
      </c>
      <c r="AA52" s="23">
        <v>531</v>
      </c>
      <c r="AB52" s="23">
        <v>598</v>
      </c>
      <c r="AC52" s="23">
        <v>537</v>
      </c>
      <c r="AD52" s="23">
        <v>456</v>
      </c>
      <c r="AE52" s="23">
        <v>382</v>
      </c>
      <c r="AF52" s="23">
        <v>204</v>
      </c>
      <c r="AG52" s="23">
        <f t="shared" ref="AG52:AH52" si="74">+AF52-10</f>
        <v>194</v>
      </c>
      <c r="AH52" s="23">
        <f t="shared" si="74"/>
        <v>184</v>
      </c>
      <c r="AI52" s="23"/>
      <c r="AJ52" s="23"/>
      <c r="AK52" s="23"/>
      <c r="AL52" s="23"/>
      <c r="AM52" s="23"/>
      <c r="AN52" s="23">
        <v>114</v>
      </c>
      <c r="AO52" s="56">
        <v>84</v>
      </c>
      <c r="AP52" s="23"/>
      <c r="AQ52" s="23"/>
      <c r="AR52" s="56">
        <v>67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54">
        <v>47</v>
      </c>
      <c r="BL52" s="54"/>
      <c r="BM52" s="54"/>
      <c r="BN52" s="54"/>
      <c r="BO52" s="54">
        <v>39</v>
      </c>
      <c r="BP52" s="54">
        <v>39</v>
      </c>
      <c r="BQ52" s="54">
        <v>41</v>
      </c>
      <c r="BR52" s="54">
        <v>41</v>
      </c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>
        <f>SUM(K52:N52)</f>
        <v>1752</v>
      </c>
      <c r="CS52" s="23">
        <f>SUM(O52:R52)</f>
        <v>1874</v>
      </c>
      <c r="CT52" s="23">
        <f>SUM(S52:V52)</f>
        <v>2033</v>
      </c>
      <c r="CU52" s="23">
        <f>SUM(W52:Z52)</f>
        <v>2177</v>
      </c>
      <c r="CV52" s="23">
        <f>SUM(AA52:AD52)</f>
        <v>2122</v>
      </c>
      <c r="CW52" s="23">
        <f>CV52*0.4</f>
        <v>848.80000000000007</v>
      </c>
      <c r="CX52" s="23">
        <f>CW52*0.5</f>
        <v>424.40000000000003</v>
      </c>
      <c r="CY52" s="23">
        <f>CX52*0.75</f>
        <v>318.3</v>
      </c>
      <c r="CZ52" s="23">
        <f t="shared" ref="CZ52:DB52" si="75">CY52*0.75</f>
        <v>238.72500000000002</v>
      </c>
      <c r="DA52" s="23">
        <f t="shared" si="75"/>
        <v>179.04375000000002</v>
      </c>
      <c r="DB52" s="23">
        <f t="shared" si="75"/>
        <v>134.28281250000001</v>
      </c>
      <c r="DC52" s="23">
        <f t="shared" ref="DC52" si="76">DB52*0.75</f>
        <v>100.71210937500001</v>
      </c>
    </row>
    <row r="53" spans="2:109" x14ac:dyDescent="0.2">
      <c r="B53" s="19" t="s">
        <v>353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0</v>
      </c>
      <c r="AO53" s="56">
        <v>27</v>
      </c>
      <c r="AP53" s="23"/>
      <c r="AQ53" s="23"/>
      <c r="AR53" s="56">
        <v>16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32"/>
      <c r="DC53" s="32"/>
    </row>
    <row r="54" spans="2:109" x14ac:dyDescent="0.2">
      <c r="B54" s="19" t="s">
        <v>357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43</v>
      </c>
      <c r="AO54" s="56">
        <v>43</v>
      </c>
      <c r="AP54" s="23"/>
      <c r="AQ54" s="23"/>
      <c r="AR54" s="56">
        <v>45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</row>
    <row r="55" spans="2:109" x14ac:dyDescent="0.2">
      <c r="B55" s="19" t="s">
        <v>358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45</v>
      </c>
      <c r="AO55" s="56">
        <v>37</v>
      </c>
      <c r="AP55" s="23"/>
      <c r="AQ55" s="23"/>
      <c r="AR55" s="56">
        <v>38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</row>
    <row r="56" spans="2:109" x14ac:dyDescent="0.2">
      <c r="B56" s="19" t="s">
        <v>359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38</v>
      </c>
      <c r="AO56" s="56">
        <v>36</v>
      </c>
      <c r="AP56" s="23"/>
      <c r="AQ56" s="23"/>
      <c r="AR56" s="56">
        <v>48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</row>
    <row r="57" spans="2:109" x14ac:dyDescent="0.2">
      <c r="B57" s="19" t="s">
        <v>360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37</v>
      </c>
      <c r="AO57" s="56">
        <v>33</v>
      </c>
      <c r="AP57" s="23"/>
      <c r="AQ57" s="23"/>
      <c r="AR57" s="56">
        <v>33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</row>
    <row r="58" spans="2:109" x14ac:dyDescent="0.2">
      <c r="B58" s="19" t="s">
        <v>488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>
        <v>64</v>
      </c>
      <c r="AO58" s="56">
        <v>64</v>
      </c>
      <c r="AP58" s="23"/>
      <c r="AQ58" s="23"/>
      <c r="AR58" s="56">
        <v>61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54">
        <f>399-54-47-81-44-111</f>
        <v>62</v>
      </c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1</v>
      </c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</row>
    <row r="59" spans="2:109" x14ac:dyDescent="0.2">
      <c r="B59" s="19" t="s">
        <v>494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56"/>
      <c r="AP59" s="23"/>
      <c r="AQ59" s="23"/>
      <c r="AR59" s="56">
        <v>6</v>
      </c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/>
      <c r="CS59" s="23"/>
      <c r="CT59" s="23"/>
      <c r="CU59" s="32"/>
      <c r="CV59" s="32"/>
      <c r="CW59" s="23"/>
      <c r="CX59" s="23"/>
      <c r="CY59" s="23"/>
      <c r="CZ59" s="23"/>
      <c r="DA59" s="23"/>
      <c r="DB59" s="23"/>
      <c r="DC59" s="23"/>
    </row>
    <row r="60" spans="2:109" x14ac:dyDescent="0.2">
      <c r="B60" s="1" t="s">
        <v>63</v>
      </c>
      <c r="K60" s="23">
        <v>263</v>
      </c>
      <c r="L60" s="23">
        <v>271</v>
      </c>
      <c r="M60" s="23">
        <v>262</v>
      </c>
      <c r="N60" s="23">
        <v>273</v>
      </c>
      <c r="O60" s="23">
        <f>596-P60</f>
        <v>289</v>
      </c>
      <c r="P60" s="23">
        <v>307</v>
      </c>
      <c r="Q60" s="23">
        <v>301</v>
      </c>
      <c r="R60" s="23">
        <v>280</v>
      </c>
      <c r="S60" s="23">
        <v>317</v>
      </c>
      <c r="T60" s="23">
        <v>103</v>
      </c>
      <c r="U60" s="23">
        <v>100</v>
      </c>
      <c r="V60" s="23">
        <v>102</v>
      </c>
      <c r="W60" s="23">
        <v>113</v>
      </c>
      <c r="X60" s="23">
        <f>231-W60</f>
        <v>118</v>
      </c>
      <c r="Y60" s="23">
        <v>118</v>
      </c>
      <c r="Z60" s="23">
        <v>118</v>
      </c>
      <c r="AA60" s="23">
        <v>131</v>
      </c>
      <c r="AB60" s="23">
        <v>131</v>
      </c>
      <c r="AC60" s="23">
        <v>125</v>
      </c>
      <c r="AD60" s="23">
        <v>126</v>
      </c>
      <c r="AE60" s="23">
        <v>114</v>
      </c>
      <c r="AF60" s="23">
        <f>+AE60</f>
        <v>114</v>
      </c>
      <c r="AG60" s="23">
        <f>+AF60</f>
        <v>114</v>
      </c>
      <c r="AH60" s="23">
        <f>+AG60</f>
        <v>114</v>
      </c>
      <c r="AI60" s="23"/>
      <c r="AJ60" s="23"/>
      <c r="AK60" s="23"/>
      <c r="AL60" s="23"/>
      <c r="AM60" s="23"/>
      <c r="AN60" s="23">
        <v>0</v>
      </c>
      <c r="AO60" s="56">
        <v>0</v>
      </c>
      <c r="AP60" s="23"/>
      <c r="AQ60" s="23"/>
      <c r="AR60" s="56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>
        <f>SUM(K60:N60)</f>
        <v>1069</v>
      </c>
      <c r="CS60" s="23">
        <f>SUM(O60:R60)</f>
        <v>1177</v>
      </c>
      <c r="CT60" s="23">
        <f>SUM(S60:V60)</f>
        <v>622</v>
      </c>
      <c r="CU60" s="23">
        <f>SUM(W60:Z60)</f>
        <v>467</v>
      </c>
      <c r="CV60" s="23">
        <f>SUM(AA60:AD60)</f>
        <v>513</v>
      </c>
      <c r="CW60" s="23">
        <f>CV60*1.05</f>
        <v>538.65</v>
      </c>
      <c r="CX60" s="23">
        <f>CW60*1.05</f>
        <v>565.58249999999998</v>
      </c>
      <c r="CY60" s="23">
        <f>CX60*1.05</f>
        <v>593.861625</v>
      </c>
      <c r="CZ60" s="23">
        <f>CY60*0.5</f>
        <v>296.9308125</v>
      </c>
      <c r="DA60" s="23">
        <f>CZ60*0.5</f>
        <v>148.46540625</v>
      </c>
      <c r="DB60" s="23">
        <f>DA60*0.5</f>
        <v>74.232703125</v>
      </c>
      <c r="DC60" s="23">
        <f>DB60*0.5</f>
        <v>37.1163515625</v>
      </c>
    </row>
    <row r="61" spans="2:109" x14ac:dyDescent="0.2">
      <c r="B61" s="19" t="s">
        <v>282</v>
      </c>
      <c r="R61" s="23"/>
      <c r="S61" s="23"/>
      <c r="T61" s="23"/>
      <c r="U61" s="23"/>
      <c r="V61" s="23"/>
      <c r="W61" s="23">
        <v>329</v>
      </c>
      <c r="X61" s="23">
        <v>311</v>
      </c>
      <c r="Y61" s="23">
        <v>356</v>
      </c>
      <c r="Z61" s="23">
        <v>405</v>
      </c>
      <c r="AA61" s="23">
        <f>292+52+147</f>
        <v>491</v>
      </c>
      <c r="AB61" s="23">
        <v>578</v>
      </c>
      <c r="AC61" s="23">
        <v>576</v>
      </c>
      <c r="AD61" s="23">
        <v>572</v>
      </c>
      <c r="AE61" s="23">
        <v>712</v>
      </c>
      <c r="AF61" s="23">
        <f t="shared" ref="AF61:AH64" si="77">+AE61</f>
        <v>712</v>
      </c>
      <c r="AG61" s="23">
        <f t="shared" si="77"/>
        <v>712</v>
      </c>
      <c r="AH61" s="23">
        <f t="shared" si="77"/>
        <v>712</v>
      </c>
      <c r="AI61" s="23"/>
      <c r="AJ61" s="23"/>
      <c r="AK61" s="23"/>
      <c r="AL61" s="23"/>
      <c r="AM61" s="23"/>
      <c r="AN61" s="23">
        <v>729</v>
      </c>
      <c r="AO61" s="56">
        <v>742</v>
      </c>
      <c r="AP61" s="23"/>
      <c r="AQ61" s="23"/>
      <c r="AR61" s="56">
        <v>816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>
        <v>1256</v>
      </c>
      <c r="BL61" s="54"/>
      <c r="BM61" s="54"/>
      <c r="BN61" s="54"/>
      <c r="BO61" s="54">
        <v>1300</v>
      </c>
      <c r="BP61" s="54">
        <v>1024</v>
      </c>
      <c r="BQ61" s="54">
        <v>1041</v>
      </c>
      <c r="BR61" s="54">
        <v>1029</v>
      </c>
      <c r="BS61" s="54">
        <v>1113</v>
      </c>
      <c r="BT61" s="54">
        <v>1089</v>
      </c>
      <c r="BU61" s="54">
        <v>1155</v>
      </c>
      <c r="BV61" s="54">
        <v>1111</v>
      </c>
      <c r="BW61" s="54">
        <v>1328</v>
      </c>
      <c r="BX61" s="54">
        <v>1265</v>
      </c>
      <c r="BY61" s="54">
        <v>1271</v>
      </c>
      <c r="BZ61" s="54">
        <v>1216</v>
      </c>
      <c r="CA61" s="54">
        <v>1495</v>
      </c>
      <c r="CB61" s="54">
        <v>1225</v>
      </c>
      <c r="CC61" s="54">
        <v>1245</v>
      </c>
      <c r="CD61" s="54">
        <v>1215</v>
      </c>
      <c r="CE61" s="54">
        <v>1525</v>
      </c>
      <c r="CF61" s="54">
        <v>1306</v>
      </c>
      <c r="CG61" s="54">
        <v>1271</v>
      </c>
      <c r="CH61" s="54">
        <f t="shared" ref="CH61:CL61" si="78">+CG61</f>
        <v>1271</v>
      </c>
      <c r="CI61" s="54">
        <f t="shared" si="78"/>
        <v>1271</v>
      </c>
      <c r="CJ61" s="54">
        <f t="shared" si="78"/>
        <v>1271</v>
      </c>
      <c r="CK61" s="54">
        <f t="shared" si="78"/>
        <v>1271</v>
      </c>
      <c r="CL61" s="54">
        <f t="shared" si="78"/>
        <v>1271</v>
      </c>
      <c r="CM61" s="54"/>
      <c r="CN61" s="23"/>
      <c r="CP61" s="23"/>
      <c r="CQ61" s="23"/>
      <c r="CR61" s="23"/>
      <c r="CS61" s="23"/>
      <c r="CT61" s="23"/>
      <c r="CU61" s="23">
        <f>SUM(W61:Z61)</f>
        <v>1401</v>
      </c>
      <c r="CV61" s="23">
        <f>SUM(AA61:AD61)</f>
        <v>2217</v>
      </c>
      <c r="CW61" s="23">
        <f t="shared" ref="CW61:DC61" si="79">CV61*1.02</f>
        <v>2261.34</v>
      </c>
      <c r="CX61" s="23">
        <f t="shared" si="79"/>
        <v>2306.5668000000001</v>
      </c>
      <c r="CY61" s="23">
        <f t="shared" si="79"/>
        <v>2352.698136</v>
      </c>
      <c r="CZ61" s="23">
        <f t="shared" si="79"/>
        <v>2399.75209872</v>
      </c>
      <c r="DA61" s="23">
        <f t="shared" si="79"/>
        <v>2447.7471406944001</v>
      </c>
      <c r="DB61" s="23">
        <f t="shared" si="79"/>
        <v>2496.7020835082881</v>
      </c>
      <c r="DC61" s="23">
        <f t="shared" si="79"/>
        <v>2546.6361251784538</v>
      </c>
    </row>
    <row r="62" spans="2:109" x14ac:dyDescent="0.2">
      <c r="B62" s="19" t="s">
        <v>550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56"/>
      <c r="AP62" s="23"/>
      <c r="AQ62" s="23"/>
      <c r="AR62" s="56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/>
      <c r="BP62" s="54"/>
      <c r="BQ62" s="54"/>
      <c r="BR62" s="54"/>
      <c r="BS62" s="54">
        <v>188</v>
      </c>
      <c r="BT62" s="54">
        <v>192</v>
      </c>
      <c r="BU62" s="54">
        <v>208</v>
      </c>
      <c r="BV62" s="54">
        <v>220</v>
      </c>
      <c r="BW62" s="54">
        <v>183</v>
      </c>
      <c r="BX62" s="54">
        <v>133</v>
      </c>
      <c r="BY62" s="54">
        <v>127</v>
      </c>
      <c r="BZ62" s="54">
        <v>177</v>
      </c>
      <c r="CA62" s="54">
        <v>135</v>
      </c>
      <c r="CB62" s="54">
        <v>145</v>
      </c>
      <c r="CC62" s="54">
        <v>126</v>
      </c>
      <c r="CD62" s="54">
        <v>176</v>
      </c>
      <c r="CE62" s="54">
        <v>157</v>
      </c>
      <c r="CF62" s="54">
        <v>121</v>
      </c>
      <c r="CG62" s="54">
        <v>126</v>
      </c>
      <c r="CH62" s="54">
        <f t="shared" ref="CH62:CL62" si="80">+CG62</f>
        <v>126</v>
      </c>
      <c r="CI62" s="54">
        <f t="shared" si="80"/>
        <v>126</v>
      </c>
      <c r="CJ62" s="54">
        <f t="shared" si="80"/>
        <v>126</v>
      </c>
      <c r="CK62" s="54">
        <f t="shared" si="80"/>
        <v>126</v>
      </c>
      <c r="CL62" s="54">
        <f t="shared" si="80"/>
        <v>126</v>
      </c>
      <c r="CM62" s="54"/>
      <c r="CN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</row>
    <row r="63" spans="2:109" x14ac:dyDescent="0.2">
      <c r="B63" s="19" t="s">
        <v>278</v>
      </c>
      <c r="R63" s="23"/>
      <c r="S63" s="23"/>
      <c r="T63" s="23"/>
      <c r="U63" s="23"/>
      <c r="V63" s="23"/>
      <c r="W63" s="23">
        <f>377-X63</f>
        <v>93</v>
      </c>
      <c r="X63" s="23">
        <v>284</v>
      </c>
      <c r="Y63" s="23">
        <v>302</v>
      </c>
      <c r="Z63" s="23">
        <v>333</v>
      </c>
      <c r="AA63" s="23">
        <f>254+20+69</f>
        <v>343</v>
      </c>
      <c r="AB63" s="23">
        <v>381</v>
      </c>
      <c r="AC63" s="23">
        <v>390</v>
      </c>
      <c r="AD63" s="23">
        <v>420</v>
      </c>
      <c r="AE63" s="23">
        <v>414</v>
      </c>
      <c r="AF63" s="23">
        <f t="shared" si="77"/>
        <v>414</v>
      </c>
      <c r="AG63" s="23">
        <f t="shared" si="77"/>
        <v>414</v>
      </c>
      <c r="AH63" s="23">
        <f t="shared" si="77"/>
        <v>414</v>
      </c>
      <c r="AI63" s="23"/>
      <c r="AJ63" s="23"/>
      <c r="AK63" s="23"/>
      <c r="AL63" s="23"/>
      <c r="AM63" s="23"/>
      <c r="AN63" s="23">
        <v>300</v>
      </c>
      <c r="AO63" s="56">
        <v>424</v>
      </c>
      <c r="AP63" s="23"/>
      <c r="AQ63" s="23"/>
      <c r="AR63" s="56">
        <v>466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>
        <v>282</v>
      </c>
      <c r="BL63" s="54"/>
      <c r="BM63" s="54"/>
      <c r="BN63" s="54"/>
      <c r="BO63" s="54">
        <v>270</v>
      </c>
      <c r="BP63" s="54">
        <v>224</v>
      </c>
      <c r="BQ63" s="54">
        <v>219</v>
      </c>
      <c r="BR63" s="54">
        <v>219</v>
      </c>
      <c r="BS63" s="54">
        <v>206</v>
      </c>
      <c r="BT63" s="54">
        <v>188</v>
      </c>
      <c r="BU63" s="54">
        <v>172</v>
      </c>
      <c r="BV63" s="54">
        <v>133</v>
      </c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/>
      <c r="CS63" s="23"/>
      <c r="CT63" s="23"/>
      <c r="CU63" s="23">
        <f>SUM(W63:Z63)</f>
        <v>1012</v>
      </c>
      <c r="CV63" s="23">
        <f>SUM(AA63:AD63)</f>
        <v>1534</v>
      </c>
      <c r="CW63" s="23">
        <f t="shared" ref="CW63:DC63" si="81">CV63*1.02</f>
        <v>1564.68</v>
      </c>
      <c r="CX63" s="23">
        <f t="shared" si="81"/>
        <v>1595.9736</v>
      </c>
      <c r="CY63" s="23">
        <f t="shared" si="81"/>
        <v>1627.8930720000001</v>
      </c>
      <c r="CZ63" s="23">
        <f t="shared" si="81"/>
        <v>1660.4509334400002</v>
      </c>
      <c r="DA63" s="23">
        <f t="shared" si="81"/>
        <v>1693.6599521088003</v>
      </c>
      <c r="DB63" s="23">
        <f t="shared" si="81"/>
        <v>1727.5331511509764</v>
      </c>
      <c r="DC63" s="23">
        <f t="shared" si="81"/>
        <v>1762.083814173996</v>
      </c>
    </row>
    <row r="64" spans="2:109" x14ac:dyDescent="0.2">
      <c r="B64" s="1" t="s">
        <v>138</v>
      </c>
      <c r="K64" s="23">
        <v>2258</v>
      </c>
      <c r="L64" s="23">
        <v>2131</v>
      </c>
      <c r="M64" s="23">
        <v>2033</v>
      </c>
      <c r="N64" s="23">
        <v>2129</v>
      </c>
      <c r="O64" s="23">
        <v>2127</v>
      </c>
      <c r="P64" s="23">
        <v>2026</v>
      </c>
      <c r="Q64" s="23">
        <v>1962</v>
      </c>
      <c r="R64" s="23">
        <v>2088</v>
      </c>
      <c r="S64" s="23">
        <f>2067-22-18+22</f>
        <v>2049</v>
      </c>
      <c r="T64" s="23">
        <v>2005</v>
      </c>
      <c r="U64" s="23">
        <v>1949</v>
      </c>
      <c r="V64" s="23">
        <v>2029</v>
      </c>
      <c r="W64" s="23">
        <f>1516+378+93-W61-W63</f>
        <v>1565</v>
      </c>
      <c r="X64" s="23">
        <f>3099+640+377-W64-X61-X63-W61-W63</f>
        <v>1534</v>
      </c>
      <c r="Y64" s="23">
        <v>1486</v>
      </c>
      <c r="Z64" s="23">
        <v>1522</v>
      </c>
      <c r="AA64" s="23">
        <v>1484</v>
      </c>
      <c r="AB64" s="23">
        <v>1576</v>
      </c>
      <c r="AC64" s="23">
        <v>1510</v>
      </c>
      <c r="AD64" s="23">
        <v>1494</v>
      </c>
      <c r="AE64" s="23">
        <v>1479</v>
      </c>
      <c r="AF64" s="23">
        <f t="shared" si="77"/>
        <v>1479</v>
      </c>
      <c r="AG64" s="23">
        <f t="shared" si="77"/>
        <v>1479</v>
      </c>
      <c r="AH64" s="23">
        <f t="shared" si="77"/>
        <v>1479</v>
      </c>
      <c r="AI64" s="23"/>
      <c r="AJ64" s="23"/>
      <c r="AK64" s="23"/>
      <c r="AL64" s="23"/>
      <c r="AM64" s="23"/>
      <c r="AN64" s="23">
        <v>1074</v>
      </c>
      <c r="AO64" s="56">
        <f>1044-AO53</f>
        <v>1017</v>
      </c>
      <c r="AP64" s="23"/>
      <c r="AQ64" s="23"/>
      <c r="AR64" s="56">
        <f>927+19</f>
        <v>946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>
        <v>848</v>
      </c>
      <c r="BL64" s="54"/>
      <c r="BM64" s="54"/>
      <c r="BN64" s="54"/>
      <c r="BO64" s="54">
        <v>1233</v>
      </c>
      <c r="BP64" s="54">
        <v>1023</v>
      </c>
      <c r="BQ64" s="54">
        <v>1056</v>
      </c>
      <c r="BR64" s="54">
        <v>1055</v>
      </c>
      <c r="BS64" s="54">
        <v>1090</v>
      </c>
      <c r="BT64" s="54">
        <v>1043</v>
      </c>
      <c r="BU64" s="54">
        <v>1064</v>
      </c>
      <c r="BV64" s="54">
        <f>1015-BV32</f>
        <v>995</v>
      </c>
      <c r="BW64" s="54">
        <v>1187</v>
      </c>
      <c r="BX64" s="54">
        <v>1133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>SUM(K64:N64)</f>
        <v>8551</v>
      </c>
      <c r="CS64" s="23">
        <f>SUM(O64:R64)</f>
        <v>8203</v>
      </c>
      <c r="CT64" s="23">
        <f>SUM(S64:V64)</f>
        <v>8032</v>
      </c>
      <c r="CU64" s="23">
        <f>SUM(W64:Z64)</f>
        <v>6107</v>
      </c>
      <c r="CV64" s="23">
        <f>SUM(AA64:AD64)</f>
        <v>6064</v>
      </c>
      <c r="CW64" s="44">
        <f>CV64*0.95</f>
        <v>5760.8</v>
      </c>
      <c r="CX64" s="44">
        <f t="shared" ref="CX64:DA64" si="82">CW64*0.95</f>
        <v>5472.76</v>
      </c>
      <c r="CY64" s="44">
        <f t="shared" si="82"/>
        <v>5199.1220000000003</v>
      </c>
      <c r="CZ64" s="44">
        <f t="shared" si="82"/>
        <v>4939.1659</v>
      </c>
      <c r="DA64" s="44">
        <f t="shared" si="82"/>
        <v>4692.2076049999996</v>
      </c>
      <c r="DB64" s="44">
        <f>DA64*0.95</f>
        <v>4457.5972247499994</v>
      </c>
      <c r="DC64" s="44">
        <f>DB64*0.95</f>
        <v>4234.7173635124991</v>
      </c>
    </row>
    <row r="65" spans="2:107" x14ac:dyDescent="0.2">
      <c r="B65" s="1" t="s">
        <v>145</v>
      </c>
      <c r="K65" s="23">
        <v>512</v>
      </c>
      <c r="L65" s="23">
        <v>568</v>
      </c>
      <c r="M65" s="23">
        <v>647</v>
      </c>
      <c r="N65" s="23">
        <v>806</v>
      </c>
      <c r="O65" s="23">
        <v>567</v>
      </c>
      <c r="P65" s="23">
        <v>619</v>
      </c>
      <c r="Q65" s="23">
        <v>943</v>
      </c>
      <c r="R65" s="23">
        <v>649</v>
      </c>
      <c r="S65" s="23">
        <v>548</v>
      </c>
      <c r="T65" s="23">
        <v>657</v>
      </c>
      <c r="U65" s="23">
        <v>947</v>
      </c>
      <c r="V65" s="20">
        <v>709</v>
      </c>
      <c r="W65" s="23">
        <v>627</v>
      </c>
      <c r="X65" s="23">
        <f>1339-W65</f>
        <v>712</v>
      </c>
      <c r="Y65" s="23">
        <v>1046</v>
      </c>
      <c r="Z65" s="23">
        <v>1098</v>
      </c>
      <c r="AA65" s="23">
        <v>944</v>
      </c>
      <c r="AB65" s="23">
        <v>748</v>
      </c>
      <c r="AC65" s="23">
        <v>1226</v>
      </c>
      <c r="AD65" s="23">
        <v>890</v>
      </c>
      <c r="AE65" s="23">
        <v>602</v>
      </c>
      <c r="AF65" s="23">
        <f>+AB65</f>
        <v>748</v>
      </c>
      <c r="AG65" s="23">
        <f t="shared" ref="AG65:AH65" si="83">+AC65</f>
        <v>1226</v>
      </c>
      <c r="AH65" s="23">
        <f t="shared" si="83"/>
        <v>890</v>
      </c>
      <c r="AI65" s="23"/>
      <c r="AJ65" s="23"/>
      <c r="AK65" s="23"/>
      <c r="AL65" s="23"/>
      <c r="AM65" s="23"/>
      <c r="AN65" s="23">
        <v>760</v>
      </c>
      <c r="AO65" s="56">
        <v>1300</v>
      </c>
      <c r="AP65" s="23"/>
      <c r="AQ65" s="23"/>
      <c r="AR65" s="56">
        <v>718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>
        <v>873</v>
      </c>
      <c r="BL65" s="54"/>
      <c r="BM65" s="54"/>
      <c r="BN65" s="54"/>
      <c r="BO65" s="61" t="s">
        <v>568</v>
      </c>
      <c r="BP65" s="61" t="s">
        <v>567</v>
      </c>
      <c r="BQ65" s="61" t="s">
        <v>566</v>
      </c>
      <c r="BR65" s="61" t="s">
        <v>564</v>
      </c>
      <c r="BS65" s="61" t="s">
        <v>563</v>
      </c>
      <c r="BT65" s="61" t="s">
        <v>558</v>
      </c>
      <c r="BU65" s="61" t="s">
        <v>557</v>
      </c>
      <c r="BV65" s="67" t="s">
        <v>551</v>
      </c>
      <c r="BW65" s="61" t="s">
        <v>549</v>
      </c>
      <c r="BX65" s="61" t="s">
        <v>556</v>
      </c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>
        <f t="shared" si="33"/>
        <v>2533</v>
      </c>
      <c r="CS65" s="23">
        <f t="shared" ref="CS65" si="84">SUM(O65:R65)</f>
        <v>2778</v>
      </c>
      <c r="CT65" s="23">
        <f>SUM(S65:V65)</f>
        <v>2861</v>
      </c>
      <c r="CU65" s="23">
        <f>SUM(W65:Z65)</f>
        <v>3483</v>
      </c>
      <c r="CV65" s="23">
        <f>SUM(AA65:AD65)</f>
        <v>3808</v>
      </c>
      <c r="CW65" s="23">
        <f>CV65*1.04</f>
        <v>3960.32</v>
      </c>
      <c r="CX65" s="23">
        <f>CW65*1.03</f>
        <v>4079.1296000000002</v>
      </c>
      <c r="CY65" s="23">
        <f t="shared" ref="CY65:DC65" si="85">CX65*1.03</f>
        <v>4201.5034880000003</v>
      </c>
      <c r="CZ65" s="23">
        <f t="shared" si="85"/>
        <v>4327.5485926400006</v>
      </c>
      <c r="DA65" s="23">
        <f t="shared" si="85"/>
        <v>4457.3750504192003</v>
      </c>
      <c r="DB65" s="23">
        <f t="shared" si="85"/>
        <v>4591.096301931776</v>
      </c>
      <c r="DC65" s="23">
        <f t="shared" si="85"/>
        <v>4728.8291909897298</v>
      </c>
    </row>
    <row r="66" spans="2:107" x14ac:dyDescent="0.2">
      <c r="B66" s="19" t="s">
        <v>543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>
        <v>484</v>
      </c>
      <c r="BP66" s="54">
        <v>575</v>
      </c>
      <c r="BQ66" s="54">
        <v>553</v>
      </c>
      <c r="BR66" s="54">
        <v>494</v>
      </c>
      <c r="BS66" s="54">
        <v>533</v>
      </c>
      <c r="BT66" s="54">
        <v>520</v>
      </c>
      <c r="BU66" s="54">
        <v>563</v>
      </c>
      <c r="BV66" s="54">
        <v>543</v>
      </c>
      <c r="BW66" s="54">
        <v>613</v>
      </c>
      <c r="BX66" s="54">
        <v>589</v>
      </c>
      <c r="BY66" s="54">
        <v>640</v>
      </c>
      <c r="BZ66" s="54">
        <v>443</v>
      </c>
      <c r="CA66" s="54">
        <v>537</v>
      </c>
      <c r="CB66" s="54">
        <v>617</v>
      </c>
      <c r="CC66" s="54">
        <v>577</v>
      </c>
      <c r="CD66" s="54">
        <v>434</v>
      </c>
      <c r="CE66" s="54">
        <v>636</v>
      </c>
      <c r="CF66" s="54">
        <v>712</v>
      </c>
      <c r="CG66" s="54">
        <v>760</v>
      </c>
      <c r="CH66" s="54">
        <v>632</v>
      </c>
      <c r="CI66" s="54">
        <f t="shared" ref="CH66:CL66" si="86">+CH66</f>
        <v>632</v>
      </c>
      <c r="CJ66" s="54">
        <f t="shared" si="86"/>
        <v>632</v>
      </c>
      <c r="CK66" s="54">
        <f t="shared" si="86"/>
        <v>632</v>
      </c>
      <c r="CL66" s="54">
        <f t="shared" si="86"/>
        <v>632</v>
      </c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</row>
    <row r="67" spans="2:107" x14ac:dyDescent="0.2">
      <c r="B67" s="19" t="s">
        <v>587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>
        <v>0</v>
      </c>
      <c r="BZ67" s="54">
        <v>0</v>
      </c>
      <c r="CA67" s="54">
        <v>0</v>
      </c>
      <c r="CB67" s="54">
        <v>0</v>
      </c>
      <c r="CC67" s="54">
        <v>137</v>
      </c>
      <c r="CD67" s="54">
        <v>410</v>
      </c>
      <c r="CE67" s="54">
        <v>182</v>
      </c>
      <c r="CF67" s="54">
        <v>18</v>
      </c>
      <c r="CG67" s="54">
        <v>645</v>
      </c>
      <c r="CH67" s="54">
        <v>841</v>
      </c>
      <c r="CI67" s="54">
        <f t="shared" ref="CH67:CL67" si="87">+CH67</f>
        <v>841</v>
      </c>
      <c r="CJ67" s="54">
        <f t="shared" si="87"/>
        <v>841</v>
      </c>
      <c r="CK67" s="54">
        <f t="shared" si="87"/>
        <v>841</v>
      </c>
      <c r="CL67" s="54">
        <f t="shared" si="87"/>
        <v>841</v>
      </c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2:107" x14ac:dyDescent="0.2">
      <c r="B68" s="19" t="s">
        <v>544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131</v>
      </c>
      <c r="BP68" s="54">
        <v>89</v>
      </c>
      <c r="BQ68" s="54">
        <v>214</v>
      </c>
      <c r="BR68" s="54">
        <v>125</v>
      </c>
      <c r="BS68" s="54">
        <v>128</v>
      </c>
      <c r="BT68" s="54">
        <v>186</v>
      </c>
      <c r="BU68" s="54">
        <v>158</v>
      </c>
      <c r="BV68" s="54">
        <v>91</v>
      </c>
      <c r="BW68" s="54">
        <v>112</v>
      </c>
      <c r="BX68" s="54">
        <v>153</v>
      </c>
      <c r="BY68" s="54">
        <v>328</v>
      </c>
      <c r="BZ68" s="54">
        <v>110</v>
      </c>
      <c r="CA68" s="54">
        <v>249</v>
      </c>
      <c r="CB68" s="54">
        <v>270</v>
      </c>
      <c r="CC68" s="54">
        <v>409</v>
      </c>
      <c r="CD68" s="54">
        <v>242</v>
      </c>
      <c r="CE68" s="54">
        <v>286</v>
      </c>
      <c r="CF68" s="54">
        <v>296</v>
      </c>
      <c r="CG68" s="54">
        <v>485</v>
      </c>
      <c r="CH68" s="54">
        <v>249</v>
      </c>
      <c r="CI68" s="54">
        <f t="shared" ref="CI68:CL68" si="88">+CH68</f>
        <v>249</v>
      </c>
      <c r="CJ68" s="54">
        <f t="shared" si="88"/>
        <v>249</v>
      </c>
      <c r="CK68" s="54">
        <f t="shared" si="88"/>
        <v>249</v>
      </c>
      <c r="CL68" s="54">
        <f t="shared" si="88"/>
        <v>249</v>
      </c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</row>
    <row r="69" spans="2:107" x14ac:dyDescent="0.2">
      <c r="B69" s="19" t="s">
        <v>545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115</v>
      </c>
      <c r="BP69" s="54">
        <v>78</v>
      </c>
      <c r="BQ69" s="54">
        <v>151</v>
      </c>
      <c r="BR69" s="54">
        <v>123</v>
      </c>
      <c r="BS69" s="54">
        <v>100</v>
      </c>
      <c r="BT69" s="54">
        <v>106</v>
      </c>
      <c r="BU69" s="54">
        <v>253</v>
      </c>
      <c r="BV69" s="54">
        <v>124</v>
      </c>
      <c r="BW69" s="54">
        <v>109</v>
      </c>
      <c r="BX69" s="54">
        <v>152</v>
      </c>
      <c r="BY69" s="54">
        <v>178</v>
      </c>
      <c r="BZ69" s="54">
        <v>148</v>
      </c>
      <c r="CA69" s="54">
        <v>124</v>
      </c>
      <c r="CB69" s="54">
        <v>150</v>
      </c>
      <c r="CC69" s="54">
        <v>185</v>
      </c>
      <c r="CD69" s="54">
        <v>139</v>
      </c>
      <c r="CE69" s="54"/>
      <c r="CF69" s="54"/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</row>
    <row r="70" spans="2:107" x14ac:dyDescent="0.2">
      <c r="B70" s="19" t="s">
        <v>546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99</v>
      </c>
      <c r="BP70" s="54">
        <v>55</v>
      </c>
      <c r="BQ70" s="54">
        <v>71</v>
      </c>
      <c r="BR70" s="54">
        <v>76</v>
      </c>
      <c r="BS70" s="54">
        <v>59</v>
      </c>
      <c r="BT70" s="54">
        <v>74</v>
      </c>
      <c r="BU70" s="54">
        <v>82</v>
      </c>
      <c r="BV70" s="54">
        <v>91</v>
      </c>
      <c r="BW70" s="54">
        <v>98</v>
      </c>
      <c r="BX70" s="54">
        <v>145</v>
      </c>
      <c r="BY70" s="54">
        <v>146</v>
      </c>
      <c r="BZ70" s="54">
        <v>121</v>
      </c>
      <c r="CA70" s="54">
        <f>1167-CA71-CA69-CA68-CA66</f>
        <v>194</v>
      </c>
      <c r="CB70" s="54">
        <f>1223-CB71-CB69-CB68-CB66</f>
        <v>87</v>
      </c>
      <c r="CC70" s="54">
        <f>3098-CC69-CC68-CC67-CC66-CC71</f>
        <v>24</v>
      </c>
      <c r="CD70" s="54">
        <f>1986-CD71-CD69-CD68-CD67-CD66</f>
        <v>20</v>
      </c>
      <c r="CE70" s="54"/>
      <c r="CF70" s="54">
        <f>1142-CF71-CF68-CF67-CF66</f>
        <v>1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</row>
    <row r="71" spans="2:107" x14ac:dyDescent="0.2">
      <c r="B71" s="19" t="s">
        <v>547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v>63</v>
      </c>
      <c r="BP71" s="54">
        <v>116</v>
      </c>
      <c r="BQ71" s="54">
        <v>1065</v>
      </c>
      <c r="BR71" s="54">
        <v>1228</v>
      </c>
      <c r="BS71" s="54">
        <v>77</v>
      </c>
      <c r="BT71" s="54">
        <v>119</v>
      </c>
      <c r="BU71" s="54">
        <v>1339</v>
      </c>
      <c r="BV71" s="54">
        <v>1093</v>
      </c>
      <c r="BW71" s="54">
        <v>66</v>
      </c>
      <c r="BX71" s="54">
        <v>115</v>
      </c>
      <c r="BY71" s="54">
        <v>1994</v>
      </c>
      <c r="BZ71" s="54">
        <v>802</v>
      </c>
      <c r="CA71" s="54">
        <v>63</v>
      </c>
      <c r="CB71" s="54">
        <v>99</v>
      </c>
      <c r="CC71" s="54">
        <v>1766</v>
      </c>
      <c r="CD71" s="54">
        <v>741</v>
      </c>
      <c r="CE71" s="54">
        <v>73</v>
      </c>
      <c r="CF71" s="54">
        <v>115</v>
      </c>
      <c r="CG71" s="54">
        <v>1913</v>
      </c>
      <c r="CH71" s="54">
        <f>+CD71</f>
        <v>741</v>
      </c>
      <c r="CI71" s="54">
        <f>+CE71</f>
        <v>73</v>
      </c>
      <c r="CJ71" s="54">
        <f>+CF71</f>
        <v>115</v>
      </c>
      <c r="CK71" s="54">
        <f>+CG71</f>
        <v>1913</v>
      </c>
      <c r="CL71" s="54">
        <f>+CH71</f>
        <v>741</v>
      </c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</row>
    <row r="72" spans="2:107" x14ac:dyDescent="0.2">
      <c r="B72" s="19" t="s">
        <v>548</v>
      </c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56"/>
      <c r="AP72" s="23"/>
      <c r="AQ72" s="23"/>
      <c r="AR72" s="56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>
        <f>909-BO71-BO70-BO69-BO68-BO66</f>
        <v>17</v>
      </c>
      <c r="BP72" s="54">
        <f>927-BP71-BP70-BP69-BP68-BP66</f>
        <v>14</v>
      </c>
      <c r="BQ72" s="54">
        <f>2077-BQ71-BQ70-BQ69-BQ68-BQ66</f>
        <v>23</v>
      </c>
      <c r="BR72" s="54">
        <f>2060-BR71-BR70-BR69-BR68-BR66</f>
        <v>14</v>
      </c>
      <c r="BS72" s="54">
        <f>915-BS66-BS68-BS69-BS70-BS71</f>
        <v>18</v>
      </c>
      <c r="BT72" s="54">
        <f>1022-SUM(BT66:BT71)</f>
        <v>17</v>
      </c>
      <c r="BU72" s="54">
        <f>2422-SUM(BU66:BU71)</f>
        <v>27</v>
      </c>
      <c r="BV72" s="54">
        <v>22</v>
      </c>
      <c r="BW72" s="54">
        <v>22</v>
      </c>
      <c r="BX72" s="54">
        <f>1178-SUM(BX66:BX71)</f>
        <v>24</v>
      </c>
      <c r="BY72" s="54">
        <f>3315-BY71-BY70-BY69-BY68-BY66</f>
        <v>29</v>
      </c>
      <c r="BZ72" s="54">
        <v>92</v>
      </c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2:107" x14ac:dyDescent="0.2">
      <c r="B73" s="19" t="s">
        <v>319</v>
      </c>
      <c r="AA73" s="20">
        <v>513</v>
      </c>
      <c r="AB73" s="23"/>
      <c r="AC73" s="23"/>
      <c r="AD73" s="23"/>
      <c r="AE73" s="23">
        <v>594</v>
      </c>
      <c r="AF73" s="23">
        <f>+AE73</f>
        <v>594</v>
      </c>
      <c r="AG73" s="23">
        <f t="shared" ref="AG73:AH74" si="89">+AF73</f>
        <v>594</v>
      </c>
      <c r="AH73" s="23">
        <f t="shared" si="89"/>
        <v>594</v>
      </c>
      <c r="AI73" s="23"/>
      <c r="AJ73" s="23"/>
      <c r="AK73" s="23"/>
      <c r="AL73" s="23"/>
      <c r="AM73" s="23"/>
      <c r="AN73" s="23">
        <v>529</v>
      </c>
      <c r="AO73" s="56">
        <v>458</v>
      </c>
      <c r="AP73" s="23"/>
      <c r="AQ73" s="23"/>
      <c r="AR73" s="23">
        <v>537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/>
      <c r="CV73" s="23"/>
      <c r="CW73" s="23">
        <f>SUM(AE73:AH73)</f>
        <v>2376</v>
      </c>
      <c r="CX73" s="23">
        <f>CW73*1.05</f>
        <v>2494.8000000000002</v>
      </c>
      <c r="CY73" s="23">
        <f t="shared" ref="CY73:DC73" si="90">CX73*1.05</f>
        <v>2619.5400000000004</v>
      </c>
      <c r="CZ73" s="23">
        <f t="shared" si="90"/>
        <v>2750.5170000000007</v>
      </c>
      <c r="DA73" s="23">
        <f t="shared" si="90"/>
        <v>2888.0428500000007</v>
      </c>
      <c r="DB73" s="23">
        <f t="shared" si="90"/>
        <v>3032.4449925000008</v>
      </c>
      <c r="DC73" s="23">
        <f t="shared" si="90"/>
        <v>3184.067242125001</v>
      </c>
    </row>
    <row r="74" spans="2:107" x14ac:dyDescent="0.2">
      <c r="B74" s="1" t="s">
        <v>1</v>
      </c>
      <c r="C74" s="23">
        <f>507-D74</f>
        <v>221</v>
      </c>
      <c r="D74" s="23">
        <v>286</v>
      </c>
      <c r="G74" s="23">
        <f>548-H74</f>
        <v>243</v>
      </c>
      <c r="H74" s="23">
        <v>305</v>
      </c>
      <c r="M74" s="23">
        <v>241</v>
      </c>
      <c r="N74" s="23">
        <v>228</v>
      </c>
      <c r="O74" s="23">
        <v>256</v>
      </c>
      <c r="P74" s="23">
        <v>291</v>
      </c>
      <c r="Q74" s="23">
        <v>298</v>
      </c>
      <c r="R74" s="20">
        <v>310</v>
      </c>
      <c r="S74" s="20">
        <v>284</v>
      </c>
      <c r="T74" s="20">
        <v>286</v>
      </c>
      <c r="U74" s="20">
        <v>312</v>
      </c>
      <c r="V74" s="20">
        <v>367</v>
      </c>
      <c r="W74" s="20">
        <v>344</v>
      </c>
      <c r="X74" s="20">
        <f>703-W74</f>
        <v>359</v>
      </c>
      <c r="Y74" s="20">
        <v>372</v>
      </c>
      <c r="Z74" s="20">
        <v>368</v>
      </c>
      <c r="AA74" s="20">
        <v>390</v>
      </c>
      <c r="AB74" s="23">
        <v>408</v>
      </c>
      <c r="AC74" s="23">
        <v>438</v>
      </c>
      <c r="AD74" s="23">
        <v>415</v>
      </c>
      <c r="AE74" s="23">
        <v>413</v>
      </c>
      <c r="AF74" s="23">
        <f>+AE74</f>
        <v>413</v>
      </c>
      <c r="AG74" s="23">
        <f t="shared" si="89"/>
        <v>413</v>
      </c>
      <c r="AH74" s="23">
        <f t="shared" si="89"/>
        <v>413</v>
      </c>
      <c r="AI74" s="23"/>
      <c r="AJ74" s="23"/>
      <c r="AK74" s="23"/>
      <c r="AL74" s="23"/>
      <c r="AM74" s="23"/>
      <c r="AN74" s="23">
        <v>83</v>
      </c>
      <c r="AO74" s="54">
        <v>86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23"/>
      <c r="CP74" s="23"/>
      <c r="CQ74" s="23"/>
      <c r="CR74" s="23"/>
      <c r="CS74" s="23"/>
      <c r="CT74" s="23"/>
      <c r="CU74" s="23">
        <f>SUM(W74:Z74)</f>
        <v>1443</v>
      </c>
      <c r="CV74" s="23"/>
      <c r="CW74" s="23"/>
      <c r="CX74" s="23"/>
      <c r="CY74" s="23"/>
      <c r="CZ74" s="23"/>
      <c r="DA74" s="23"/>
      <c r="DB74" s="23"/>
      <c r="DC74" s="23"/>
    </row>
    <row r="75" spans="2:107" x14ac:dyDescent="0.2">
      <c r="C75" s="23">
        <f>12196-D75</f>
        <v>5919</v>
      </c>
      <c r="D75" s="23">
        <v>6277</v>
      </c>
      <c r="G75" s="23">
        <f>13104-H75</f>
        <v>6417</v>
      </c>
      <c r="H75" s="23">
        <v>6687</v>
      </c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</row>
    <row r="76" spans="2:107" s="11" customFormat="1" x14ac:dyDescent="0.2">
      <c r="B76" s="11" t="s">
        <v>181</v>
      </c>
      <c r="C76" s="39">
        <f>C74+C75</f>
        <v>6140</v>
      </c>
      <c r="D76" s="39">
        <f>D74+D75</f>
        <v>6563</v>
      </c>
      <c r="E76" s="39"/>
      <c r="F76" s="39"/>
      <c r="G76" s="39">
        <f>G74+G75</f>
        <v>6660</v>
      </c>
      <c r="H76" s="39">
        <f>H74+H75</f>
        <v>6992</v>
      </c>
      <c r="I76" s="39"/>
      <c r="J76" s="39"/>
      <c r="K76" s="39">
        <f t="shared" ref="K76:Z76" si="91">SUM(K4:K65)</f>
        <v>7035</v>
      </c>
      <c r="L76" s="39">
        <f t="shared" si="91"/>
        <v>7081</v>
      </c>
      <c r="M76" s="39">
        <f t="shared" si="91"/>
        <v>6901</v>
      </c>
      <c r="N76" s="39">
        <f t="shared" si="91"/>
        <v>7356</v>
      </c>
      <c r="O76" s="39">
        <f t="shared" si="91"/>
        <v>7177</v>
      </c>
      <c r="P76" s="39">
        <f t="shared" si="91"/>
        <v>6939</v>
      </c>
      <c r="Q76" s="39">
        <f t="shared" si="91"/>
        <v>7025</v>
      </c>
      <c r="R76" s="39">
        <f t="shared" si="91"/>
        <v>6911</v>
      </c>
      <c r="S76" s="39">
        <f t="shared" si="91"/>
        <v>6919</v>
      </c>
      <c r="T76" s="39">
        <f t="shared" si="91"/>
        <v>6689</v>
      </c>
      <c r="U76" s="39">
        <f t="shared" si="91"/>
        <v>6853</v>
      </c>
      <c r="V76" s="39">
        <f t="shared" si="91"/>
        <v>7089</v>
      </c>
      <c r="W76" s="39">
        <f t="shared" si="91"/>
        <v>7107</v>
      </c>
      <c r="X76" s="39">
        <f t="shared" si="91"/>
        <v>7442</v>
      </c>
      <c r="Y76" s="39">
        <f t="shared" si="91"/>
        <v>7400</v>
      </c>
      <c r="Z76" s="39">
        <f t="shared" si="91"/>
        <v>7361</v>
      </c>
      <c r="AA76" s="39">
        <f>SUM(AA4:AA73)</f>
        <v>7898</v>
      </c>
      <c r="AB76" s="39">
        <f>SUM(AB4:AB65)</f>
        <v>7783</v>
      </c>
      <c r="AC76" s="39">
        <f>SUM(AC4:AC65)</f>
        <v>7821</v>
      </c>
      <c r="AD76" s="39">
        <f>SUM(AD4:AD65)</f>
        <v>7395</v>
      </c>
      <c r="AE76" s="39">
        <f t="shared" ref="AE76:AM76" si="92">SUM(AE4:AE73)</f>
        <v>7779</v>
      </c>
      <c r="AF76" s="39">
        <f t="shared" si="92"/>
        <v>7875</v>
      </c>
      <c r="AG76" s="39">
        <f t="shared" si="92"/>
        <v>7853</v>
      </c>
      <c r="AH76" s="39">
        <f t="shared" si="92"/>
        <v>7495.4</v>
      </c>
      <c r="AI76" s="39">
        <f t="shared" si="92"/>
        <v>54</v>
      </c>
      <c r="AJ76" s="39">
        <f t="shared" si="92"/>
        <v>0</v>
      </c>
      <c r="AK76" s="39">
        <f t="shared" si="92"/>
        <v>0</v>
      </c>
      <c r="AL76" s="39">
        <f t="shared" si="92"/>
        <v>0</v>
      </c>
      <c r="AM76" s="39">
        <f t="shared" si="92"/>
        <v>0</v>
      </c>
      <c r="AN76" s="39">
        <f>SUM(AN4:AN74)</f>
        <v>8073</v>
      </c>
      <c r="AO76" s="39">
        <f>SUM(AO4:AO74)</f>
        <v>8502</v>
      </c>
      <c r="AP76" s="39"/>
      <c r="AQ76" s="39"/>
      <c r="AR76" s="39">
        <f>SUM(AR4:AR74)</f>
        <v>8075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62">
        <f>SUM(BK3:BK75)</f>
        <v>8391</v>
      </c>
      <c r="BL76" s="62">
        <f>SUM(BL3:BL75)</f>
        <v>0</v>
      </c>
      <c r="BM76" s="62">
        <f>SUM(BM3:BM75)</f>
        <v>0</v>
      </c>
      <c r="BN76" s="62">
        <f>SUM(BN3:BN75)</f>
        <v>0</v>
      </c>
      <c r="BO76" s="62">
        <f t="shared" ref="BO76:BX76" si="93">SUM(BO3:BO75)</f>
        <v>8973</v>
      </c>
      <c r="BP76" s="62">
        <f t="shared" si="93"/>
        <v>8207</v>
      </c>
      <c r="BQ76" s="62">
        <f t="shared" si="93"/>
        <v>9479</v>
      </c>
      <c r="BR76" s="62">
        <f t="shared" si="93"/>
        <v>9382</v>
      </c>
      <c r="BS76" s="62">
        <f t="shared" si="93"/>
        <v>8591</v>
      </c>
      <c r="BT76" s="62">
        <f t="shared" si="93"/>
        <v>8744</v>
      </c>
      <c r="BU76" s="62">
        <f t="shared" si="93"/>
        <v>10432</v>
      </c>
      <c r="BV76" s="62">
        <f t="shared" si="93"/>
        <v>9994</v>
      </c>
      <c r="BW76" s="62">
        <f t="shared" si="93"/>
        <v>9673</v>
      </c>
      <c r="BX76" s="62">
        <f t="shared" si="93"/>
        <v>10116</v>
      </c>
      <c r="BY76" s="62">
        <f t="shared" ref="BY76:CL76" si="94">SUM(BY3:BY75)</f>
        <v>12482</v>
      </c>
      <c r="BZ76" s="62">
        <f>SUM(BZ3:BZ75)</f>
        <v>10724</v>
      </c>
      <c r="CA76" s="62">
        <f t="shared" si="94"/>
        <v>10221</v>
      </c>
      <c r="CB76" s="62">
        <f t="shared" si="94"/>
        <v>9965</v>
      </c>
      <c r="CC76" s="62">
        <f t="shared" si="94"/>
        <v>11964</v>
      </c>
      <c r="CD76" s="62">
        <f>SUM(CD3:CD75)</f>
        <v>10919</v>
      </c>
      <c r="CE76" s="62">
        <f>SUM(CE3:CE75)</f>
        <v>10464</v>
      </c>
      <c r="CF76" s="62">
        <f t="shared" si="94"/>
        <v>10745</v>
      </c>
      <c r="CG76" s="62">
        <f t="shared" si="94"/>
        <v>13439</v>
      </c>
      <c r="CH76" s="62">
        <f t="shared" si="94"/>
        <v>12123</v>
      </c>
      <c r="CI76" s="62">
        <f t="shared" si="94"/>
        <v>11809.43</v>
      </c>
      <c r="CJ76" s="62">
        <f t="shared" si="94"/>
        <v>12426.73</v>
      </c>
      <c r="CK76" s="62">
        <f t="shared" si="94"/>
        <v>14381.13</v>
      </c>
      <c r="CL76" s="62">
        <f t="shared" si="94"/>
        <v>13178.69</v>
      </c>
      <c r="CM76" s="62"/>
      <c r="CN76" s="39"/>
      <c r="CO76" s="45"/>
      <c r="CP76" s="45"/>
      <c r="CQ76" s="45"/>
      <c r="CR76" s="39">
        <f>SUM(CR4:CR65)</f>
        <v>28373</v>
      </c>
      <c r="CS76" s="39">
        <f>SUM(CS4:CS65)</f>
        <v>28052</v>
      </c>
      <c r="CT76" s="39">
        <f>SUM(CT4:CT65)</f>
        <v>27550</v>
      </c>
      <c r="CU76" s="39">
        <f>SUM(CU4:CU65)</f>
        <v>29310</v>
      </c>
      <c r="CV76" s="39">
        <f>SUM(CV4:CV65)</f>
        <v>30415</v>
      </c>
      <c r="CW76" s="39">
        <f t="shared" ref="CW76:DC76" si="95">SUM(CW4:CW73)</f>
        <v>30145.23</v>
      </c>
      <c r="CX76" s="39">
        <f t="shared" si="95"/>
        <v>29130.449300000004</v>
      </c>
      <c r="CY76" s="39">
        <f t="shared" si="95"/>
        <v>27509.208572000003</v>
      </c>
      <c r="CZ76" s="39">
        <f t="shared" si="95"/>
        <v>26261.69246577</v>
      </c>
      <c r="DA76" s="39">
        <f t="shared" si="95"/>
        <v>25739.669793202305</v>
      </c>
      <c r="DB76" s="39">
        <f t="shared" si="95"/>
        <v>24572.232721612385</v>
      </c>
      <c r="DC76" s="39">
        <f t="shared" si="95"/>
        <v>22307.744321120292</v>
      </c>
    </row>
    <row r="77" spans="2:107" x14ac:dyDescent="0.2">
      <c r="B77" s="1" t="s">
        <v>2</v>
      </c>
      <c r="C77" s="23">
        <f>3379-D77</f>
        <v>1625</v>
      </c>
      <c r="D77" s="23">
        <v>1754</v>
      </c>
      <c r="G77" s="23">
        <f>3418-H77</f>
        <v>1697</v>
      </c>
      <c r="H77" s="23">
        <v>1721</v>
      </c>
      <c r="M77" s="23">
        <v>1840</v>
      </c>
      <c r="N77" s="23">
        <v>1957</v>
      </c>
      <c r="O77" s="23">
        <v>1864</v>
      </c>
      <c r="P77" s="23">
        <v>1840</v>
      </c>
      <c r="Q77" s="23">
        <v>1903</v>
      </c>
      <c r="R77" s="23">
        <v>1964</v>
      </c>
      <c r="S77" s="23">
        <v>1889</v>
      </c>
      <c r="T77" s="23">
        <v>1726</v>
      </c>
      <c r="U77" s="23">
        <v>1793</v>
      </c>
      <c r="V77" s="23">
        <v>1927</v>
      </c>
      <c r="W77" s="23">
        <v>1767</v>
      </c>
      <c r="X77" s="23">
        <f>3600-W77</f>
        <v>1833</v>
      </c>
      <c r="Y77" s="23">
        <v>2028</v>
      </c>
      <c r="Z77" s="23">
        <v>2225</v>
      </c>
      <c r="AA77" s="23">
        <f>2025</f>
        <v>2025</v>
      </c>
      <c r="AB77" s="23">
        <v>2058</v>
      </c>
      <c r="AC77" s="23">
        <v>2296</v>
      </c>
      <c r="AD77" s="23">
        <v>2310</v>
      </c>
      <c r="AE77" s="23">
        <v>2362</v>
      </c>
      <c r="AF77" s="23">
        <f>+AF76-AF78</f>
        <v>1890</v>
      </c>
      <c r="AG77" s="23">
        <f t="shared" ref="AG77:AH77" si="96">+AG76-AG78</f>
        <v>1884.7200000000003</v>
      </c>
      <c r="AH77" s="23">
        <f t="shared" si="96"/>
        <v>1798.8959999999997</v>
      </c>
      <c r="AI77" s="23"/>
      <c r="AJ77" s="23"/>
      <c r="AK77" s="23"/>
      <c r="AL77" s="23"/>
      <c r="AM77" s="23"/>
      <c r="AN77" s="23">
        <v>2672</v>
      </c>
      <c r="AO77" s="23">
        <v>2873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>2847-343</f>
        <v>2504</v>
      </c>
      <c r="BP77" s="54">
        <f>2660-231</f>
        <v>2429</v>
      </c>
      <c r="BQ77" s="54">
        <f>3159-400</f>
        <v>2759</v>
      </c>
      <c r="BR77" s="54">
        <f>3439-354</f>
        <v>3085</v>
      </c>
      <c r="BS77" s="54">
        <f>2684-295</f>
        <v>2389</v>
      </c>
      <c r="BT77" s="54">
        <f>2858-301</f>
        <v>2557</v>
      </c>
      <c r="BU77" s="54">
        <f>3238-397</f>
        <v>2841</v>
      </c>
      <c r="BV77" s="54">
        <f>3471-421</f>
        <v>3050</v>
      </c>
      <c r="BW77" s="54">
        <f>2878-379</f>
        <v>2499</v>
      </c>
      <c r="BX77" s="54">
        <f>3249-626</f>
        <v>2623</v>
      </c>
      <c r="BY77" s="54">
        <f>3831-656</f>
        <v>3175</v>
      </c>
      <c r="BZ77" s="54">
        <f>3734-731</f>
        <v>3003</v>
      </c>
      <c r="CA77" s="54">
        <f>3079-641</f>
        <v>2438</v>
      </c>
      <c r="CB77" s="54">
        <f>3263-717</f>
        <v>2546</v>
      </c>
      <c r="CC77" s="54">
        <f>3840-734</f>
        <v>3106</v>
      </c>
      <c r="CD77" s="54">
        <f>4034-1282</f>
        <v>2752</v>
      </c>
      <c r="CE77" s="54">
        <f>3424-654</f>
        <v>2770</v>
      </c>
      <c r="CF77" s="54">
        <f>3406-635</f>
        <v>2771</v>
      </c>
      <c r="CG77" s="54">
        <f>4085-719</f>
        <v>3366</v>
      </c>
      <c r="CH77" s="54"/>
      <c r="CI77" s="54"/>
      <c r="CJ77" s="54"/>
      <c r="CK77" s="54"/>
      <c r="CL77" s="54"/>
      <c r="CM77" s="54"/>
      <c r="CN77" s="23"/>
      <c r="CR77" s="23"/>
      <c r="CS77" s="23"/>
      <c r="CT77" s="23">
        <f t="shared" ref="CT77:DB77" si="97">CT76-CT78</f>
        <v>6086</v>
      </c>
      <c r="CU77" s="23">
        <f>CU76-CU78</f>
        <v>6410</v>
      </c>
      <c r="CV77" s="23">
        <f>CV76-CV78</f>
        <v>6995.4500000000007</v>
      </c>
      <c r="CW77" s="23">
        <f>CW76-CW78</f>
        <v>7234.8551999999981</v>
      </c>
      <c r="CX77" s="23">
        <f t="shared" si="97"/>
        <v>6991.3078320000022</v>
      </c>
      <c r="CY77" s="23">
        <f t="shared" si="97"/>
        <v>6877.3021430000008</v>
      </c>
      <c r="CZ77" s="23">
        <f t="shared" si="97"/>
        <v>6565.4231164425</v>
      </c>
      <c r="DA77" s="23">
        <f t="shared" si="97"/>
        <v>6434.9174483005772</v>
      </c>
      <c r="DB77" s="23">
        <f t="shared" si="97"/>
        <v>6143.0581804030953</v>
      </c>
      <c r="DC77" s="23">
        <f t="shared" ref="DC77" si="98">DC76-DC78</f>
        <v>5576.9360802800729</v>
      </c>
    </row>
    <row r="78" spans="2:107" x14ac:dyDescent="0.2">
      <c r="B78" s="1" t="s">
        <v>168</v>
      </c>
      <c r="C78" s="23">
        <f>C76-C77</f>
        <v>4515</v>
      </c>
      <c r="D78" s="23">
        <f>D76-D77</f>
        <v>4809</v>
      </c>
      <c r="G78" s="23">
        <f>G76-G77</f>
        <v>4963</v>
      </c>
      <c r="H78" s="23">
        <f>H76-H77</f>
        <v>5271</v>
      </c>
      <c r="M78" s="23">
        <f t="shared" ref="M78:AE78" si="99">M76-M77+M74</f>
        <v>5302</v>
      </c>
      <c r="N78" s="23">
        <f t="shared" si="99"/>
        <v>5627</v>
      </c>
      <c r="O78" s="23">
        <f t="shared" si="99"/>
        <v>5569</v>
      </c>
      <c r="P78" s="23">
        <f t="shared" si="99"/>
        <v>5390</v>
      </c>
      <c r="Q78" s="23">
        <f t="shared" si="99"/>
        <v>5420</v>
      </c>
      <c r="R78" s="23">
        <f t="shared" si="99"/>
        <v>5257</v>
      </c>
      <c r="S78" s="23">
        <f t="shared" si="99"/>
        <v>5314</v>
      </c>
      <c r="T78" s="23">
        <f t="shared" si="99"/>
        <v>5249</v>
      </c>
      <c r="U78" s="23">
        <f t="shared" si="99"/>
        <v>5372</v>
      </c>
      <c r="V78" s="23">
        <f t="shared" si="99"/>
        <v>5529</v>
      </c>
      <c r="W78" s="23">
        <f t="shared" si="99"/>
        <v>5684</v>
      </c>
      <c r="X78" s="23">
        <f t="shared" si="99"/>
        <v>5968</v>
      </c>
      <c r="Y78" s="23">
        <f t="shared" si="99"/>
        <v>5744</v>
      </c>
      <c r="Z78" s="23">
        <f t="shared" si="99"/>
        <v>5504</v>
      </c>
      <c r="AA78" s="23">
        <f t="shared" si="99"/>
        <v>6263</v>
      </c>
      <c r="AB78" s="23">
        <f t="shared" si="99"/>
        <v>6133</v>
      </c>
      <c r="AC78" s="23">
        <f t="shared" si="99"/>
        <v>5963</v>
      </c>
      <c r="AD78" s="23">
        <f t="shared" si="99"/>
        <v>5500</v>
      </c>
      <c r="AE78" s="23">
        <f t="shared" si="99"/>
        <v>5830</v>
      </c>
      <c r="AF78" s="23">
        <f>+AF76*AF93</f>
        <v>5985</v>
      </c>
      <c r="AG78" s="23">
        <f t="shared" ref="AG78:AH78" si="100">+AG76*AG93</f>
        <v>5968.28</v>
      </c>
      <c r="AH78" s="23">
        <f t="shared" si="100"/>
        <v>5696.5039999999999</v>
      </c>
      <c r="AI78" s="23"/>
      <c r="AJ78" s="23"/>
      <c r="AK78" s="23"/>
      <c r="AL78" s="23"/>
      <c r="AM78" s="23"/>
      <c r="AN78" s="23">
        <f t="shared" ref="AN78" si="101">+AN76-AN77</f>
        <v>5401</v>
      </c>
      <c r="AO78" s="23">
        <f>+AO76-AO77</f>
        <v>5629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f t="shared" ref="BO78" si="102">BO76-BO77</f>
        <v>6469</v>
      </c>
      <c r="BP78" s="54">
        <f t="shared" ref="BP78" si="103">BP76-BP77</f>
        <v>5778</v>
      </c>
      <c r="BQ78" s="54">
        <f t="shared" ref="BQ78:BR78" si="104">BQ76-BQ77</f>
        <v>6720</v>
      </c>
      <c r="BR78" s="54">
        <f t="shared" si="104"/>
        <v>6297</v>
      </c>
      <c r="BS78" s="54">
        <f t="shared" ref="BS78:BX78" si="105">BS76-BS77</f>
        <v>6202</v>
      </c>
      <c r="BT78" s="54">
        <f t="shared" si="105"/>
        <v>6187</v>
      </c>
      <c r="BU78" s="54">
        <f t="shared" si="105"/>
        <v>7591</v>
      </c>
      <c r="BV78" s="54">
        <f t="shared" si="105"/>
        <v>6944</v>
      </c>
      <c r="BW78" s="54">
        <f t="shared" si="105"/>
        <v>7174</v>
      </c>
      <c r="BX78" s="54">
        <f t="shared" si="105"/>
        <v>7493</v>
      </c>
      <c r="BY78" s="54">
        <f t="shared" ref="BY78:CE78" si="106">+BY76-BY77</f>
        <v>9307</v>
      </c>
      <c r="BZ78" s="54">
        <f t="shared" si="106"/>
        <v>7721</v>
      </c>
      <c r="CA78" s="54">
        <f t="shared" si="106"/>
        <v>7783</v>
      </c>
      <c r="CB78" s="54">
        <f t="shared" si="106"/>
        <v>7419</v>
      </c>
      <c r="CC78" s="54">
        <f t="shared" si="106"/>
        <v>8858</v>
      </c>
      <c r="CD78" s="54">
        <f t="shared" si="106"/>
        <v>8167</v>
      </c>
      <c r="CE78" s="54">
        <f t="shared" si="106"/>
        <v>7694</v>
      </c>
      <c r="CF78" s="54">
        <f>CF76-CF77</f>
        <v>7974</v>
      </c>
      <c r="CG78" s="54">
        <f>CG76-CG77</f>
        <v>10073</v>
      </c>
      <c r="CH78" s="54"/>
      <c r="CI78" s="54"/>
      <c r="CJ78" s="54"/>
      <c r="CK78" s="54"/>
      <c r="CL78" s="54"/>
      <c r="CM78" s="54"/>
      <c r="CN78" s="23"/>
      <c r="CR78" s="23"/>
      <c r="CS78" s="23"/>
      <c r="CT78" s="23">
        <f>SUM(S78:V78)</f>
        <v>21464</v>
      </c>
      <c r="CU78" s="23">
        <f>SUM(W78:Z78)</f>
        <v>22900</v>
      </c>
      <c r="CV78" s="23">
        <f>CV76*CV93</f>
        <v>23419.55</v>
      </c>
      <c r="CW78" s="23">
        <f>CW76*CW93</f>
        <v>22910.374800000001</v>
      </c>
      <c r="CX78" s="23">
        <f t="shared" ref="CX78:CY78" si="107">CX76*CX93</f>
        <v>22139.141468000002</v>
      </c>
      <c r="CY78" s="23">
        <f t="shared" si="107"/>
        <v>20631.906429000002</v>
      </c>
      <c r="CZ78" s="23">
        <f>CZ76*CZ93</f>
        <v>19696.2693493275</v>
      </c>
      <c r="DA78" s="23">
        <f>DA76*DA93</f>
        <v>19304.752344901728</v>
      </c>
      <c r="DB78" s="23">
        <f>DB76*DB93</f>
        <v>18429.17454120929</v>
      </c>
      <c r="DC78" s="23">
        <f>DC76*DC93</f>
        <v>16730.808240840219</v>
      </c>
    </row>
    <row r="79" spans="2:107" x14ac:dyDescent="0.2">
      <c r="B79" s="1" t="s">
        <v>3</v>
      </c>
      <c r="C79" s="23">
        <f>1909-D79</f>
        <v>920</v>
      </c>
      <c r="D79" s="23">
        <v>989</v>
      </c>
      <c r="G79" s="23">
        <f>1902-H79</f>
        <v>923</v>
      </c>
      <c r="H79" s="23">
        <v>979</v>
      </c>
      <c r="M79" s="23">
        <v>1075</v>
      </c>
      <c r="N79" s="23">
        <v>1211</v>
      </c>
      <c r="O79" s="23">
        <v>1081</v>
      </c>
      <c r="P79" s="23">
        <v>1101</v>
      </c>
      <c r="Q79" s="23">
        <v>1084</v>
      </c>
      <c r="R79" s="23">
        <v>1271</v>
      </c>
      <c r="S79" s="23">
        <v>1089</v>
      </c>
      <c r="T79" s="23">
        <v>1091</v>
      </c>
      <c r="U79" s="23">
        <v>1089</v>
      </c>
      <c r="V79" s="23">
        <v>1306</v>
      </c>
      <c r="W79" s="23">
        <v>1152</v>
      </c>
      <c r="X79" s="23">
        <f>2260-W79</f>
        <v>1108</v>
      </c>
      <c r="Y79" s="23">
        <v>1109</v>
      </c>
      <c r="Z79" s="23">
        <v>1214</v>
      </c>
      <c r="AA79" s="23">
        <v>1110</v>
      </c>
      <c r="AB79" s="23">
        <v>1080</v>
      </c>
      <c r="AC79" s="23">
        <v>1085</v>
      </c>
      <c r="AD79" s="23">
        <v>1126</v>
      </c>
      <c r="AE79" s="23">
        <v>1100</v>
      </c>
      <c r="AF79" s="23"/>
      <c r="AG79" s="23"/>
      <c r="AH79" s="23"/>
      <c r="AI79" s="23"/>
      <c r="AJ79" s="23"/>
      <c r="AK79" s="23"/>
      <c r="AL79" s="23"/>
      <c r="AM79" s="23"/>
      <c r="AN79" s="23">
        <v>1186</v>
      </c>
      <c r="AO79" s="23">
        <v>1183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1340</v>
      </c>
      <c r="BP79" s="54">
        <v>1352</v>
      </c>
      <c r="BQ79" s="54">
        <v>1321</v>
      </c>
      <c r="BR79" s="54">
        <v>1516</v>
      </c>
      <c r="BS79" s="54">
        <v>1267</v>
      </c>
      <c r="BT79" s="54">
        <v>1396</v>
      </c>
      <c r="BU79" s="54">
        <v>1443</v>
      </c>
      <c r="BV79" s="54">
        <v>1585</v>
      </c>
      <c r="BW79" s="54">
        <v>1489</v>
      </c>
      <c r="BX79" s="54">
        <v>1658</v>
      </c>
      <c r="BY79" s="54">
        <v>1736</v>
      </c>
      <c r="BZ79" s="54">
        <v>1823</v>
      </c>
      <c r="CA79" s="54">
        <v>1563</v>
      </c>
      <c r="CB79" s="54">
        <v>1630</v>
      </c>
      <c r="CC79" s="54">
        <v>1663</v>
      </c>
      <c r="CD79" s="54">
        <v>1872</v>
      </c>
      <c r="CE79" s="54">
        <v>1719</v>
      </c>
      <c r="CF79" s="54">
        <v>1704</v>
      </c>
      <c r="CG79" s="54">
        <v>1852</v>
      </c>
      <c r="CH79" s="54"/>
      <c r="CI79" s="54"/>
      <c r="CJ79" s="54"/>
      <c r="CK79" s="54"/>
      <c r="CL79" s="54"/>
      <c r="CM79" s="54"/>
      <c r="CN79" s="23"/>
      <c r="CR79" s="23"/>
      <c r="CS79" s="23">
        <f>SUM(O79:R79)</f>
        <v>4537</v>
      </c>
      <c r="CT79" s="23">
        <f>SUM(S79:V79)</f>
        <v>4575</v>
      </c>
      <c r="CU79" s="23">
        <f>SUM(W79:Z79)</f>
        <v>4583</v>
      </c>
      <c r="CV79" s="23">
        <f>SUM(AA79:AD79)</f>
        <v>4401</v>
      </c>
      <c r="CW79" s="23">
        <f>SUM(AE79:AH79)</f>
        <v>1100</v>
      </c>
      <c r="CX79" s="23"/>
      <c r="CY79" s="23"/>
      <c r="CZ79" s="23"/>
      <c r="DA79" s="23"/>
      <c r="DB79" s="23"/>
      <c r="DC79" s="23"/>
    </row>
    <row r="80" spans="2:107" x14ac:dyDescent="0.2">
      <c r="B80" s="1" t="s">
        <v>4</v>
      </c>
      <c r="C80" s="23">
        <f>3911-D80</f>
        <v>1906</v>
      </c>
      <c r="D80" s="23">
        <v>2005</v>
      </c>
      <c r="G80" s="23">
        <f>3949-H80</f>
        <v>1920</v>
      </c>
      <c r="H80" s="23">
        <v>2029</v>
      </c>
      <c r="M80" s="23">
        <v>1806</v>
      </c>
      <c r="N80" s="23">
        <v>2153</v>
      </c>
      <c r="O80" s="23">
        <v>1873</v>
      </c>
      <c r="P80" s="23">
        <v>1931</v>
      </c>
      <c r="Q80" s="23">
        <v>1754</v>
      </c>
      <c r="R80" s="23">
        <v>1996</v>
      </c>
      <c r="S80" s="23">
        <v>1783</v>
      </c>
      <c r="T80" s="23">
        <v>1789</v>
      </c>
      <c r="U80" s="23">
        <v>1651</v>
      </c>
      <c r="V80" s="23">
        <v>1945</v>
      </c>
      <c r="W80" s="23">
        <v>1732</v>
      </c>
      <c r="X80" s="23">
        <f>3627-W80</f>
        <v>1895</v>
      </c>
      <c r="Y80" s="23">
        <v>1707</v>
      </c>
      <c r="Z80" s="23">
        <v>1991</v>
      </c>
      <c r="AA80" s="23">
        <v>1701</v>
      </c>
      <c r="AB80" s="23">
        <v>1958</v>
      </c>
      <c r="AC80" s="23">
        <v>1851</v>
      </c>
      <c r="AD80" s="23">
        <v>2057</v>
      </c>
      <c r="AE80" s="23">
        <v>1933</v>
      </c>
      <c r="AF80" s="23"/>
      <c r="AG80" s="23"/>
      <c r="AH80" s="23"/>
      <c r="AI80" s="23"/>
      <c r="AJ80" s="23"/>
      <c r="AK80" s="23"/>
      <c r="AL80" s="23"/>
      <c r="AM80" s="23"/>
      <c r="AN80" s="23">
        <v>2309</v>
      </c>
      <c r="AO80" s="23">
        <v>2016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v>2342</v>
      </c>
      <c r="BP80" s="54">
        <v>2265</v>
      </c>
      <c r="BQ80" s="54">
        <v>2182</v>
      </c>
      <c r="BR80" s="54">
        <v>2602</v>
      </c>
      <c r="BS80" s="54">
        <v>2194</v>
      </c>
      <c r="BT80" s="54">
        <v>2337</v>
      </c>
      <c r="BU80" s="54">
        <v>2267</v>
      </c>
      <c r="BV80" s="54">
        <v>2758</v>
      </c>
      <c r="BW80" s="54">
        <v>2379</v>
      </c>
      <c r="BX80" s="54">
        <v>2574</v>
      </c>
      <c r="BY80" s="54">
        <v>2644</v>
      </c>
      <c r="BZ80" s="54">
        <v>2895</v>
      </c>
      <c r="CA80" s="54">
        <v>2607</v>
      </c>
      <c r="CB80" s="54">
        <v>2575</v>
      </c>
      <c r="CC80" s="54">
        <v>2579</v>
      </c>
      <c r="CD80" s="54">
        <v>2931</v>
      </c>
      <c r="CE80" s="54">
        <v>2605</v>
      </c>
      <c r="CF80" s="54">
        <v>2655</v>
      </c>
      <c r="CG80" s="54">
        <v>2681</v>
      </c>
      <c r="CH80" s="54"/>
      <c r="CI80" s="54"/>
      <c r="CJ80" s="54"/>
      <c r="CK80" s="54"/>
      <c r="CL80" s="54"/>
      <c r="CM80" s="54"/>
      <c r="CN80" s="23"/>
      <c r="CR80" s="23"/>
      <c r="CS80" s="23">
        <f>SUM(O80:R80)</f>
        <v>7554</v>
      </c>
      <c r="CT80" s="23">
        <f>SUM(S80:V80)</f>
        <v>7168</v>
      </c>
      <c r="CU80" s="23">
        <f>SUM(W80:Z80)</f>
        <v>7325</v>
      </c>
      <c r="CV80" s="23">
        <f>SUM(AA80:AD80)</f>
        <v>7567</v>
      </c>
      <c r="CW80" s="23">
        <f>SUM(AE80:AH80)</f>
        <v>1933</v>
      </c>
      <c r="CX80" s="23">
        <f t="shared" ref="CX80:CY80" si="108">CW80</f>
        <v>1933</v>
      </c>
      <c r="CY80" s="23">
        <f t="shared" si="108"/>
        <v>1933</v>
      </c>
      <c r="CZ80" s="23">
        <f>CY80</f>
        <v>1933</v>
      </c>
      <c r="DA80" s="23">
        <f>CZ80</f>
        <v>1933</v>
      </c>
      <c r="DB80" s="23">
        <f>DA80</f>
        <v>1933</v>
      </c>
      <c r="DC80" s="23">
        <f>DB80</f>
        <v>1933</v>
      </c>
    </row>
    <row r="81" spans="2:170" x14ac:dyDescent="0.2">
      <c r="B81" s="1" t="s">
        <v>164</v>
      </c>
      <c r="C81" s="23">
        <f>(-89+48-194)-D81</f>
        <v>-151</v>
      </c>
      <c r="D81" s="23">
        <f>-48+21-57</f>
        <v>-84</v>
      </c>
      <c r="G81" s="23">
        <f>-76-H81</f>
        <v>-67</v>
      </c>
      <c r="H81" s="23">
        <f>-56+37+10</f>
        <v>-9</v>
      </c>
      <c r="M81" s="23">
        <f t="shared" ref="M81:W81" si="109">M80+M79</f>
        <v>2881</v>
      </c>
      <c r="N81" s="23">
        <f t="shared" si="109"/>
        <v>3364</v>
      </c>
      <c r="O81" s="23">
        <f t="shared" si="109"/>
        <v>2954</v>
      </c>
      <c r="P81" s="23">
        <f t="shared" si="109"/>
        <v>3032</v>
      </c>
      <c r="Q81" s="23">
        <f t="shared" si="109"/>
        <v>2838</v>
      </c>
      <c r="R81" s="23">
        <f t="shared" si="109"/>
        <v>3267</v>
      </c>
      <c r="S81" s="23">
        <f t="shared" si="109"/>
        <v>2872</v>
      </c>
      <c r="T81" s="23">
        <f t="shared" si="109"/>
        <v>2880</v>
      </c>
      <c r="U81" s="23">
        <f>U80+U79</f>
        <v>2740</v>
      </c>
      <c r="V81" s="23">
        <f t="shared" si="109"/>
        <v>3251</v>
      </c>
      <c r="W81" s="23">
        <f t="shared" si="109"/>
        <v>2884</v>
      </c>
      <c r="X81" s="23">
        <f t="shared" ref="X81:Y81" si="110">X80+X79</f>
        <v>3003</v>
      </c>
      <c r="Y81" s="23">
        <f t="shared" si="110"/>
        <v>2816</v>
      </c>
      <c r="Z81" s="23">
        <f t="shared" ref="Z81:AA81" si="111">Z80+Z79</f>
        <v>3205</v>
      </c>
      <c r="AA81" s="23">
        <f t="shared" si="111"/>
        <v>2811</v>
      </c>
      <c r="AB81" s="23">
        <f t="shared" ref="AB81:AC81" si="112">AB80+AB79</f>
        <v>3038</v>
      </c>
      <c r="AC81" s="23">
        <f t="shared" si="112"/>
        <v>2936</v>
      </c>
      <c r="AD81" s="23">
        <f>AD80+AD79</f>
        <v>3183</v>
      </c>
      <c r="AE81" s="23">
        <f t="shared" ref="AE81:AF81" si="113">AE80+AE79</f>
        <v>3033</v>
      </c>
      <c r="AF81" s="23">
        <f t="shared" si="113"/>
        <v>0</v>
      </c>
      <c r="AG81" s="23">
        <f t="shared" ref="AG81:AH81" si="114">AG80+AG79</f>
        <v>0</v>
      </c>
      <c r="AH81" s="23">
        <f t="shared" si="114"/>
        <v>0</v>
      </c>
      <c r="AI81" s="23">
        <f t="shared" ref="AI81:AO81" si="115">AI80+AI79</f>
        <v>0</v>
      </c>
      <c r="AJ81" s="23">
        <f t="shared" si="115"/>
        <v>0</v>
      </c>
      <c r="AK81" s="23">
        <f t="shared" si="115"/>
        <v>0</v>
      </c>
      <c r="AL81" s="23">
        <f t="shared" si="115"/>
        <v>0</v>
      </c>
      <c r="AM81" s="23">
        <f t="shared" si="115"/>
        <v>0</v>
      </c>
      <c r="AN81" s="23">
        <f t="shared" si="115"/>
        <v>3495</v>
      </c>
      <c r="AO81" s="23">
        <f t="shared" si="115"/>
        <v>3199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16">BO79+BO80</f>
        <v>3682</v>
      </c>
      <c r="BP81" s="54">
        <f t="shared" ref="BP81:BQ81" si="117">BP79+BP80</f>
        <v>3617</v>
      </c>
      <c r="BQ81" s="54">
        <f t="shared" si="117"/>
        <v>3503</v>
      </c>
      <c r="BR81" s="54">
        <f t="shared" ref="BR81:BV81" si="118">BR79+BR80</f>
        <v>4118</v>
      </c>
      <c r="BS81" s="54">
        <f t="shared" si="118"/>
        <v>3461</v>
      </c>
      <c r="BT81" s="54">
        <f t="shared" si="118"/>
        <v>3733</v>
      </c>
      <c r="BU81" s="54">
        <f t="shared" si="118"/>
        <v>3710</v>
      </c>
      <c r="BV81" s="54">
        <f t="shared" si="118"/>
        <v>4343</v>
      </c>
      <c r="BW81" s="54">
        <f>BW79+BW80</f>
        <v>3868</v>
      </c>
      <c r="BX81" s="54">
        <f>BX79+BX80</f>
        <v>4232</v>
      </c>
      <c r="BY81" s="54">
        <f t="shared" ref="BY81:CE81" si="119">BY80+BY79</f>
        <v>4380</v>
      </c>
      <c r="BZ81" s="54">
        <f t="shared" si="119"/>
        <v>4718</v>
      </c>
      <c r="CA81" s="54">
        <f t="shared" si="119"/>
        <v>4170</v>
      </c>
      <c r="CB81" s="54">
        <f t="shared" si="119"/>
        <v>4205</v>
      </c>
      <c r="CC81" s="54">
        <f t="shared" si="119"/>
        <v>4242</v>
      </c>
      <c r="CD81" s="54">
        <f t="shared" si="119"/>
        <v>4803</v>
      </c>
      <c r="CE81" s="54">
        <f t="shared" si="119"/>
        <v>4324</v>
      </c>
      <c r="CF81" s="54">
        <f>CF80+CF79</f>
        <v>4359</v>
      </c>
      <c r="CG81" s="54">
        <f>CG80+CG79</f>
        <v>4533</v>
      </c>
      <c r="CH81" s="54"/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120">CT79+CT80</f>
        <v>11743</v>
      </c>
      <c r="CU81" s="23">
        <f>CU79+CU80</f>
        <v>11908</v>
      </c>
      <c r="CV81" s="23">
        <f>CV79+CV80</f>
        <v>11968</v>
      </c>
      <c r="CW81" s="23">
        <f>CW79+CW80</f>
        <v>3033</v>
      </c>
      <c r="CX81" s="23">
        <f t="shared" si="120"/>
        <v>1933</v>
      </c>
      <c r="CY81" s="23">
        <f t="shared" si="120"/>
        <v>1933</v>
      </c>
      <c r="CZ81" s="23">
        <f>CZ79+CZ80</f>
        <v>1933</v>
      </c>
      <c r="DA81" s="23">
        <f>DA79+DA80</f>
        <v>1933</v>
      </c>
      <c r="DB81" s="23">
        <f>DB79+DB80</f>
        <v>1933</v>
      </c>
      <c r="DC81" s="23">
        <f>DC79+DC80</f>
        <v>1933</v>
      </c>
    </row>
    <row r="82" spans="2:170" x14ac:dyDescent="0.2">
      <c r="B82" s="1" t="s">
        <v>167</v>
      </c>
      <c r="C82" s="23">
        <f>C78-C79-C80-C81</f>
        <v>1840</v>
      </c>
      <c r="D82" s="23">
        <f>D78-D79-D80-D81</f>
        <v>1899</v>
      </c>
      <c r="G82" s="23">
        <f>G78-G79-G80-G81</f>
        <v>2187</v>
      </c>
      <c r="H82" s="23">
        <f>H78-H79-H80-H81</f>
        <v>2272</v>
      </c>
      <c r="M82" s="23">
        <f t="shared" ref="M82:W82" si="121">M78-M81</f>
        <v>2421</v>
      </c>
      <c r="N82" s="23">
        <f t="shared" si="121"/>
        <v>2263</v>
      </c>
      <c r="O82" s="23">
        <f t="shared" si="121"/>
        <v>2615</v>
      </c>
      <c r="P82" s="23">
        <f t="shared" si="121"/>
        <v>2358</v>
      </c>
      <c r="Q82" s="23">
        <f t="shared" si="121"/>
        <v>2582</v>
      </c>
      <c r="R82" s="23">
        <f t="shared" si="121"/>
        <v>1990</v>
      </c>
      <c r="S82" s="23">
        <f t="shared" si="121"/>
        <v>2442</v>
      </c>
      <c r="T82" s="23">
        <f t="shared" si="121"/>
        <v>2369</v>
      </c>
      <c r="U82" s="23">
        <f>U78-U81</f>
        <v>2632</v>
      </c>
      <c r="V82" s="23">
        <f t="shared" si="121"/>
        <v>2278</v>
      </c>
      <c r="W82" s="23">
        <f t="shared" si="121"/>
        <v>2800</v>
      </c>
      <c r="X82" s="23">
        <f>X78-X81</f>
        <v>2965</v>
      </c>
      <c r="Y82" s="23">
        <f>Y78-Y81</f>
        <v>2928</v>
      </c>
      <c r="Z82" s="23">
        <f>Z78-Z81</f>
        <v>2299</v>
      </c>
      <c r="AA82" s="23">
        <f>AA78-AA81</f>
        <v>3452</v>
      </c>
      <c r="AB82" s="23">
        <f t="shared" ref="AB82:AC82" si="122">AB78-AB81</f>
        <v>3095</v>
      </c>
      <c r="AC82" s="23">
        <f t="shared" si="122"/>
        <v>3027</v>
      </c>
      <c r="AD82" s="23">
        <f>AD78-AD81</f>
        <v>2317</v>
      </c>
      <c r="AE82" s="23">
        <f>AE78-AE81</f>
        <v>2797</v>
      </c>
      <c r="AF82" s="23">
        <f>AF78-AF81</f>
        <v>5985</v>
      </c>
      <c r="AG82" s="23">
        <f>AG78-AG81</f>
        <v>5968.28</v>
      </c>
      <c r="AH82" s="23">
        <f>AH78-AH81</f>
        <v>5696.5039999999999</v>
      </c>
      <c r="AI82" s="23">
        <f t="shared" ref="AI82:AO82" si="123">AI78-AI81</f>
        <v>0</v>
      </c>
      <c r="AJ82" s="23">
        <f t="shared" si="123"/>
        <v>0</v>
      </c>
      <c r="AK82" s="23">
        <f t="shared" si="123"/>
        <v>0</v>
      </c>
      <c r="AL82" s="23">
        <f t="shared" si="123"/>
        <v>0</v>
      </c>
      <c r="AM82" s="23">
        <f t="shared" si="123"/>
        <v>0</v>
      </c>
      <c r="AN82" s="23">
        <f t="shared" si="123"/>
        <v>1906</v>
      </c>
      <c r="AO82" s="23">
        <f t="shared" si="123"/>
        <v>2430</v>
      </c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54"/>
      <c r="BL82" s="54"/>
      <c r="BM82" s="54"/>
      <c r="BN82" s="54"/>
      <c r="BO82" s="54">
        <f t="shared" ref="BO82" si="124">BO78-BO81</f>
        <v>2787</v>
      </c>
      <c r="BP82" s="54">
        <f t="shared" ref="BP82:BQ82" si="125">BP78-BP81</f>
        <v>2161</v>
      </c>
      <c r="BQ82" s="54">
        <f t="shared" si="125"/>
        <v>3217</v>
      </c>
      <c r="BR82" s="54">
        <f t="shared" ref="BR82:BV82" si="126">BR78-BR81</f>
        <v>2179</v>
      </c>
      <c r="BS82" s="54">
        <f t="shared" si="126"/>
        <v>2741</v>
      </c>
      <c r="BT82" s="54">
        <f t="shared" si="126"/>
        <v>2454</v>
      </c>
      <c r="BU82" s="54">
        <f t="shared" si="126"/>
        <v>3881</v>
      </c>
      <c r="BV82" s="54">
        <f t="shared" si="126"/>
        <v>2601</v>
      </c>
      <c r="BW82" s="54">
        <f>BW78-BW81</f>
        <v>3306</v>
      </c>
      <c r="BX82" s="54">
        <f>BX78-BX81</f>
        <v>3261</v>
      </c>
      <c r="BY82" s="54">
        <f t="shared" ref="BY82:CE82" si="127">BY78-BY81</f>
        <v>4927</v>
      </c>
      <c r="BZ82" s="54">
        <f t="shared" si="127"/>
        <v>3003</v>
      </c>
      <c r="CA82" s="54">
        <f t="shared" si="127"/>
        <v>3613</v>
      </c>
      <c r="CB82" s="54">
        <f t="shared" si="127"/>
        <v>3214</v>
      </c>
      <c r="CC82" s="54">
        <f t="shared" si="127"/>
        <v>4616</v>
      </c>
      <c r="CD82" s="54">
        <f t="shared" si="127"/>
        <v>3364</v>
      </c>
      <c r="CE82" s="54">
        <f t="shared" si="127"/>
        <v>3370</v>
      </c>
      <c r="CF82" s="54">
        <f>CF78-CF81</f>
        <v>3615</v>
      </c>
      <c r="CG82" s="54">
        <f>CG78-CG81</f>
        <v>5540</v>
      </c>
      <c r="CH82" s="54"/>
      <c r="CI82" s="54"/>
      <c r="CJ82" s="54"/>
      <c r="CK82" s="54"/>
      <c r="CL82" s="54"/>
      <c r="CM82" s="54"/>
      <c r="CN82" s="23"/>
      <c r="CR82" s="23"/>
      <c r="CS82" s="23"/>
      <c r="CT82" s="23">
        <f t="shared" ref="CT82:CY82" si="128">CT78-CT81</f>
        <v>9721</v>
      </c>
      <c r="CU82" s="23">
        <f>CU78-CU81</f>
        <v>10992</v>
      </c>
      <c r="CV82" s="23">
        <f>CV78-CV81</f>
        <v>11451.55</v>
      </c>
      <c r="CW82" s="23">
        <f>CW78-CW81</f>
        <v>19877.374800000001</v>
      </c>
      <c r="CX82" s="23">
        <f t="shared" si="128"/>
        <v>20206.141468000002</v>
      </c>
      <c r="CY82" s="23">
        <f t="shared" si="128"/>
        <v>18698.906429000002</v>
      </c>
      <c r="CZ82" s="23">
        <f>CZ78-CZ81</f>
        <v>17763.2693493275</v>
      </c>
      <c r="DA82" s="23">
        <f>DA78-DA81</f>
        <v>17371.752344901728</v>
      </c>
      <c r="DB82" s="23">
        <f>DB78-DB81</f>
        <v>16496.17454120929</v>
      </c>
      <c r="DC82" s="23">
        <f>DC78-DC81</f>
        <v>14797.808240840219</v>
      </c>
    </row>
    <row r="83" spans="2:170" x14ac:dyDescent="0.2">
      <c r="B83" s="1" t="s">
        <v>6</v>
      </c>
      <c r="C83" s="23">
        <f>492-99-D83</f>
        <v>210</v>
      </c>
      <c r="D83" s="23">
        <f>264-81</f>
        <v>183</v>
      </c>
      <c r="G83" s="23">
        <f>305-100</f>
        <v>205</v>
      </c>
      <c r="H83" s="23">
        <f>143-44</f>
        <v>99</v>
      </c>
      <c r="M83" s="23">
        <f>122-26-119+66</f>
        <v>43</v>
      </c>
      <c r="N83" s="23">
        <f>69-30+16-56+122</f>
        <v>121</v>
      </c>
      <c r="O83" s="23">
        <f>191-54-83+51</f>
        <v>105</v>
      </c>
      <c r="P83" s="23">
        <f>5-87+48</f>
        <v>-34</v>
      </c>
      <c r="Q83" s="23">
        <f>110-52-86+46</f>
        <v>18</v>
      </c>
      <c r="R83" s="20">
        <f>15-73+45</f>
        <v>-13</v>
      </c>
      <c r="S83" s="20">
        <f>104-78+61</f>
        <v>87</v>
      </c>
      <c r="T83" s="20">
        <f>74-82+49</f>
        <v>41</v>
      </c>
      <c r="U83" s="20">
        <f>49+29-89</f>
        <v>-11</v>
      </c>
      <c r="V83" s="20">
        <f>-24-86-36</f>
        <v>-146</v>
      </c>
      <c r="W83" s="20">
        <f>148-65+21</f>
        <v>104</v>
      </c>
      <c r="X83" s="20">
        <f>-114-W83</f>
        <v>-218</v>
      </c>
      <c r="Y83" s="20">
        <f>86-74+5</f>
        <v>17</v>
      </c>
      <c r="Z83" s="20">
        <v>19</v>
      </c>
      <c r="AA83" s="20">
        <f>70+243+128-78</f>
        <v>363</v>
      </c>
      <c r="AB83" s="20">
        <f>26+248-70+122</f>
        <v>326</v>
      </c>
      <c r="AC83" s="20">
        <f>39-115-12</f>
        <v>-88</v>
      </c>
      <c r="AD83" s="20">
        <v>-95</v>
      </c>
      <c r="AE83" s="20">
        <v>-78</v>
      </c>
      <c r="AF83" s="20">
        <v>-200</v>
      </c>
      <c r="AG83" s="20">
        <v>-200</v>
      </c>
      <c r="AH83" s="20">
        <v>-200</v>
      </c>
      <c r="AN83" s="20">
        <f>140+3-45-137</f>
        <v>-39</v>
      </c>
      <c r="AO83" s="20">
        <f>28+38-36-123</f>
        <v>-93</v>
      </c>
      <c r="BO83" s="53">
        <f>-247+131-12</f>
        <v>-128</v>
      </c>
      <c r="BP83" s="53">
        <f>-91+7-5-96</f>
        <v>-185</v>
      </c>
      <c r="BQ83" s="53">
        <f>-182+1-9-76</f>
        <v>-266</v>
      </c>
      <c r="BR83" s="53">
        <f>-123+4-8-93</f>
        <v>-220</v>
      </c>
      <c r="BS83" s="53">
        <f>-101+9-12-84</f>
        <v>-188</v>
      </c>
      <c r="BT83" s="53">
        <f>-198+17-8-76</f>
        <v>-265</v>
      </c>
      <c r="BU83" s="53">
        <f>-289-5-29-85</f>
        <v>-408</v>
      </c>
      <c r="BV83" s="53">
        <f>-356+18-7-83</f>
        <v>-428</v>
      </c>
      <c r="BW83" s="53">
        <f>-265+30-7-78</f>
        <v>-320</v>
      </c>
      <c r="BX83" s="53">
        <f>-523+25-10-77</f>
        <v>-585</v>
      </c>
      <c r="BY83" s="53">
        <f>-450+27-6-51</f>
        <v>-480</v>
      </c>
      <c r="BZ83" s="53">
        <f>-276+6-10-28</f>
        <v>-308</v>
      </c>
      <c r="CA83" s="53">
        <f>-304+33-10-7</f>
        <v>-288</v>
      </c>
      <c r="CB83" s="53">
        <f>-501+22-9-42</f>
        <v>-530</v>
      </c>
      <c r="CC83" s="53">
        <f>-598+20-10-83</f>
        <v>-671</v>
      </c>
      <c r="CD83" s="53">
        <f>-821+47-7-49</f>
        <v>-830</v>
      </c>
      <c r="CE83" s="53">
        <f>-562+44-9-43</f>
        <v>-570</v>
      </c>
      <c r="CF83" s="53">
        <f>-831+31-2-86</f>
        <v>-888</v>
      </c>
      <c r="CG83" s="54">
        <f>187-1158-265+133</f>
        <v>-1103</v>
      </c>
      <c r="CR83" s="23"/>
      <c r="CS83" s="23"/>
      <c r="CT83" s="23">
        <v>0</v>
      </c>
      <c r="CU83" s="23">
        <f>SUM(W83:Z83)</f>
        <v>-78</v>
      </c>
      <c r="CV83" s="23">
        <f>SUM(AA83:AD83)</f>
        <v>506</v>
      </c>
      <c r="CW83" s="23">
        <f t="shared" ref="CW83:DC83" si="129">CV106*$DO$92</f>
        <v>-663.26133120000009</v>
      </c>
      <c r="CX83" s="23">
        <f t="shared" si="129"/>
        <v>201.37377489600001</v>
      </c>
      <c r="CY83" s="23">
        <f t="shared" si="129"/>
        <v>1119.7119608263201</v>
      </c>
      <c r="CZ83" s="23">
        <f t="shared" si="129"/>
        <v>2011.5497883685046</v>
      </c>
      <c r="DA83" s="23">
        <f t="shared" si="129"/>
        <v>2901.4166495648246</v>
      </c>
      <c r="DB83" s="23">
        <f t="shared" si="129"/>
        <v>3813.7092543158196</v>
      </c>
      <c r="DC83" s="23">
        <f t="shared" si="129"/>
        <v>4727.6540251144497</v>
      </c>
    </row>
    <row r="84" spans="2:170" x14ac:dyDescent="0.2">
      <c r="B84" s="1" t="s">
        <v>7</v>
      </c>
      <c r="C84" s="23">
        <f>C82-C83</f>
        <v>1630</v>
      </c>
      <c r="D84" s="23">
        <f>D82-D83</f>
        <v>1716</v>
      </c>
      <c r="G84" s="23">
        <f>G82-G83</f>
        <v>1982</v>
      </c>
      <c r="H84" s="23">
        <f>H82-H83</f>
        <v>2173</v>
      </c>
      <c r="M84" s="23">
        <f>M83+M82</f>
        <v>2464</v>
      </c>
      <c r="N84" s="23">
        <f>N83+N82</f>
        <v>2384</v>
      </c>
      <c r="O84" s="23">
        <f t="shared" ref="O84:AH84" si="130">O82+O83</f>
        <v>2720</v>
      </c>
      <c r="P84" s="23">
        <f t="shared" si="130"/>
        <v>2324</v>
      </c>
      <c r="Q84" s="23">
        <f t="shared" si="130"/>
        <v>2600</v>
      </c>
      <c r="R84" s="23">
        <f t="shared" si="130"/>
        <v>1977</v>
      </c>
      <c r="S84" s="23">
        <f t="shared" si="130"/>
        <v>2529</v>
      </c>
      <c r="T84" s="23">
        <f t="shared" si="130"/>
        <v>2410</v>
      </c>
      <c r="U84" s="23">
        <f t="shared" si="130"/>
        <v>2621</v>
      </c>
      <c r="V84" s="23">
        <f t="shared" si="130"/>
        <v>2132</v>
      </c>
      <c r="W84" s="23">
        <f t="shared" si="130"/>
        <v>2904</v>
      </c>
      <c r="X84" s="23">
        <f t="shared" si="130"/>
        <v>2747</v>
      </c>
      <c r="Y84" s="23">
        <f t="shared" si="130"/>
        <v>2945</v>
      </c>
      <c r="Z84" s="23">
        <f t="shared" si="130"/>
        <v>2318</v>
      </c>
      <c r="AA84" s="23">
        <f t="shared" si="130"/>
        <v>3815</v>
      </c>
      <c r="AB84" s="23">
        <f>AB82+AB83</f>
        <v>3421</v>
      </c>
      <c r="AC84" s="23">
        <f t="shared" si="130"/>
        <v>2939</v>
      </c>
      <c r="AD84" s="23">
        <f>AD82+AD83</f>
        <v>2222</v>
      </c>
      <c r="AE84" s="23">
        <f t="shared" si="130"/>
        <v>2719</v>
      </c>
      <c r="AF84" s="23">
        <f t="shared" si="130"/>
        <v>5785</v>
      </c>
      <c r="AG84" s="23">
        <f t="shared" si="130"/>
        <v>5768.28</v>
      </c>
      <c r="AH84" s="23">
        <f t="shared" si="130"/>
        <v>5496.5039999999999</v>
      </c>
      <c r="AI84" s="23"/>
      <c r="AJ84" s="23"/>
      <c r="AK84" s="23"/>
      <c r="AL84" s="23"/>
      <c r="AM84" s="23"/>
      <c r="AN84" s="23">
        <f t="shared" ref="AN84:AO84" si="131">AN82+AN83</f>
        <v>1867</v>
      </c>
      <c r="AO84" s="23">
        <f t="shared" si="131"/>
        <v>2337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f t="shared" ref="BO84" si="132">BO82+BO83</f>
        <v>2659</v>
      </c>
      <c r="BP84" s="54">
        <f>BP82+BP83</f>
        <v>1976</v>
      </c>
      <c r="BQ84" s="54">
        <f t="shared" ref="BQ84" si="133">BQ82+BQ83</f>
        <v>2951</v>
      </c>
      <c r="BR84" s="54">
        <f t="shared" ref="BR84:BV84" si="134">BR82+BR83</f>
        <v>1959</v>
      </c>
      <c r="BS84" s="54">
        <f t="shared" si="134"/>
        <v>2553</v>
      </c>
      <c r="BT84" s="54">
        <f t="shared" si="134"/>
        <v>2189</v>
      </c>
      <c r="BU84" s="54">
        <f t="shared" si="134"/>
        <v>3473</v>
      </c>
      <c r="BV84" s="54">
        <f t="shared" si="134"/>
        <v>2173</v>
      </c>
      <c r="BW84" s="54">
        <f>BW82+BW83</f>
        <v>2986</v>
      </c>
      <c r="BX84" s="54">
        <f>BX82+BX83</f>
        <v>2676</v>
      </c>
      <c r="BY84" s="54">
        <f t="shared" ref="BY84:CE84" si="135">BY82+BY83</f>
        <v>4447</v>
      </c>
      <c r="BZ84" s="54">
        <f t="shared" si="135"/>
        <v>2695</v>
      </c>
      <c r="CA84" s="54">
        <f t="shared" si="135"/>
        <v>3325</v>
      </c>
      <c r="CB84" s="54">
        <f t="shared" si="135"/>
        <v>2684</v>
      </c>
      <c r="CC84" s="54">
        <f t="shared" si="135"/>
        <v>3945</v>
      </c>
      <c r="CD84" s="54">
        <f t="shared" si="135"/>
        <v>2534</v>
      </c>
      <c r="CE84" s="54">
        <f t="shared" si="135"/>
        <v>2800</v>
      </c>
      <c r="CF84" s="54">
        <f>CF82+CF83</f>
        <v>2727</v>
      </c>
      <c r="CG84" s="54">
        <f>CG82+CG83</f>
        <v>4437</v>
      </c>
      <c r="CH84" s="54"/>
      <c r="CI84" s="54"/>
      <c r="CJ84" s="54"/>
      <c r="CK84" s="54"/>
      <c r="CL84" s="54"/>
      <c r="CM84" s="54"/>
      <c r="CN84" s="23"/>
      <c r="CR84" s="23"/>
      <c r="CS84" s="23"/>
      <c r="CT84" s="23">
        <f t="shared" ref="CT84" si="136">CT82+CT83</f>
        <v>9721</v>
      </c>
      <c r="CU84" s="23">
        <f t="shared" ref="CU84:DC84" si="137">CU82+CU83</f>
        <v>10914</v>
      </c>
      <c r="CV84" s="23">
        <f t="shared" si="137"/>
        <v>11957.55</v>
      </c>
      <c r="CW84" s="23">
        <f t="shared" si="137"/>
        <v>19214.113468800002</v>
      </c>
      <c r="CX84" s="23">
        <f t="shared" si="137"/>
        <v>20407.515242896003</v>
      </c>
      <c r="CY84" s="23">
        <f t="shared" si="137"/>
        <v>19818.618389826323</v>
      </c>
      <c r="CZ84" s="23">
        <f t="shared" si="137"/>
        <v>19774.819137696006</v>
      </c>
      <c r="DA84" s="23">
        <f t="shared" si="137"/>
        <v>20273.168994466552</v>
      </c>
      <c r="DB84" s="23">
        <f t="shared" si="137"/>
        <v>20309.883795525107</v>
      </c>
      <c r="DC84" s="23">
        <f t="shared" si="137"/>
        <v>19525.462265954669</v>
      </c>
    </row>
    <row r="85" spans="2:170" x14ac:dyDescent="0.2">
      <c r="B85" s="1" t="s">
        <v>5</v>
      </c>
      <c r="C85" s="23">
        <f>947-D85</f>
        <v>472</v>
      </c>
      <c r="D85" s="23">
        <v>475</v>
      </c>
      <c r="G85" s="23">
        <f>1302-H85</f>
        <v>650</v>
      </c>
      <c r="H85" s="23">
        <v>652</v>
      </c>
      <c r="M85" s="23">
        <v>743</v>
      </c>
      <c r="N85" s="23">
        <v>534</v>
      </c>
      <c r="O85" s="23">
        <v>268</v>
      </c>
      <c r="P85" s="23">
        <v>695</v>
      </c>
      <c r="Q85" s="23">
        <v>818</v>
      </c>
      <c r="R85" s="23">
        <v>464</v>
      </c>
      <c r="S85" s="20">
        <v>733</v>
      </c>
      <c r="T85" s="20">
        <v>628</v>
      </c>
      <c r="U85" s="23">
        <v>749</v>
      </c>
      <c r="V85" s="23">
        <v>559</v>
      </c>
      <c r="W85" s="23">
        <v>828</v>
      </c>
      <c r="X85" s="23">
        <f>1718-W85</f>
        <v>890</v>
      </c>
      <c r="Y85" s="23">
        <v>837</v>
      </c>
      <c r="Z85" s="23">
        <v>509</v>
      </c>
      <c r="AA85" s="23">
        <f>45+830</f>
        <v>875</v>
      </c>
      <c r="AB85" s="23">
        <f>95+848</f>
        <v>943</v>
      </c>
      <c r="AC85" s="23">
        <v>364</v>
      </c>
      <c r="AD85" s="23">
        <v>582</v>
      </c>
      <c r="AE85" s="23">
        <v>779</v>
      </c>
      <c r="AF85" s="23">
        <f>+AF84*AF94</f>
        <v>1619.8000000000002</v>
      </c>
      <c r="AG85" s="23">
        <f t="shared" ref="AG85:AH85" si="138">+AG84*AG94</f>
        <v>1615.1184000000001</v>
      </c>
      <c r="AH85" s="23">
        <f t="shared" si="138"/>
        <v>1539.0211200000001</v>
      </c>
      <c r="AI85" s="23"/>
      <c r="AJ85" s="23"/>
      <c r="AK85" s="23"/>
      <c r="AL85" s="23"/>
      <c r="AM85" s="23"/>
      <c r="AN85" s="23">
        <v>405</v>
      </c>
      <c r="AO85" s="23">
        <v>563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542</v>
      </c>
      <c r="BP85" s="54">
        <v>436</v>
      </c>
      <c r="BQ85" s="54">
        <v>652</v>
      </c>
      <c r="BR85" s="54">
        <v>432</v>
      </c>
      <c r="BS85" s="54">
        <v>537</v>
      </c>
      <c r="BT85" s="54">
        <v>458</v>
      </c>
      <c r="BU85" s="54">
        <v>737</v>
      </c>
      <c r="BV85" s="54">
        <v>443</v>
      </c>
      <c r="BW85" s="54">
        <v>563</v>
      </c>
      <c r="BX85" s="54">
        <v>506</v>
      </c>
      <c r="BY85" s="54">
        <v>841</v>
      </c>
      <c r="BZ85" s="54">
        <v>555</v>
      </c>
      <c r="CA85" s="54">
        <v>627</v>
      </c>
      <c r="CB85" s="54">
        <v>507</v>
      </c>
      <c r="CC85" s="54">
        <v>749</v>
      </c>
      <c r="CD85" s="54">
        <v>451</v>
      </c>
      <c r="CE85" s="54">
        <v>581</v>
      </c>
      <c r="CF85" s="54">
        <v>566</v>
      </c>
      <c r="CG85" s="54">
        <v>737</v>
      </c>
      <c r="CH85" s="54"/>
      <c r="CI85" s="54"/>
      <c r="CJ85" s="54"/>
      <c r="CK85" s="54"/>
      <c r="CL85" s="54"/>
      <c r="CM85" s="54"/>
      <c r="CN85" s="23"/>
      <c r="CR85" s="23"/>
      <c r="CS85" s="23"/>
      <c r="CT85" s="23">
        <f>SUM(S85:V85)</f>
        <v>2669</v>
      </c>
      <c r="CU85" s="23">
        <f>SUM(W85:Z85)</f>
        <v>3064</v>
      </c>
      <c r="CV85" s="23">
        <f>SUM(AA85:AD85)</f>
        <v>2764</v>
      </c>
      <c r="CW85" s="23">
        <f t="shared" ref="CW85:DC85" si="139">CW84*CW94</f>
        <v>4803.5283672000005</v>
      </c>
      <c r="CX85" s="23">
        <f t="shared" si="139"/>
        <v>5101.8788107240007</v>
      </c>
      <c r="CY85" s="23">
        <f t="shared" si="139"/>
        <v>4954.6545974565806</v>
      </c>
      <c r="CZ85" s="23">
        <f t="shared" si="139"/>
        <v>4943.7047844240014</v>
      </c>
      <c r="DA85" s="23">
        <f t="shared" si="139"/>
        <v>5068.2922486166381</v>
      </c>
      <c r="DB85" s="23">
        <f t="shared" si="139"/>
        <v>5077.4709488812769</v>
      </c>
      <c r="DC85" s="23">
        <f t="shared" si="139"/>
        <v>4881.3655664886674</v>
      </c>
    </row>
    <row r="86" spans="2:170" x14ac:dyDescent="0.2">
      <c r="B86" s="1" t="s">
        <v>8</v>
      </c>
      <c r="C86" s="23">
        <f>233-D86</f>
        <v>93</v>
      </c>
      <c r="D86" s="23">
        <v>140</v>
      </c>
      <c r="G86" s="23">
        <f>269-H86</f>
        <v>107</v>
      </c>
      <c r="H86" s="23">
        <v>162</v>
      </c>
      <c r="M86" s="23">
        <v>116</v>
      </c>
      <c r="N86" s="23">
        <v>50</v>
      </c>
      <c r="O86" s="23">
        <v>138</v>
      </c>
      <c r="P86" s="23">
        <v>210</v>
      </c>
      <c r="Q86" s="23">
        <v>213</v>
      </c>
      <c r="R86" s="23">
        <v>178</v>
      </c>
      <c r="S86" s="23">
        <v>234</v>
      </c>
      <c r="T86" s="23">
        <v>217</v>
      </c>
      <c r="U86" s="23">
        <v>219</v>
      </c>
      <c r="V86" s="23">
        <v>220</v>
      </c>
      <c r="W86" s="23">
        <f>273-121</f>
        <v>152</v>
      </c>
      <c r="X86" s="23">
        <f>539-W86</f>
        <v>387</v>
      </c>
      <c r="Y86" s="23">
        <f>235+59</f>
        <v>294</v>
      </c>
      <c r="Z86" s="23">
        <f>197+52</f>
        <v>249</v>
      </c>
      <c r="AA86" s="23"/>
      <c r="AB86" s="23"/>
      <c r="AC86" s="23">
        <v>285</v>
      </c>
      <c r="AD86" s="23">
        <f>-52+253+52-55</f>
        <v>198</v>
      </c>
      <c r="AE86" s="23">
        <f>16+292-78</f>
        <v>230</v>
      </c>
      <c r="AF86" s="23">
        <f>+AE86</f>
        <v>230</v>
      </c>
      <c r="AG86" s="23">
        <f>+AF86</f>
        <v>230</v>
      </c>
      <c r="AH86" s="23">
        <f>+AG86</f>
        <v>230</v>
      </c>
      <c r="AI86" s="23"/>
      <c r="AJ86" s="23"/>
      <c r="AK86" s="23"/>
      <c r="AL86" s="23"/>
      <c r="AM86" s="23"/>
      <c r="AN86" s="23">
        <v>0</v>
      </c>
      <c r="AO86" s="23">
        <v>0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v>75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54">
        <v>0</v>
      </c>
      <c r="BX86" s="54">
        <v>0</v>
      </c>
      <c r="BY86" s="54">
        <v>0</v>
      </c>
      <c r="BZ86" s="54">
        <v>0</v>
      </c>
      <c r="CA86" s="54">
        <v>0</v>
      </c>
      <c r="CB86" s="54">
        <v>0</v>
      </c>
      <c r="CC86" s="54">
        <v>0</v>
      </c>
      <c r="CD86" s="54">
        <v>0</v>
      </c>
      <c r="CE86" s="54">
        <v>0</v>
      </c>
      <c r="CF86" s="54">
        <v>0</v>
      </c>
      <c r="CG86" s="54">
        <v>-78</v>
      </c>
      <c r="CH86" s="54"/>
      <c r="CI86" s="54"/>
      <c r="CJ86" s="54"/>
      <c r="CK86" s="54"/>
      <c r="CL86" s="54"/>
      <c r="CM86" s="54"/>
      <c r="CN86" s="23"/>
      <c r="CR86" s="23"/>
      <c r="CS86" s="23">
        <f>SUM(O86:R86)</f>
        <v>739</v>
      </c>
      <c r="CT86" s="23">
        <f>SUM(S86:V86)</f>
        <v>890</v>
      </c>
      <c r="CU86" s="23">
        <f>SUM(W86:Z86)</f>
        <v>1082</v>
      </c>
      <c r="CV86" s="23"/>
      <c r="CW86" s="23"/>
      <c r="CX86" s="23"/>
      <c r="CY86" s="23"/>
      <c r="CZ86" s="23"/>
      <c r="DA86" s="23"/>
      <c r="DB86" s="23"/>
      <c r="DC86" s="23"/>
    </row>
    <row r="87" spans="2:170" x14ac:dyDescent="0.2">
      <c r="B87" s="1" t="s">
        <v>9</v>
      </c>
      <c r="C87" s="23">
        <f>C84-C85+C86</f>
        <v>1251</v>
      </c>
      <c r="D87" s="23">
        <f>D84-D85+D86</f>
        <v>1381</v>
      </c>
      <c r="G87" s="23">
        <f>G84-G85+G86</f>
        <v>1439</v>
      </c>
      <c r="H87" s="23">
        <f>H84-H85+H86</f>
        <v>1683</v>
      </c>
      <c r="M87" s="23">
        <f t="shared" ref="M87:R87" si="140">M84-M85+M86</f>
        <v>1837</v>
      </c>
      <c r="N87" s="23">
        <f t="shared" si="140"/>
        <v>1900</v>
      </c>
      <c r="O87" s="23">
        <f t="shared" si="140"/>
        <v>2590</v>
      </c>
      <c r="P87" s="23">
        <f t="shared" si="140"/>
        <v>1839</v>
      </c>
      <c r="Q87" s="23">
        <f t="shared" si="140"/>
        <v>1995</v>
      </c>
      <c r="R87" s="23">
        <f t="shared" si="140"/>
        <v>1691</v>
      </c>
      <c r="S87" s="23">
        <f>S84-S85+S86</f>
        <v>2030</v>
      </c>
      <c r="T87" s="23">
        <f>T84-T85+T86</f>
        <v>1999</v>
      </c>
      <c r="U87" s="23">
        <f>U84-U85+U86</f>
        <v>2091</v>
      </c>
      <c r="V87" s="23">
        <f>V84-V85+V86</f>
        <v>1793</v>
      </c>
      <c r="W87" s="23">
        <f t="shared" ref="W87:AC87" si="141">W84-W85+W86</f>
        <v>2228</v>
      </c>
      <c r="X87" s="23">
        <f t="shared" si="141"/>
        <v>2244</v>
      </c>
      <c r="Y87" s="23">
        <f t="shared" si="141"/>
        <v>2402</v>
      </c>
      <c r="Z87" s="23">
        <f t="shared" si="141"/>
        <v>2058</v>
      </c>
      <c r="AA87" s="23">
        <f t="shared" si="141"/>
        <v>2940</v>
      </c>
      <c r="AB87" s="23">
        <f t="shared" si="141"/>
        <v>2478</v>
      </c>
      <c r="AC87" s="23">
        <f t="shared" si="141"/>
        <v>2860</v>
      </c>
      <c r="AD87" s="23">
        <f>AD84-AD85+AD86</f>
        <v>1838</v>
      </c>
      <c r="AE87" s="23">
        <f>AE84-AE85+AE86</f>
        <v>2170</v>
      </c>
      <c r="AF87" s="23">
        <f t="shared" ref="AF87:AH87" si="142">AF84-AF85+AF86</f>
        <v>4395.2</v>
      </c>
      <c r="AG87" s="23">
        <f t="shared" si="142"/>
        <v>4383.1615999999995</v>
      </c>
      <c r="AH87" s="23">
        <f t="shared" si="142"/>
        <v>4187.4828799999996</v>
      </c>
      <c r="AI87" s="23"/>
      <c r="AJ87" s="23"/>
      <c r="AK87" s="23"/>
      <c r="AL87" s="23"/>
      <c r="AM87" s="23"/>
      <c r="AN87" s="23">
        <f t="shared" ref="AN87:AO87" si="143">AN84-AN85+AN86</f>
        <v>1462</v>
      </c>
      <c r="AO87" s="23">
        <f t="shared" si="143"/>
        <v>1774</v>
      </c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f t="shared" ref="BO87" si="144">BO84-BO85-BO86</f>
        <v>2042</v>
      </c>
      <c r="BP87" s="54">
        <f t="shared" ref="BP87" si="145">BP84-BP85-BP86</f>
        <v>1540</v>
      </c>
      <c r="BQ87" s="54">
        <f t="shared" ref="BQ87:BR87" si="146">BQ84-BQ85-BQ86</f>
        <v>2299</v>
      </c>
      <c r="BR87" s="54">
        <f t="shared" si="146"/>
        <v>1527</v>
      </c>
      <c r="BS87" s="54">
        <f t="shared" ref="BS87:BV87" si="147">BS84-BS85-BS86</f>
        <v>2016</v>
      </c>
      <c r="BT87" s="54">
        <f t="shared" si="147"/>
        <v>1731</v>
      </c>
      <c r="BU87" s="54">
        <f t="shared" si="147"/>
        <v>2736</v>
      </c>
      <c r="BV87" s="54">
        <f t="shared" si="147"/>
        <v>1730</v>
      </c>
      <c r="BW87" s="54">
        <f>BW84-BW85-BW86</f>
        <v>2423</v>
      </c>
      <c r="BX87" s="54">
        <f>BX84-BX85-BX86</f>
        <v>2170</v>
      </c>
      <c r="BY87" s="54">
        <f t="shared" ref="BY87:CE87" si="148">BY84-BY85-BY86</f>
        <v>3606</v>
      </c>
      <c r="BZ87" s="54">
        <f t="shared" si="148"/>
        <v>2140</v>
      </c>
      <c r="CA87" s="54">
        <f t="shared" si="148"/>
        <v>2698</v>
      </c>
      <c r="CB87" s="54">
        <f t="shared" si="148"/>
        <v>2177</v>
      </c>
      <c r="CC87" s="54">
        <f t="shared" si="148"/>
        <v>3196</v>
      </c>
      <c r="CD87" s="54">
        <f t="shared" si="148"/>
        <v>2083</v>
      </c>
      <c r="CE87" s="54">
        <f t="shared" si="148"/>
        <v>2219</v>
      </c>
      <c r="CF87" s="54">
        <f>CF84-CF85-CF86</f>
        <v>2161</v>
      </c>
      <c r="CG87" s="54">
        <f>CG84-CG85-CG86</f>
        <v>3778</v>
      </c>
      <c r="CH87" s="54"/>
      <c r="CI87" s="54"/>
      <c r="CJ87" s="54"/>
      <c r="CK87" s="54"/>
      <c r="CL87" s="54"/>
      <c r="CM87" s="54"/>
      <c r="CN87" s="23"/>
      <c r="CR87" s="23"/>
      <c r="CS87" s="23">
        <f t="shared" ref="CS87:CT87" si="149">CS84-CS85+CS86</f>
        <v>739</v>
      </c>
      <c r="CT87" s="23">
        <f t="shared" si="149"/>
        <v>7942</v>
      </c>
      <c r="CU87" s="23">
        <f t="shared" ref="CU87:DC87" si="150">CU84-CU85+CU86</f>
        <v>8932</v>
      </c>
      <c r="CV87" s="23">
        <f t="shared" si="150"/>
        <v>9193.5499999999993</v>
      </c>
      <c r="CW87" s="23">
        <f t="shared" si="150"/>
        <v>14410.585101600002</v>
      </c>
      <c r="CX87" s="23">
        <f t="shared" si="150"/>
        <v>15305.636432172003</v>
      </c>
      <c r="CY87" s="23">
        <f t="shared" si="150"/>
        <v>14863.963792369741</v>
      </c>
      <c r="CZ87" s="23">
        <f t="shared" si="150"/>
        <v>14831.114353272005</v>
      </c>
      <c r="DA87" s="23">
        <f t="shared" si="150"/>
        <v>15204.876745849913</v>
      </c>
      <c r="DB87" s="23">
        <f t="shared" si="150"/>
        <v>15232.412846643831</v>
      </c>
      <c r="DC87" s="23">
        <f t="shared" si="150"/>
        <v>14644.096699466001</v>
      </c>
    </row>
    <row r="88" spans="2:170" x14ac:dyDescent="0.2">
      <c r="B88" s="1" t="s">
        <v>173</v>
      </c>
      <c r="C88" s="23">
        <f>-141-D88</f>
        <v>-67</v>
      </c>
      <c r="D88" s="23">
        <v>-74</v>
      </c>
      <c r="G88" s="23">
        <v>-170</v>
      </c>
      <c r="H88" s="23">
        <v>-87</v>
      </c>
      <c r="M88" s="23">
        <v>-100</v>
      </c>
      <c r="N88" s="23">
        <v>-103</v>
      </c>
      <c r="O88" s="23">
        <v>-112</v>
      </c>
      <c r="P88" s="23">
        <v>-99</v>
      </c>
      <c r="Q88" s="23">
        <v>-111</v>
      </c>
      <c r="R88" s="20">
        <v>-97</v>
      </c>
      <c r="S88" s="20">
        <v>-115</v>
      </c>
      <c r="T88" s="20">
        <v>-105</v>
      </c>
      <c r="U88" s="23">
        <v>-111</v>
      </c>
      <c r="V88" s="23">
        <v>-110</v>
      </c>
      <c r="W88" s="23">
        <v>-121</v>
      </c>
      <c r="X88" s="23">
        <f>-232-W88</f>
        <v>-111</v>
      </c>
      <c r="Y88" s="23">
        <v>-114</v>
      </c>
      <c r="Z88" s="23">
        <v>-81</v>
      </c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29</v>
      </c>
      <c r="CH88" s="54"/>
      <c r="CI88" s="54"/>
      <c r="CJ88" s="54"/>
      <c r="CK88" s="54"/>
      <c r="CL88" s="54"/>
      <c r="CM88" s="54"/>
      <c r="CN88" s="23"/>
      <c r="CR88" s="23"/>
      <c r="CS88" s="23"/>
      <c r="CT88" s="23">
        <f>SUM(O88:R88)</f>
        <v>-419</v>
      </c>
      <c r="CU88" s="23">
        <f>CT88</f>
        <v>-419</v>
      </c>
      <c r="CV88" s="23"/>
      <c r="CW88" s="23"/>
      <c r="CX88" s="23"/>
      <c r="CY88" s="23"/>
      <c r="CZ88" s="23"/>
      <c r="DA88" s="23"/>
      <c r="DB88" s="23"/>
      <c r="DC88" s="23"/>
    </row>
    <row r="89" spans="2:170" x14ac:dyDescent="0.2">
      <c r="B89" s="1" t="s">
        <v>172</v>
      </c>
      <c r="C89" s="23">
        <f>C87+C88</f>
        <v>1184</v>
      </c>
      <c r="D89" s="23">
        <f>D87+D88</f>
        <v>1307</v>
      </c>
      <c r="G89" s="23">
        <f>G87+G88</f>
        <v>1269</v>
      </c>
      <c r="H89" s="23">
        <f>H87+H88</f>
        <v>1596</v>
      </c>
      <c r="M89" s="23">
        <f t="shared" ref="M89:W89" si="151">M87+M88</f>
        <v>1737</v>
      </c>
      <c r="N89" s="23">
        <f t="shared" si="151"/>
        <v>1797</v>
      </c>
      <c r="O89" s="23">
        <f t="shared" si="151"/>
        <v>2478</v>
      </c>
      <c r="P89" s="23">
        <f t="shared" si="151"/>
        <v>1740</v>
      </c>
      <c r="Q89" s="23">
        <f t="shared" si="151"/>
        <v>1884</v>
      </c>
      <c r="R89" s="23">
        <f t="shared" si="151"/>
        <v>1594</v>
      </c>
      <c r="S89" s="23">
        <f t="shared" si="151"/>
        <v>1915</v>
      </c>
      <c r="T89" s="23">
        <f t="shared" si="151"/>
        <v>1894</v>
      </c>
      <c r="U89" s="23">
        <f>U87+U88</f>
        <v>1980</v>
      </c>
      <c r="V89" s="23">
        <f t="shared" si="151"/>
        <v>1683</v>
      </c>
      <c r="W89" s="23">
        <f t="shared" si="151"/>
        <v>2107</v>
      </c>
      <c r="X89" s="23">
        <f t="shared" ref="X89:AC89" si="152">X87+X88</f>
        <v>2133</v>
      </c>
      <c r="Y89" s="23">
        <f t="shared" si="152"/>
        <v>2288</v>
      </c>
      <c r="Z89" s="23">
        <f t="shared" si="152"/>
        <v>1977</v>
      </c>
      <c r="AA89" s="23">
        <f t="shared" si="152"/>
        <v>2940</v>
      </c>
      <c r="AB89" s="23">
        <f t="shared" si="152"/>
        <v>2478</v>
      </c>
      <c r="AC89" s="23">
        <f t="shared" si="152"/>
        <v>2860</v>
      </c>
      <c r="AD89" s="23">
        <f>AD87+AD88</f>
        <v>1838</v>
      </c>
      <c r="AE89" s="23">
        <f>AE87+AE88</f>
        <v>2170</v>
      </c>
      <c r="AF89" s="23">
        <f t="shared" ref="AF89:AH89" si="153">AF87+AF88</f>
        <v>4395.2</v>
      </c>
      <c r="AG89" s="23">
        <f t="shared" si="153"/>
        <v>4383.1615999999995</v>
      </c>
      <c r="AH89" s="23">
        <f t="shared" si="153"/>
        <v>4187.4828799999996</v>
      </c>
      <c r="AI89" s="23"/>
      <c r="AJ89" s="23"/>
      <c r="AK89" s="23"/>
      <c r="AL89" s="23"/>
      <c r="AM89" s="23"/>
      <c r="AN89" s="23">
        <f t="shared" ref="AN89:AO89" si="154">AN87+AN88</f>
        <v>1462</v>
      </c>
      <c r="AO89" s="23">
        <f t="shared" si="154"/>
        <v>1774</v>
      </c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54"/>
      <c r="BL89" s="54"/>
      <c r="BM89" s="54"/>
      <c r="BN89" s="54"/>
      <c r="BO89" s="54">
        <f t="shared" ref="BO89" si="155">BO87-BO88</f>
        <v>2042</v>
      </c>
      <c r="BP89" s="54">
        <f t="shared" ref="BP89:BQ89" si="156">BP87-BP88</f>
        <v>1540</v>
      </c>
      <c r="BQ89" s="54">
        <f t="shared" si="156"/>
        <v>2299</v>
      </c>
      <c r="BR89" s="54">
        <f t="shared" ref="BR89:BX89" si="157">BR87-BR88</f>
        <v>1527</v>
      </c>
      <c r="BS89" s="54">
        <f t="shared" si="157"/>
        <v>2016</v>
      </c>
      <c r="BT89" s="54">
        <f t="shared" si="157"/>
        <v>1731</v>
      </c>
      <c r="BU89" s="54">
        <f t="shared" si="157"/>
        <v>2736</v>
      </c>
      <c r="BV89" s="54">
        <f t="shared" si="157"/>
        <v>1730</v>
      </c>
      <c r="BW89" s="54">
        <f t="shared" si="157"/>
        <v>2423</v>
      </c>
      <c r="BX89" s="54">
        <f t="shared" si="157"/>
        <v>2170</v>
      </c>
      <c r="BY89" s="54">
        <f t="shared" ref="BY89:CB89" si="158">BY87-BY88</f>
        <v>3606</v>
      </c>
      <c r="BZ89" s="54">
        <f t="shared" si="158"/>
        <v>2140</v>
      </c>
      <c r="CA89" s="54">
        <f t="shared" si="158"/>
        <v>2698</v>
      </c>
      <c r="CB89" s="54">
        <f t="shared" si="158"/>
        <v>2177</v>
      </c>
      <c r="CC89" s="54">
        <f t="shared" ref="CC89:CD89" si="159">CC87-CC88</f>
        <v>3196</v>
      </c>
      <c r="CD89" s="54">
        <f t="shared" si="159"/>
        <v>2083</v>
      </c>
      <c r="CE89" s="54">
        <f t="shared" ref="CE89:CG89" si="160">CE87-CE88</f>
        <v>2219</v>
      </c>
      <c r="CF89" s="54">
        <f t="shared" si="160"/>
        <v>2161</v>
      </c>
      <c r="CG89" s="54">
        <f t="shared" si="160"/>
        <v>3749</v>
      </c>
      <c r="CH89" s="54"/>
      <c r="CI89" s="54"/>
      <c r="CJ89" s="54"/>
      <c r="CK89" s="54"/>
      <c r="CL89" s="54"/>
      <c r="CM89" s="54"/>
      <c r="CN89" s="23"/>
      <c r="CR89" s="23"/>
      <c r="CS89" s="23"/>
      <c r="CT89" s="23">
        <f t="shared" ref="CT89" si="161">CT87+CT88</f>
        <v>7523</v>
      </c>
      <c r="CU89" s="23">
        <f t="shared" ref="CU89:DC89" si="162">CU87+CU88</f>
        <v>8513</v>
      </c>
      <c r="CV89" s="23">
        <f t="shared" si="162"/>
        <v>9193.5499999999993</v>
      </c>
      <c r="CW89" s="23">
        <f t="shared" si="162"/>
        <v>14410.585101600002</v>
      </c>
      <c r="CX89" s="23">
        <f t="shared" si="162"/>
        <v>15305.636432172003</v>
      </c>
      <c r="CY89" s="23">
        <f t="shared" si="162"/>
        <v>14863.963792369741</v>
      </c>
      <c r="CZ89" s="23">
        <f t="shared" si="162"/>
        <v>14831.114353272005</v>
      </c>
      <c r="DA89" s="23">
        <f t="shared" si="162"/>
        <v>15204.876745849913</v>
      </c>
      <c r="DB89" s="23">
        <f t="shared" si="162"/>
        <v>15232.412846643831</v>
      </c>
      <c r="DC89" s="23">
        <f t="shared" si="162"/>
        <v>14644.096699466001</v>
      </c>
      <c r="DD89" s="14">
        <f t="shared" ref="DD89:EI89" si="163">DC89*(1+$DO$93)</f>
        <v>14497.655732471341</v>
      </c>
      <c r="DE89" s="14">
        <f t="shared" si="163"/>
        <v>14352.679175146628</v>
      </c>
      <c r="DF89" s="14">
        <f t="shared" si="163"/>
        <v>14209.152383395161</v>
      </c>
      <c r="DG89" s="14">
        <f t="shared" si="163"/>
        <v>14067.06085956121</v>
      </c>
      <c r="DH89" s="14">
        <f t="shared" si="163"/>
        <v>13926.390250965598</v>
      </c>
      <c r="DI89" s="14">
        <f t="shared" si="163"/>
        <v>13787.126348455942</v>
      </c>
      <c r="DJ89" s="14">
        <f t="shared" si="163"/>
        <v>13649.255084971383</v>
      </c>
      <c r="DK89" s="14">
        <f t="shared" si="163"/>
        <v>13512.762534121668</v>
      </c>
      <c r="DL89" s="14">
        <f t="shared" si="163"/>
        <v>13377.634908780452</v>
      </c>
      <c r="DM89" s="14">
        <f t="shared" si="163"/>
        <v>13243.858559692648</v>
      </c>
      <c r="DN89" s="14">
        <f t="shared" si="163"/>
        <v>13111.419974095721</v>
      </c>
      <c r="DO89" s="14">
        <f t="shared" si="163"/>
        <v>12980.305774354763</v>
      </c>
      <c r="DP89" s="14">
        <f t="shared" si="163"/>
        <v>12850.502716611216</v>
      </c>
      <c r="DQ89" s="14">
        <f t="shared" si="163"/>
        <v>12721.997689445103</v>
      </c>
      <c r="DR89" s="14">
        <f t="shared" si="163"/>
        <v>12594.777712550651</v>
      </c>
      <c r="DS89" s="14">
        <f t="shared" si="163"/>
        <v>12468.829935425145</v>
      </c>
      <c r="DT89" s="14">
        <f t="shared" si="163"/>
        <v>12344.141636070894</v>
      </c>
      <c r="DU89" s="14">
        <f t="shared" si="163"/>
        <v>12220.700219710185</v>
      </c>
      <c r="DV89" s="14">
        <f t="shared" si="163"/>
        <v>12098.493217513083</v>
      </c>
      <c r="DW89" s="14">
        <f t="shared" si="163"/>
        <v>11977.508285337952</v>
      </c>
      <c r="DX89" s="14">
        <f t="shared" si="163"/>
        <v>11857.733202484573</v>
      </c>
      <c r="DY89" s="14">
        <f t="shared" si="163"/>
        <v>11739.155870459726</v>
      </c>
      <c r="DZ89" s="14">
        <f t="shared" si="163"/>
        <v>11621.764311755129</v>
      </c>
      <c r="EA89" s="14">
        <f t="shared" si="163"/>
        <v>11505.546668637577</v>
      </c>
      <c r="EB89" s="14">
        <f t="shared" si="163"/>
        <v>11390.491201951201</v>
      </c>
      <c r="EC89" s="14">
        <f t="shared" si="163"/>
        <v>11276.586289931689</v>
      </c>
      <c r="ED89" s="14">
        <f t="shared" si="163"/>
        <v>11163.820427032371</v>
      </c>
      <c r="EE89" s="14">
        <f t="shared" si="163"/>
        <v>11052.182222762047</v>
      </c>
      <c r="EF89" s="14">
        <f t="shared" si="163"/>
        <v>10941.660400534427</v>
      </c>
      <c r="EG89" s="14">
        <f t="shared" si="163"/>
        <v>10832.243796529083</v>
      </c>
      <c r="EH89" s="14">
        <f t="shared" si="163"/>
        <v>10723.921358563792</v>
      </c>
      <c r="EI89" s="14">
        <f t="shared" si="163"/>
        <v>10616.682144978155</v>
      </c>
      <c r="EJ89" s="14">
        <f t="shared" ref="EJ89:FN89" si="164">EI89*(1+$DO$93)</f>
        <v>10510.515323528372</v>
      </c>
      <c r="EK89" s="14">
        <f t="shared" si="164"/>
        <v>10405.410170293089</v>
      </c>
      <c r="EL89" s="14">
        <f t="shared" si="164"/>
        <v>10301.356068590158</v>
      </c>
      <c r="EM89" s="14">
        <f t="shared" si="164"/>
        <v>10198.342507904255</v>
      </c>
      <c r="EN89" s="14">
        <f t="shared" si="164"/>
        <v>10096.359082825213</v>
      </c>
      <c r="EO89" s="14">
        <f t="shared" si="164"/>
        <v>9995.3954919969601</v>
      </c>
      <c r="EP89" s="14">
        <f t="shared" si="164"/>
        <v>9895.4415370769912</v>
      </c>
      <c r="EQ89" s="14">
        <f t="shared" si="164"/>
        <v>9796.4871217062209</v>
      </c>
      <c r="ER89" s="14">
        <f t="shared" si="164"/>
        <v>9698.522250489159</v>
      </c>
      <c r="ES89" s="14">
        <f t="shared" si="164"/>
        <v>9601.5370279842682</v>
      </c>
      <c r="ET89" s="14">
        <f t="shared" si="164"/>
        <v>9505.5216577044248</v>
      </c>
      <c r="EU89" s="14">
        <f t="shared" si="164"/>
        <v>9410.4664411273807</v>
      </c>
      <c r="EV89" s="14">
        <f t="shared" si="164"/>
        <v>9316.3617767161068</v>
      </c>
      <c r="EW89" s="14">
        <f t="shared" si="164"/>
        <v>9223.198158948946</v>
      </c>
      <c r="EX89" s="14">
        <f t="shared" si="164"/>
        <v>9130.9661773594562</v>
      </c>
      <c r="EY89" s="14">
        <f t="shared" si="164"/>
        <v>9039.6565155858607</v>
      </c>
      <c r="EZ89" s="14">
        <f t="shared" si="164"/>
        <v>8949.2599504300015</v>
      </c>
      <c r="FA89" s="14">
        <f t="shared" si="164"/>
        <v>8859.767350925702</v>
      </c>
      <c r="FB89" s="14">
        <f t="shared" si="164"/>
        <v>8771.1696774164448</v>
      </c>
      <c r="FC89" s="14">
        <f t="shared" si="164"/>
        <v>8683.4579806422807</v>
      </c>
      <c r="FD89" s="14">
        <f t="shared" si="164"/>
        <v>8596.623400835857</v>
      </c>
      <c r="FE89" s="14">
        <f t="shared" si="164"/>
        <v>8510.6571668274992</v>
      </c>
      <c r="FF89" s="14">
        <f t="shared" si="164"/>
        <v>8425.550595159224</v>
      </c>
      <c r="FG89" s="14">
        <f t="shared" si="164"/>
        <v>8341.2950892076315</v>
      </c>
      <c r="FH89" s="14">
        <f t="shared" si="164"/>
        <v>8257.8821383155555</v>
      </c>
      <c r="FI89" s="14">
        <f t="shared" si="164"/>
        <v>8175.3033169323999</v>
      </c>
      <c r="FJ89" s="14">
        <f t="shared" si="164"/>
        <v>8093.5502837630756</v>
      </c>
      <c r="FK89" s="14">
        <f t="shared" si="164"/>
        <v>8012.6147809254444</v>
      </c>
      <c r="FL89" s="14">
        <f t="shared" si="164"/>
        <v>7932.4886331161897</v>
      </c>
      <c r="FM89" s="14">
        <f t="shared" si="164"/>
        <v>7853.1637467850278</v>
      </c>
      <c r="FN89" s="14">
        <f t="shared" si="164"/>
        <v>7774.6321093171773</v>
      </c>
    </row>
    <row r="90" spans="2:170" s="15" customFormat="1" x14ac:dyDescent="0.2">
      <c r="B90" s="15" t="s">
        <v>10</v>
      </c>
      <c r="C90" s="40">
        <f>C89/C91</f>
        <v>0.89327480514322943</v>
      </c>
      <c r="D90" s="40">
        <f>D89/D91</f>
        <v>0.9857784830591656</v>
      </c>
      <c r="E90" s="40"/>
      <c r="F90" s="40"/>
      <c r="G90" s="40">
        <f>G89/G91</f>
        <v>0.95046141194076128</v>
      </c>
      <c r="H90" s="40">
        <f>H89/H91</f>
        <v>1.1948209730300241</v>
      </c>
      <c r="I90" s="40"/>
      <c r="J90" s="40"/>
      <c r="K90" s="40"/>
      <c r="L90" s="40"/>
      <c r="M90" s="40">
        <f t="shared" ref="M90:W90" si="165">M89/M91</f>
        <v>1.2885756676557865</v>
      </c>
      <c r="N90" s="40">
        <f t="shared" si="165"/>
        <v>1.3322953736654806</v>
      </c>
      <c r="O90" s="40">
        <f t="shared" si="165"/>
        <v>1.8340611353711791</v>
      </c>
      <c r="P90" s="40">
        <f t="shared" si="165"/>
        <v>1.2870774465566979</v>
      </c>
      <c r="Q90" s="40">
        <f t="shared" si="165"/>
        <v>1.3962795523604832</v>
      </c>
      <c r="R90" s="40">
        <f t="shared" si="165"/>
        <v>1.1937392346289224</v>
      </c>
      <c r="S90" s="40">
        <f t="shared" si="165"/>
        <v>1.4498788612961842</v>
      </c>
      <c r="T90" s="40">
        <f t="shared" si="165"/>
        <v>1.4502297090352221</v>
      </c>
      <c r="U90" s="40">
        <f t="shared" si="165"/>
        <v>1.5174739423666463</v>
      </c>
      <c r="V90" s="40">
        <f t="shared" si="165"/>
        <v>1.289556355834802</v>
      </c>
      <c r="W90" s="40">
        <f t="shared" si="165"/>
        <v>1.613941018766756</v>
      </c>
      <c r="X90" s="40">
        <f t="shared" ref="X90:Y90" si="166">X89/X91</f>
        <v>1.6338567598621219</v>
      </c>
      <c r="Y90" s="40">
        <f t="shared" si="166"/>
        <v>1.7523167649536646</v>
      </c>
      <c r="Z90" s="40">
        <f t="shared" ref="Z90:AH90" si="167">Z89/Z91</f>
        <v>1.5126243305279266</v>
      </c>
      <c r="AA90" s="40">
        <f t="shared" si="167"/>
        <v>2.2489099671077795</v>
      </c>
      <c r="AB90" s="40">
        <f t="shared" si="167"/>
        <v>1.8998696618876025</v>
      </c>
      <c r="AC90" s="40">
        <f t="shared" si="167"/>
        <v>2.1919068056407114</v>
      </c>
      <c r="AD90" s="40"/>
      <c r="AE90" s="40">
        <f t="shared" si="167"/>
        <v>1.6625804474410051</v>
      </c>
      <c r="AF90" s="40">
        <f t="shared" si="167"/>
        <v>3.3674532638676062</v>
      </c>
      <c r="AG90" s="40">
        <f t="shared" si="167"/>
        <v>3.3582298498314431</v>
      </c>
      <c r="AH90" s="40">
        <f t="shared" si="167"/>
        <v>3.2083074471345383</v>
      </c>
      <c r="AI90" s="40"/>
      <c r="AJ90" s="40"/>
      <c r="AK90" s="40"/>
      <c r="AL90" s="40"/>
      <c r="AM90" s="40"/>
      <c r="AN90" s="40">
        <f t="shared" ref="AN90:AO90" si="168">AN89/AN91</f>
        <v>1.1028136079052575</v>
      </c>
      <c r="AO90" s="40">
        <f t="shared" si="168"/>
        <v>1.3403853418964866</v>
      </c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63"/>
      <c r="BL90" s="63"/>
      <c r="BM90" s="63"/>
      <c r="BN90" s="63"/>
      <c r="BO90" s="63">
        <f t="shared" ref="BO90" si="169">BO89/BO91</f>
        <v>1.6319028210660913</v>
      </c>
      <c r="BP90" s="63">
        <f t="shared" ref="BP90:BQ90" si="170">BP89/BP91</f>
        <v>1.2298354895384123</v>
      </c>
      <c r="BQ90" s="63">
        <f t="shared" si="170"/>
        <v>1.8308513179899657</v>
      </c>
      <c r="BR90" s="63">
        <f t="shared" ref="BR90:BX90" si="171">BR89/BR91</f>
        <v>1.2166361246115849</v>
      </c>
      <c r="BS90" s="63">
        <f t="shared" si="171"/>
        <v>1.6137036740574722</v>
      </c>
      <c r="BT90" s="63">
        <f t="shared" si="171"/>
        <v>1.3833613042435866</v>
      </c>
      <c r="BU90" s="63">
        <f t="shared" si="171"/>
        <v>2.1809485850936627</v>
      </c>
      <c r="BV90" s="63">
        <f t="shared" si="171"/>
        <v>1.3785959040561</v>
      </c>
      <c r="BW90" s="63">
        <f t="shared" si="171"/>
        <v>1.9396413704771054</v>
      </c>
      <c r="BX90" s="63">
        <f t="shared" si="171"/>
        <v>1.7348896706108092</v>
      </c>
      <c r="BY90" s="63">
        <f t="shared" ref="BY90:CE90" si="172">BY89/BY91</f>
        <v>2.8767451136816913</v>
      </c>
      <c r="BZ90" s="63">
        <f t="shared" si="172"/>
        <v>1.7065390749601277</v>
      </c>
      <c r="CA90" s="63">
        <f t="shared" si="172"/>
        <v>2.1596093812535022</v>
      </c>
      <c r="CB90" s="63">
        <f t="shared" si="172"/>
        <v>1.7407644330721255</v>
      </c>
      <c r="CC90" s="63">
        <f t="shared" si="172"/>
        <v>2.5502713054580273</v>
      </c>
      <c r="CD90" s="63">
        <f t="shared" si="172"/>
        <v>1.6616145500957245</v>
      </c>
      <c r="CE90" s="63">
        <f t="shared" si="172"/>
        <v>1.7769058295964126</v>
      </c>
      <c r="CF90" s="63">
        <f>CF89/CF91</f>
        <v>1.7286617070634351</v>
      </c>
      <c r="CG90" s="63">
        <f>CG89/CG91</f>
        <v>2.9920191540303271</v>
      </c>
      <c r="CH90" s="63"/>
      <c r="CI90" s="63"/>
      <c r="CJ90" s="63"/>
      <c r="CK90" s="63"/>
      <c r="CL90" s="63"/>
      <c r="CM90" s="63"/>
      <c r="CN90" s="40"/>
      <c r="CO90" s="46"/>
      <c r="CP90" s="46"/>
      <c r="CQ90" s="46"/>
      <c r="CR90" s="46"/>
      <c r="CS90" s="46">
        <f>SUM(O90:R90)</f>
        <v>5.7111573689172825</v>
      </c>
      <c r="CT90" s="46">
        <f t="shared" ref="CT90:CY90" si="173">CT89/CT91</f>
        <v>5.7463669868428582</v>
      </c>
      <c r="CU90" s="46">
        <f>CU89/CU91</f>
        <v>6.5187510768229417</v>
      </c>
      <c r="CV90" s="46">
        <f>CV89/CV91</f>
        <v>7.0423475640894706</v>
      </c>
      <c r="CW90" s="46">
        <f t="shared" si="173"/>
        <v>11.038646538862222</v>
      </c>
      <c r="CX90" s="46">
        <f t="shared" si="173"/>
        <v>11.724264451158211</v>
      </c>
      <c r="CY90" s="46">
        <f t="shared" si="173"/>
        <v>11.385938968723631</v>
      </c>
      <c r="CZ90" s="46">
        <f>CZ89/CZ91</f>
        <v>11.360775982998678</v>
      </c>
      <c r="DA90" s="46">
        <f>DA89/DA91</f>
        <v>11.647081564076638</v>
      </c>
      <c r="DB90" s="46">
        <f>DB89/DB91</f>
        <v>11.668174481649347</v>
      </c>
      <c r="DC90" s="46">
        <f>DC89/DC91</f>
        <v>11.217518664691555</v>
      </c>
    </row>
    <row r="91" spans="2:170" x14ac:dyDescent="0.2">
      <c r="B91" s="1" t="s">
        <v>11</v>
      </c>
      <c r="C91" s="23">
        <v>1325.4599740000001</v>
      </c>
      <c r="D91" s="23">
        <v>1325.855679</v>
      </c>
      <c r="G91" s="23">
        <v>1335.1410000000001</v>
      </c>
      <c r="H91" s="23">
        <v>1335.7649690000001</v>
      </c>
      <c r="M91" s="23">
        <v>1348</v>
      </c>
      <c r="N91" s="23">
        <v>1348.8</v>
      </c>
      <c r="O91" s="23">
        <v>1351.1</v>
      </c>
      <c r="P91" s="23">
        <v>1351.9</v>
      </c>
      <c r="Q91" s="23">
        <v>1349.3</v>
      </c>
      <c r="R91" s="23">
        <v>1335.3</v>
      </c>
      <c r="S91" s="23">
        <v>1320.8</v>
      </c>
      <c r="T91" s="23">
        <v>1306</v>
      </c>
      <c r="U91" s="23">
        <v>1304.8</v>
      </c>
      <c r="V91" s="23">
        <v>1305.0999999999999</v>
      </c>
      <c r="W91" s="23">
        <v>1305.5</v>
      </c>
      <c r="X91" s="23">
        <v>1305.5</v>
      </c>
      <c r="Y91" s="23">
        <v>1305.7</v>
      </c>
      <c r="Z91" s="23">
        <v>1307</v>
      </c>
      <c r="AA91" s="23">
        <v>1307.3</v>
      </c>
      <c r="AB91" s="23">
        <v>1304.3</v>
      </c>
      <c r="AC91" s="23">
        <v>1304.8</v>
      </c>
      <c r="AD91" s="23"/>
      <c r="AE91" s="23">
        <v>1305.2</v>
      </c>
      <c r="AF91" s="23">
        <f>+AE91</f>
        <v>1305.2</v>
      </c>
      <c r="AG91" s="23">
        <f>+AF91</f>
        <v>1305.2</v>
      </c>
      <c r="AH91" s="23">
        <f>+AG91</f>
        <v>1305.2</v>
      </c>
      <c r="AI91" s="23"/>
      <c r="AJ91" s="23"/>
      <c r="AK91" s="23"/>
      <c r="AL91" s="23"/>
      <c r="AM91" s="23"/>
      <c r="AN91" s="23">
        <v>1325.7</v>
      </c>
      <c r="AO91" s="23">
        <v>1323.5</v>
      </c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54"/>
      <c r="BL91" s="54"/>
      <c r="BM91" s="54"/>
      <c r="BN91" s="54"/>
      <c r="BO91" s="54">
        <v>1251.3</v>
      </c>
      <c r="BP91" s="54">
        <v>1252.2</v>
      </c>
      <c r="BQ91" s="54">
        <v>1255.7</v>
      </c>
      <c r="BR91" s="54">
        <v>1255.0999999999999</v>
      </c>
      <c r="BS91" s="54">
        <v>1249.3</v>
      </c>
      <c r="BT91" s="54">
        <v>1251.3</v>
      </c>
      <c r="BU91" s="54">
        <v>1254.5</v>
      </c>
      <c r="BV91" s="54">
        <v>1254.9000000000001</v>
      </c>
      <c r="BW91" s="54">
        <v>1249.2</v>
      </c>
      <c r="BX91" s="54">
        <v>1250.8</v>
      </c>
      <c r="BY91" s="54">
        <v>1253.5</v>
      </c>
      <c r="BZ91" s="54">
        <v>1254</v>
      </c>
      <c r="CA91" s="54">
        <v>1249.3</v>
      </c>
      <c r="CB91" s="54">
        <v>1250.5999999999999</v>
      </c>
      <c r="CC91" s="54">
        <v>1253.2</v>
      </c>
      <c r="CD91" s="54">
        <v>1253.5999999999999</v>
      </c>
      <c r="CE91" s="54">
        <v>1248.8</v>
      </c>
      <c r="CF91" s="54">
        <v>1250.0999999999999</v>
      </c>
      <c r="CG91" s="54">
        <v>1253</v>
      </c>
      <c r="CH91" s="54"/>
      <c r="CI91" s="54"/>
      <c r="CJ91" s="54"/>
      <c r="CK91" s="54"/>
      <c r="CL91" s="54"/>
      <c r="CM91" s="54"/>
      <c r="CN91" s="23"/>
      <c r="CS91" s="23">
        <f>AVERAGE(O91:R91)</f>
        <v>1346.9</v>
      </c>
      <c r="CT91" s="23">
        <f>AVERAGE(S91:V91)</f>
        <v>1309.1750000000002</v>
      </c>
      <c r="CU91" s="23">
        <f>AVERAGE(W91:Z91)</f>
        <v>1305.925</v>
      </c>
      <c r="CV91" s="23">
        <f>AVERAGE(AA91:AD91)</f>
        <v>1305.4666666666665</v>
      </c>
      <c r="CW91" s="23">
        <f t="shared" ref="CW91:DA91" si="174">CV91</f>
        <v>1305.4666666666665</v>
      </c>
      <c r="CX91" s="23">
        <f t="shared" si="174"/>
        <v>1305.4666666666665</v>
      </c>
      <c r="CY91" s="23">
        <f t="shared" si="174"/>
        <v>1305.4666666666665</v>
      </c>
      <c r="CZ91" s="23">
        <f t="shared" si="174"/>
        <v>1305.4666666666665</v>
      </c>
      <c r="DA91" s="23">
        <f t="shared" si="174"/>
        <v>1305.4666666666665</v>
      </c>
      <c r="DB91" s="23">
        <f>DA91</f>
        <v>1305.4666666666665</v>
      </c>
      <c r="DC91" s="23">
        <f>DB91</f>
        <v>1305.4666666666665</v>
      </c>
    </row>
    <row r="92" spans="2:170" x14ac:dyDescent="0.2">
      <c r="DN92" s="19" t="s">
        <v>296</v>
      </c>
      <c r="DO92" s="25">
        <v>0.06</v>
      </c>
    </row>
    <row r="93" spans="2:170" x14ac:dyDescent="0.2">
      <c r="B93" s="1" t="s">
        <v>169</v>
      </c>
      <c r="M93" s="41">
        <f t="shared" ref="M93:W93" si="175">M78/M76</f>
        <v>0.76829445007969854</v>
      </c>
      <c r="N93" s="41">
        <f t="shared" si="175"/>
        <v>0.76495377922784125</v>
      </c>
      <c r="O93" s="41">
        <f t="shared" si="175"/>
        <v>0.77595095443778739</v>
      </c>
      <c r="P93" s="41">
        <f t="shared" si="175"/>
        <v>0.77676898688571838</v>
      </c>
      <c r="Q93" s="41">
        <f t="shared" si="175"/>
        <v>0.77153024911032031</v>
      </c>
      <c r="R93" s="41">
        <f t="shared" si="175"/>
        <v>0.76067139343076251</v>
      </c>
      <c r="S93" s="41">
        <f t="shared" si="175"/>
        <v>0.76803006214770919</v>
      </c>
      <c r="T93" s="41">
        <f t="shared" si="175"/>
        <v>0.78472118403348778</v>
      </c>
      <c r="U93" s="41">
        <f t="shared" si="175"/>
        <v>0.78389026703633446</v>
      </c>
      <c r="V93" s="41">
        <f t="shared" si="175"/>
        <v>0.77994075327972912</v>
      </c>
      <c r="W93" s="41">
        <f t="shared" si="175"/>
        <v>0.79977486984663004</v>
      </c>
      <c r="X93" s="41">
        <f t="shared" ref="X93:Y93" si="176">X78/X76</f>
        <v>0.80193496371943029</v>
      </c>
      <c r="Y93" s="41">
        <f t="shared" si="176"/>
        <v>0.77621621621621617</v>
      </c>
      <c r="Z93" s="41">
        <f t="shared" ref="Z93:AE93" si="177">Z78/Z76</f>
        <v>0.7477244939546257</v>
      </c>
      <c r="AA93" s="41">
        <f t="shared" si="177"/>
        <v>0.7929855659660674</v>
      </c>
      <c r="AB93" s="41">
        <f t="shared" si="177"/>
        <v>0.7879994860593601</v>
      </c>
      <c r="AC93" s="41">
        <f t="shared" si="177"/>
        <v>0.76243447129523079</v>
      </c>
      <c r="AD93" s="41">
        <f t="shared" si="177"/>
        <v>0.74374577417173771</v>
      </c>
      <c r="AE93" s="41">
        <f t="shared" si="177"/>
        <v>0.74945365728242708</v>
      </c>
      <c r="AF93" s="41">
        <v>0.76</v>
      </c>
      <c r="AG93" s="41">
        <v>0.76</v>
      </c>
      <c r="AH93" s="41">
        <v>0.76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78">+BO78/BO76</f>
        <v>0.72094059957650725</v>
      </c>
      <c r="BP93" s="64">
        <f t="shared" ref="BP93" si="179">+BP78/BP76</f>
        <v>0.70403314243938098</v>
      </c>
      <c r="BQ93" s="64">
        <f t="shared" ref="BQ93:BR93" si="180">+BQ78/BQ76</f>
        <v>0.70893554172381057</v>
      </c>
      <c r="BR93" s="64">
        <f t="shared" si="180"/>
        <v>0.67117885312300152</v>
      </c>
      <c r="BS93" s="64">
        <f t="shared" ref="BS93" si="181">+BS78/BS76</f>
        <v>0.72191828657897805</v>
      </c>
      <c r="BT93" s="64">
        <f t="shared" ref="BT93:BU93" si="182">+BT78/BT76</f>
        <v>0.70757090576395243</v>
      </c>
      <c r="BU93" s="64">
        <f t="shared" si="182"/>
        <v>0.72766487730061347</v>
      </c>
      <c r="BV93" s="64">
        <f t="shared" ref="BV93:BW93" si="183">+BV78/BV76</f>
        <v>0.69481689013408043</v>
      </c>
      <c r="BW93" s="64">
        <f t="shared" si="183"/>
        <v>0.74165202108963091</v>
      </c>
      <c r="BX93" s="64">
        <f t="shared" ref="BX93:CF93" si="184">+BX78/BX76</f>
        <v>0.74070778964017403</v>
      </c>
      <c r="BY93" s="64">
        <f t="shared" si="184"/>
        <v>0.74563371254606636</v>
      </c>
      <c r="BZ93" s="64">
        <f t="shared" si="184"/>
        <v>0.7199738903394256</v>
      </c>
      <c r="CA93" s="64">
        <f t="shared" si="184"/>
        <v>0.76147148028568634</v>
      </c>
      <c r="CB93" s="64">
        <f t="shared" si="184"/>
        <v>0.74450577019568487</v>
      </c>
      <c r="CC93" s="64">
        <f t="shared" si="184"/>
        <v>0.74038783015713805</v>
      </c>
      <c r="CD93" s="64">
        <f t="shared" si="184"/>
        <v>0.74796226760692375</v>
      </c>
      <c r="CE93" s="64">
        <f t="shared" si="184"/>
        <v>0.735282874617737</v>
      </c>
      <c r="CF93" s="64">
        <f t="shared" si="184"/>
        <v>0.74211261051651933</v>
      </c>
      <c r="CG93" s="64">
        <f t="shared" ref="CG93" si="185">+CG78/CG76</f>
        <v>0.74953493563509188</v>
      </c>
      <c r="CH93" s="64"/>
      <c r="CI93" s="64"/>
      <c r="CJ93" s="64"/>
      <c r="CK93" s="64"/>
      <c r="CL93" s="64"/>
      <c r="CM93" s="64"/>
      <c r="CN93" s="41"/>
      <c r="CS93" s="41">
        <f t="shared" ref="CS93:CU93" si="186">CS78/CS76</f>
        <v>0</v>
      </c>
      <c r="CT93" s="41">
        <f t="shared" si="186"/>
        <v>0.77909255898366603</v>
      </c>
      <c r="CU93" s="41">
        <f t="shared" si="186"/>
        <v>0.78130330945069937</v>
      </c>
      <c r="CV93" s="41">
        <v>0.77</v>
      </c>
      <c r="CW93" s="41">
        <v>0.76</v>
      </c>
      <c r="CX93" s="41">
        <v>0.76</v>
      </c>
      <c r="CY93" s="41">
        <v>0.75</v>
      </c>
      <c r="CZ93" s="41">
        <v>0.75</v>
      </c>
      <c r="DA93" s="41">
        <v>0.75</v>
      </c>
      <c r="DB93" s="41">
        <v>0.75</v>
      </c>
      <c r="DC93" s="41">
        <v>0.75</v>
      </c>
      <c r="DN93" s="1" t="s">
        <v>205</v>
      </c>
      <c r="DO93" s="25">
        <v>-0.01</v>
      </c>
    </row>
    <row r="94" spans="2:170" x14ac:dyDescent="0.2">
      <c r="B94" s="1" t="s">
        <v>171</v>
      </c>
      <c r="M94" s="41">
        <f t="shared" ref="M94:W94" si="187">M85/M84</f>
        <v>0.30154220779220781</v>
      </c>
      <c r="N94" s="41">
        <f t="shared" si="187"/>
        <v>0.22399328859060402</v>
      </c>
      <c r="O94" s="41">
        <f t="shared" si="187"/>
        <v>9.8529411764705879E-2</v>
      </c>
      <c r="P94" s="41">
        <f t="shared" si="187"/>
        <v>0.29905335628227192</v>
      </c>
      <c r="Q94" s="41">
        <f t="shared" si="187"/>
        <v>0.31461538461538463</v>
      </c>
      <c r="R94" s="41">
        <f t="shared" si="187"/>
        <v>0.23469903894790087</v>
      </c>
      <c r="S94" s="41">
        <f t="shared" si="187"/>
        <v>0.28983788058521154</v>
      </c>
      <c r="T94" s="41">
        <f t="shared" si="187"/>
        <v>0.26058091286307056</v>
      </c>
      <c r="U94" s="41">
        <f t="shared" si="187"/>
        <v>0.28576879053796261</v>
      </c>
      <c r="V94" s="41">
        <f t="shared" si="187"/>
        <v>0.26219512195121952</v>
      </c>
      <c r="W94" s="41">
        <f t="shared" si="187"/>
        <v>0.28512396694214875</v>
      </c>
      <c r="X94" s="41">
        <f t="shared" ref="X94:Z94" si="188">X85/X84</f>
        <v>0.32398980706224972</v>
      </c>
      <c r="Y94" s="41">
        <f>Y85/Y84</f>
        <v>0.28421052631578947</v>
      </c>
      <c r="Z94" s="41">
        <f t="shared" si="188"/>
        <v>0.21958584987057808</v>
      </c>
      <c r="AA94" s="41">
        <f t="shared" ref="AA94:AC94" si="189">AA85/AA84</f>
        <v>0.22935779816513763</v>
      </c>
      <c r="AB94" s="41">
        <f t="shared" si="189"/>
        <v>0.27565039462145574</v>
      </c>
      <c r="AC94" s="41">
        <f t="shared" si="189"/>
        <v>0.12385165022116366</v>
      </c>
      <c r="AD94" s="41">
        <f>AD85/AD84</f>
        <v>0.26192619261926192</v>
      </c>
      <c r="AE94" s="41">
        <f>AE85/AE84</f>
        <v>0.28650239058477384</v>
      </c>
      <c r="AF94" s="41">
        <v>0.28000000000000003</v>
      </c>
      <c r="AG94" s="41">
        <v>0.28000000000000003</v>
      </c>
      <c r="AH94" s="41">
        <v>0.28000000000000003</v>
      </c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>
        <f t="shared" ref="BO94" si="190">+BO85/BO84</f>
        <v>0.20383602858217376</v>
      </c>
      <c r="BP94" s="64">
        <f t="shared" ref="BP94" si="191">+BP85/BP84</f>
        <v>0.22064777327935223</v>
      </c>
      <c r="BQ94" s="64">
        <f t="shared" ref="BQ94:BR94" si="192">+BQ85/BQ84</f>
        <v>0.2209420535411725</v>
      </c>
      <c r="BR94" s="64">
        <f t="shared" si="192"/>
        <v>0.22052067381316998</v>
      </c>
      <c r="BS94" s="64">
        <f t="shared" ref="BS94" si="193">+BS85/BS84</f>
        <v>0.21034077555816685</v>
      </c>
      <c r="BT94" s="64">
        <f t="shared" ref="BT94:BU94" si="194">+BT85/BT84</f>
        <v>0.20922795797167656</v>
      </c>
      <c r="BU94" s="64">
        <f t="shared" si="194"/>
        <v>0.21220846530377196</v>
      </c>
      <c r="BV94" s="64">
        <f t="shared" ref="BV94:BW94" si="195">+BV85/BV84</f>
        <v>0.203865623561896</v>
      </c>
      <c r="BW94" s="64">
        <f t="shared" si="195"/>
        <v>0.18854655056932351</v>
      </c>
      <c r="BX94" s="64">
        <f t="shared" ref="BX94:CF94" si="196">+BX85/BX84</f>
        <v>0.1890881913303438</v>
      </c>
      <c r="BY94" s="64">
        <f t="shared" si="196"/>
        <v>0.18911625815156285</v>
      </c>
      <c r="BZ94" s="64">
        <f t="shared" si="196"/>
        <v>0.20593692022263452</v>
      </c>
      <c r="CA94" s="64">
        <f t="shared" si="196"/>
        <v>0.18857142857142858</v>
      </c>
      <c r="CB94" s="64">
        <f t="shared" si="196"/>
        <v>0.18889716840536513</v>
      </c>
      <c r="CC94" s="64">
        <f t="shared" si="196"/>
        <v>0.18986058301647654</v>
      </c>
      <c r="CD94" s="64">
        <f t="shared" si="196"/>
        <v>0.17797947908445147</v>
      </c>
      <c r="CE94" s="64">
        <f t="shared" si="196"/>
        <v>0.20749999999999999</v>
      </c>
      <c r="CF94" s="64">
        <f t="shared" si="196"/>
        <v>0.20755408874220754</v>
      </c>
      <c r="CG94" s="64">
        <f t="shared" ref="CG94" si="197">+CG85/CG84</f>
        <v>0.16610322289835475</v>
      </c>
      <c r="CH94" s="64"/>
      <c r="CI94" s="64"/>
      <c r="CJ94" s="64"/>
      <c r="CK94" s="64"/>
      <c r="CL94" s="64"/>
      <c r="CM94" s="64"/>
      <c r="CN94" s="41"/>
      <c r="CT94" s="41">
        <f>CT85/CT84</f>
        <v>0.27456023042896821</v>
      </c>
      <c r="CU94" s="41">
        <f>CU85/CU84</f>
        <v>0.28074033351658423</v>
      </c>
      <c r="CV94" s="41">
        <v>0.25</v>
      </c>
      <c r="CW94" s="41">
        <v>0.25</v>
      </c>
      <c r="CX94" s="41">
        <v>0.25</v>
      </c>
      <c r="CY94" s="41">
        <v>0.25</v>
      </c>
      <c r="CZ94" s="41">
        <v>0.25</v>
      </c>
      <c r="DA94" s="41">
        <v>0.25</v>
      </c>
      <c r="DB94" s="41">
        <v>0.25</v>
      </c>
      <c r="DC94" s="41">
        <v>0.25</v>
      </c>
      <c r="DN94" s="1" t="s">
        <v>206</v>
      </c>
      <c r="DO94" s="47">
        <v>0.12</v>
      </c>
      <c r="DP94" s="1" t="s">
        <v>313</v>
      </c>
    </row>
    <row r="95" spans="2:170" x14ac:dyDescent="0.2"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N95" s="1" t="s">
        <v>207</v>
      </c>
      <c r="DO95" s="27">
        <f>NPV($DO$94,CX89:FP89)+Main!K5-Main!K6+CW89</f>
        <v>121200.62986976348</v>
      </c>
      <c r="DP95" s="1" t="s">
        <v>208</v>
      </c>
    </row>
    <row r="96" spans="2:170" s="11" customFormat="1" x14ac:dyDescent="0.2">
      <c r="B96" s="11" t="s">
        <v>170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>
        <f t="shared" ref="O96:V96" si="198">O76/K76-1</f>
        <v>2.0184790334043967E-2</v>
      </c>
      <c r="P96" s="42">
        <f t="shared" si="198"/>
        <v>-2.005366473661907E-2</v>
      </c>
      <c r="Q96" s="42">
        <f t="shared" si="198"/>
        <v>1.7968410375307942E-2</v>
      </c>
      <c r="R96" s="42">
        <f t="shared" si="198"/>
        <v>-6.0494834148994037E-2</v>
      </c>
      <c r="S96" s="42">
        <f t="shared" si="198"/>
        <v>-3.5948167758116156E-2</v>
      </c>
      <c r="T96" s="42">
        <f t="shared" si="198"/>
        <v>-3.6028246144977683E-2</v>
      </c>
      <c r="U96" s="42">
        <f>U76/Q76-1</f>
        <v>-2.4483985765124561E-2</v>
      </c>
      <c r="V96" s="42">
        <f t="shared" si="198"/>
        <v>2.5756041093908166E-2</v>
      </c>
      <c r="W96" s="42">
        <f t="shared" ref="W96:X96" si="199">W76/S76-1</f>
        <v>2.7171556583321266E-2</v>
      </c>
      <c r="X96" s="42">
        <f t="shared" si="199"/>
        <v>0.11257288084915529</v>
      </c>
      <c r="Y96" s="42">
        <f t="shared" ref="Y96:AE96" si="200">Y76/U76-1</f>
        <v>7.9819057347147337E-2</v>
      </c>
      <c r="Z96" s="42">
        <f t="shared" si="200"/>
        <v>3.83693045563549E-2</v>
      </c>
      <c r="AA96" s="42">
        <f t="shared" si="200"/>
        <v>0.11129871957225279</v>
      </c>
      <c r="AB96" s="42">
        <f t="shared" si="200"/>
        <v>4.5821015855952663E-2</v>
      </c>
      <c r="AC96" s="42">
        <f t="shared" si="200"/>
        <v>5.6891891891891921E-2</v>
      </c>
      <c r="AD96" s="42">
        <f t="shared" si="200"/>
        <v>4.6189376443417363E-3</v>
      </c>
      <c r="AE96" s="42">
        <f t="shared" si="200"/>
        <v>-1.5067105596353492E-2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>
        <f>+BS76/BO76-1</f>
        <v>-4.2572160927226155E-2</v>
      </c>
      <c r="BT96" s="65">
        <f>+BT76/BP76-1</f>
        <v>6.5431948336785561E-2</v>
      </c>
      <c r="BU96" s="65">
        <f>+BU76/BQ76-1</f>
        <v>0.1005380314379154</v>
      </c>
      <c r="BV96" s="65">
        <f>+BV76/BR76-1</f>
        <v>6.5231293967171089E-2</v>
      </c>
      <c r="BW96" s="65">
        <f t="shared" ref="BW96" si="201">+BW76/BS76-1</f>
        <v>0.12594575718775469</v>
      </c>
      <c r="BX96" s="65">
        <f>+BX76/BT76-1</f>
        <v>0.15690759377859109</v>
      </c>
      <c r="BY96" s="65">
        <f t="shared" ref="BY96:CH96" si="202">+BY76/BU76-1</f>
        <v>0.19651073619631898</v>
      </c>
      <c r="BZ96" s="65">
        <f t="shared" si="202"/>
        <v>7.3043826295777547E-2</v>
      </c>
      <c r="CA96" s="65">
        <f t="shared" si="202"/>
        <v>5.6652537992349927E-2</v>
      </c>
      <c r="CB96" s="65">
        <f t="shared" si="202"/>
        <v>-1.4926848556741756E-2</v>
      </c>
      <c r="CC96" s="65">
        <f t="shared" si="202"/>
        <v>-4.1499759653901624E-2</v>
      </c>
      <c r="CD96" s="65">
        <f t="shared" si="202"/>
        <v>1.818351361432291E-2</v>
      </c>
      <c r="CE96" s="65">
        <f>+CE76/CA76-1</f>
        <v>2.3774581743469358E-2</v>
      </c>
      <c r="CF96" s="65">
        <f t="shared" si="202"/>
        <v>7.8273958855995973E-2</v>
      </c>
      <c r="CG96" s="65">
        <f t="shared" si="202"/>
        <v>0.12328652624540282</v>
      </c>
      <c r="CH96" s="65">
        <f t="shared" si="202"/>
        <v>0.1102665079219709</v>
      </c>
      <c r="CI96" s="65">
        <f t="shared" ref="CI96" si="203">+CI76/CE76-1</f>
        <v>0.12857702599388388</v>
      </c>
      <c r="CJ96" s="65">
        <f t="shared" ref="CJ96" si="204">+CJ76/CF76-1</f>
        <v>0.15651279664960449</v>
      </c>
      <c r="CK96" s="65">
        <f t="shared" ref="CK96" si="205">+CK76/CG76-1</f>
        <v>7.0104174417739307E-2</v>
      </c>
      <c r="CL96" s="65">
        <f t="shared" ref="CL96" si="206">+CL76/CH76-1</f>
        <v>8.7081580466881192E-2</v>
      </c>
      <c r="CM96" s="65"/>
      <c r="CN96" s="42"/>
      <c r="CO96" s="45"/>
      <c r="CP96" s="45"/>
      <c r="CQ96" s="45"/>
      <c r="CR96" s="45"/>
      <c r="CS96" s="42">
        <f>CS76/CR76-1</f>
        <v>-1.1313572762837953E-2</v>
      </c>
      <c r="CT96" s="42">
        <f t="shared" ref="CT96:CY96" si="207">CT76/CS76-1</f>
        <v>-1.7895337230857011E-2</v>
      </c>
      <c r="CU96" s="42">
        <f t="shared" si="207"/>
        <v>6.3883847549909278E-2</v>
      </c>
      <c r="CV96" s="42">
        <f t="shared" si="207"/>
        <v>3.7700443534629757E-2</v>
      </c>
      <c r="CW96" s="42">
        <f t="shared" si="207"/>
        <v>-8.8696366924214676E-3</v>
      </c>
      <c r="CX96" s="42">
        <f t="shared" si="207"/>
        <v>-3.3663060457657656E-2</v>
      </c>
      <c r="CY96" s="42">
        <f t="shared" si="207"/>
        <v>-5.5654504717852049E-2</v>
      </c>
      <c r="CZ96" s="42">
        <f>CZ76/CY76-1</f>
        <v>-4.5349036594959591E-2</v>
      </c>
      <c r="DA96" s="42">
        <f>DA76/CZ76-1</f>
        <v>-1.9877723922329449E-2</v>
      </c>
      <c r="DB96" s="42">
        <f>DB76/DA76-1</f>
        <v>-4.5355557432140592E-2</v>
      </c>
      <c r="DC96" s="42">
        <f>DC76/DB76-1</f>
        <v>-9.2156395641669664E-2</v>
      </c>
      <c r="DN96" s="19" t="s">
        <v>338</v>
      </c>
      <c r="DO96" s="21">
        <f>DO95/Main!K3</f>
        <v>96.882997497812525</v>
      </c>
      <c r="DP96" s="1"/>
    </row>
    <row r="97" spans="2:120" s="11" customFormat="1" x14ac:dyDescent="0.2">
      <c r="B97" s="11" t="s">
        <v>308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>
        <v>-1.2E-2</v>
      </c>
      <c r="AC97" s="42"/>
      <c r="AD97" s="42"/>
      <c r="AE97" s="42">
        <v>-5.1999999999999998E-2</v>
      </c>
      <c r="AF97" s="42"/>
      <c r="AG97" s="42"/>
      <c r="AH97" s="42"/>
      <c r="AI97" s="42"/>
      <c r="AJ97" s="42"/>
      <c r="AK97" s="42"/>
      <c r="AL97" s="42"/>
      <c r="AM97" s="42"/>
      <c r="AN97" s="42"/>
      <c r="AO97" s="42">
        <v>6.0000000000000001E-3</v>
      </c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>
        <v>8.1000000000000003E-2</v>
      </c>
      <c r="BY97" s="65">
        <v>0.09</v>
      </c>
      <c r="BZ97" s="65">
        <v>2.5999999999999999E-2</v>
      </c>
      <c r="CA97" s="65">
        <v>5.5E-2</v>
      </c>
      <c r="CB97" s="65">
        <v>4.3999999999999997E-2</v>
      </c>
      <c r="CC97" s="65">
        <v>3.2000000000000001E-2</v>
      </c>
      <c r="CD97" s="65">
        <v>9.2999999999999999E-2</v>
      </c>
      <c r="CE97" s="65">
        <v>6.7000000000000004E-2</v>
      </c>
      <c r="CF97" s="65">
        <v>0.10199999999999999</v>
      </c>
      <c r="CG97" s="65">
        <v>0.157</v>
      </c>
      <c r="CH97" s="65"/>
      <c r="CI97" s="65"/>
      <c r="CJ97" s="65"/>
      <c r="CK97" s="65"/>
      <c r="CL97" s="65"/>
      <c r="CM97" s="65"/>
      <c r="CN97" s="42"/>
      <c r="CO97" s="45"/>
      <c r="CP97" s="45"/>
      <c r="CQ97" s="45"/>
      <c r="CR97" s="45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N97" s="19" t="s">
        <v>339</v>
      </c>
      <c r="DO97" s="25">
        <f>DO96/Main!K2-1</f>
        <v>6.4648324151785896E-2</v>
      </c>
      <c r="DP97" s="1"/>
    </row>
    <row r="98" spans="2:120" s="19" customFormat="1" x14ac:dyDescent="0.2">
      <c r="B98" s="19" t="s">
        <v>562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 t="shared" ref="BS98:CA98" si="208">+BS3/BO3-1</f>
        <v>0.34922680412371143</v>
      </c>
      <c r="BT98" s="66">
        <f t="shared" si="208"/>
        <v>0.44871794871794868</v>
      </c>
      <c r="BU98" s="66">
        <f t="shared" si="208"/>
        <v>0.53594771241830075</v>
      </c>
      <c r="BV98" s="66">
        <f t="shared" si="208"/>
        <v>0.57739307535641538</v>
      </c>
      <c r="BW98" s="66">
        <f t="shared" si="208"/>
        <v>0.54154727793696278</v>
      </c>
      <c r="BX98" s="66">
        <f t="shared" si="208"/>
        <v>0.57924376508447306</v>
      </c>
      <c r="BY98" s="66">
        <f t="shared" si="208"/>
        <v>0.64113475177304968</v>
      </c>
      <c r="BZ98" s="66">
        <f t="shared" si="208"/>
        <v>0.55067785668173008</v>
      </c>
      <c r="CA98" s="66">
        <f t="shared" si="208"/>
        <v>0.43494423791821557</v>
      </c>
      <c r="CB98" s="66">
        <f t="shared" ref="CB98:CG98" si="209">+CB3/BX3-1</f>
        <v>0.30514518593988793</v>
      </c>
      <c r="CC98" s="66">
        <f t="shared" si="209"/>
        <v>0.2303370786516854</v>
      </c>
      <c r="CD98" s="66">
        <f t="shared" si="209"/>
        <v>0.24479600333055784</v>
      </c>
      <c r="CE98" s="66">
        <f t="shared" si="209"/>
        <v>0.22409326424870457</v>
      </c>
      <c r="CF98" s="66">
        <f t="shared" si="209"/>
        <v>0.28922716627634659</v>
      </c>
      <c r="CG98" s="66">
        <f t="shared" si="209"/>
        <v>0.22093431682472775</v>
      </c>
      <c r="CH98" s="66">
        <f t="shared" ref="CH98:CL99" si="210">+CH3/CD3-1</f>
        <v>0.15652173913043477</v>
      </c>
      <c r="CI98" s="66">
        <f t="shared" si="210"/>
        <v>0.30000000000000004</v>
      </c>
      <c r="CJ98" s="66">
        <f t="shared" si="210"/>
        <v>0.30000000000000027</v>
      </c>
      <c r="CK98" s="66">
        <f t="shared" si="210"/>
        <v>0.30000000000000004</v>
      </c>
      <c r="CL98" s="66">
        <f t="shared" si="210"/>
        <v>0.30000000000000027</v>
      </c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O98" s="74"/>
    </row>
    <row r="99" spans="2:120" s="19" customFormat="1" x14ac:dyDescent="0.2">
      <c r="B99" s="19" t="s">
        <v>283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>
        <f t="shared" ref="O99:AE99" si="211">O4/K4-1</f>
        <v>0.19895287958115193</v>
      </c>
      <c r="P99" s="43">
        <f t="shared" si="211"/>
        <v>0.19477434679334915</v>
      </c>
      <c r="Q99" s="43">
        <f t="shared" si="211"/>
        <v>0.25728155339805836</v>
      </c>
      <c r="R99" s="43">
        <f t="shared" si="211"/>
        <v>0.22394678492239461</v>
      </c>
      <c r="S99" s="43">
        <f t="shared" si="211"/>
        <v>0.21615720524017457</v>
      </c>
      <c r="T99" s="43">
        <f t="shared" si="211"/>
        <v>0.14512922465208744</v>
      </c>
      <c r="U99" s="43">
        <f t="shared" si="211"/>
        <v>0.18146718146718155</v>
      </c>
      <c r="V99" s="43">
        <f t="shared" si="211"/>
        <v>0.27717391304347827</v>
      </c>
      <c r="W99" s="43">
        <f t="shared" si="211"/>
        <v>0.34111310592459598</v>
      </c>
      <c r="X99" s="43">
        <f t="shared" si="211"/>
        <v>0.375</v>
      </c>
      <c r="Y99" s="43">
        <f t="shared" si="211"/>
        <v>0.2712418300653594</v>
      </c>
      <c r="Z99" s="43">
        <f t="shared" si="211"/>
        <v>8.2269503546099187E-2</v>
      </c>
      <c r="AA99" s="43">
        <f t="shared" si="211"/>
        <v>5.7563587684069661E-2</v>
      </c>
      <c r="AB99" s="43">
        <f t="shared" si="211"/>
        <v>0.16919191919191912</v>
      </c>
      <c r="AC99" s="43">
        <f t="shared" si="211"/>
        <v>0.15681233933161964</v>
      </c>
      <c r="AD99" s="43">
        <f t="shared" si="211"/>
        <v>0.17169069462647446</v>
      </c>
      <c r="AE99" s="43">
        <f t="shared" si="211"/>
        <v>0.17088607594936711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>
        <f>+BS4/BO4-1</f>
        <v>-9.9447513812154664E-2</v>
      </c>
      <c r="BT99" s="66">
        <f t="shared" ref="BT99:CD99" si="212">+BT4/BP4-1</f>
        <v>-8.0808080808080773E-2</v>
      </c>
      <c r="BU99" s="66">
        <f t="shared" si="212"/>
        <v>-5.3272450532724558E-2</v>
      </c>
      <c r="BV99" s="66">
        <f t="shared" si="212"/>
        <v>-6.8143100511073307E-3</v>
      </c>
      <c r="BW99" s="66">
        <f t="shared" si="212"/>
        <v>2.914110429447847E-2</v>
      </c>
      <c r="BX99" s="66">
        <f t="shared" si="212"/>
        <v>-5.8084772370486704E-2</v>
      </c>
      <c r="BY99" s="66">
        <f t="shared" si="212"/>
        <v>-0.1012861736334405</v>
      </c>
      <c r="BZ99" s="66">
        <f t="shared" si="212"/>
        <v>-0.26415094339622647</v>
      </c>
      <c r="CA99" s="66">
        <f t="shared" si="212"/>
        <v>-0.33383010432190763</v>
      </c>
      <c r="CB99" s="66">
        <f t="shared" si="212"/>
        <v>-0.41166666666666663</v>
      </c>
      <c r="CC99" s="66">
        <f t="shared" si="212"/>
        <v>-0.38640429338103754</v>
      </c>
      <c r="CD99" s="66">
        <f t="shared" si="212"/>
        <v>-0.35431235431235431</v>
      </c>
      <c r="CE99" s="66">
        <f>+CE4/CA4-1</f>
        <v>-0.19463087248322153</v>
      </c>
      <c r="CF99" s="66">
        <f>+CF4/CB4-1</f>
        <v>0.12747875354107641</v>
      </c>
      <c r="CG99" s="66">
        <f>+CG4/CC4-1</f>
        <v>0.2565597667638484</v>
      </c>
      <c r="CH99" s="66">
        <f t="shared" si="210"/>
        <v>0.58483754512635389</v>
      </c>
      <c r="CI99" s="66">
        <f t="shared" si="210"/>
        <v>-9.9999999999999978E-2</v>
      </c>
      <c r="CJ99" s="66">
        <f t="shared" si="210"/>
        <v>-9.9999999999999978E-2</v>
      </c>
      <c r="CK99" s="66">
        <f t="shared" si="210"/>
        <v>-9.9999999999999867E-2</v>
      </c>
      <c r="CL99" s="66">
        <f t="shared" si="210"/>
        <v>-9.9999999999999978E-2</v>
      </c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F99" s="74"/>
    </row>
    <row r="100" spans="2:120" s="19" customFormat="1" x14ac:dyDescent="0.2">
      <c r="B100" s="19" t="s">
        <v>297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f t="shared" ref="V100:AE100" si="213">V6/R6-1</f>
        <v>0.11127596439169141</v>
      </c>
      <c r="W100" s="43">
        <f t="shared" si="213"/>
        <v>6.2761506276150625E-2</v>
      </c>
      <c r="X100" s="43">
        <f t="shared" si="213"/>
        <v>0.22448979591836737</v>
      </c>
      <c r="Y100" s="43">
        <f t="shared" si="213"/>
        <v>0.17637795275590551</v>
      </c>
      <c r="Z100" s="43">
        <f t="shared" si="213"/>
        <v>6.6755674232310547E-3</v>
      </c>
      <c r="AA100" s="43">
        <f t="shared" si="213"/>
        <v>9.1863517060366551E-3</v>
      </c>
      <c r="AB100" s="43">
        <f t="shared" si="213"/>
        <v>0.11025641025641031</v>
      </c>
      <c r="AC100" s="43">
        <f t="shared" si="213"/>
        <v>-0.21151271753681389</v>
      </c>
      <c r="AD100" s="43">
        <f t="shared" si="213"/>
        <v>-0.22811671087533159</v>
      </c>
      <c r="AE100" s="43">
        <f t="shared" si="213"/>
        <v>-0.24187256176853056</v>
      </c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</row>
    <row r="101" spans="2:120" s="19" customFormat="1" x14ac:dyDescent="0.2">
      <c r="B101" s="19" t="s">
        <v>176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>
        <f t="shared" ref="Q101:V101" si="214">Q90/M90-1</f>
        <v>8.3583671031624229E-2</v>
      </c>
      <c r="R101" s="43">
        <f t="shared" si="214"/>
        <v>-0.10399806362410113</v>
      </c>
      <c r="S101" s="43">
        <f t="shared" si="214"/>
        <v>-0.20947081134089007</v>
      </c>
      <c r="T101" s="43">
        <f t="shared" si="214"/>
        <v>0.12676180669236614</v>
      </c>
      <c r="U101" s="43">
        <f t="shared" si="214"/>
        <v>8.6798084095178307E-2</v>
      </c>
      <c r="V101" s="43">
        <f t="shared" si="214"/>
        <v>8.0266375123093425E-2</v>
      </c>
      <c r="W101" s="43">
        <f t="shared" ref="W101:X101" si="215">W90/S90-1</f>
        <v>0.11315576897500335</v>
      </c>
      <c r="X101" s="43">
        <f t="shared" si="215"/>
        <v>0.1266192863674398</v>
      </c>
      <c r="Y101" s="43">
        <f>Y90/U90-1</f>
        <v>0.15475904793512196</v>
      </c>
      <c r="Z101" s="43">
        <f>Z90/V90-1</f>
        <v>0.17298040033986739</v>
      </c>
      <c r="AA101" s="43">
        <f>AA90/W90-1</f>
        <v>0.39342760420465406</v>
      </c>
      <c r="AB101" s="43">
        <f>AB90/X90-1</f>
        <v>0.16281286619515467</v>
      </c>
      <c r="AC101" s="43">
        <f>AC90/Y90-1</f>
        <v>0.25086220110361768</v>
      </c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>
        <f t="shared" ref="CT101:CY101" si="216">CT90/CS90-1</f>
        <v>6.165058262481482E-3</v>
      </c>
      <c r="CU101" s="43">
        <f t="shared" si="216"/>
        <v>0.13441259351318302</v>
      </c>
      <c r="CV101" s="43">
        <f t="shared" si="216"/>
        <v>8.0321595516685163E-2</v>
      </c>
      <c r="CW101" s="43">
        <f t="shared" si="216"/>
        <v>0.56746687640791649</v>
      </c>
      <c r="CX101" s="43">
        <f t="shared" si="216"/>
        <v>6.211068629493921E-2</v>
      </c>
      <c r="CY101" s="43">
        <f t="shared" si="216"/>
        <v>-2.8856862095187452E-2</v>
      </c>
      <c r="CZ101" s="43">
        <f>CZ90/CY90-1</f>
        <v>-2.2100053227118721E-3</v>
      </c>
      <c r="DA101" s="43">
        <f>DA90/CZ90-1</f>
        <v>2.5201234625734426E-2</v>
      </c>
      <c r="DB101" s="43">
        <f>DB90/DA90-1</f>
        <v>1.8110045384902573E-3</v>
      </c>
      <c r="DC101" s="43">
        <f t="shared" ref="DC101" si="217">DC90/DB90-1</f>
        <v>-3.8622649812662835E-2</v>
      </c>
      <c r="DN101" s="10"/>
    </row>
    <row r="102" spans="2:120" s="19" customFormat="1" x14ac:dyDescent="0.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43"/>
      <c r="CO102" s="33"/>
      <c r="CP102" s="33"/>
      <c r="CQ102" s="33"/>
      <c r="CR102" s="3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</row>
    <row r="103" spans="2:120" x14ac:dyDescent="0.2">
      <c r="B103" s="1" t="s">
        <v>174</v>
      </c>
      <c r="Q103" s="23">
        <v>-4500</v>
      </c>
      <c r="R103" s="23">
        <f>Q103+R89</f>
        <v>-2906</v>
      </c>
      <c r="S103" s="23">
        <v>-4000</v>
      </c>
      <c r="T103" s="23">
        <v>-5593</v>
      </c>
      <c r="U103" s="23">
        <v>-3700</v>
      </c>
      <c r="V103" s="23">
        <f>U103+V89</f>
        <v>-2017</v>
      </c>
      <c r="W103" s="23">
        <v>-1236</v>
      </c>
      <c r="X103" s="23"/>
      <c r="Y103" s="23">
        <v>-5050</v>
      </c>
      <c r="Z103" s="23">
        <v>-4135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23"/>
      <c r="CS103" s="23"/>
      <c r="CT103" s="23"/>
      <c r="CU103" s="23"/>
    </row>
    <row r="104" spans="2:120" x14ac:dyDescent="0.2">
      <c r="B104" s="1" t="s">
        <v>175</v>
      </c>
      <c r="CT104" s="23">
        <f t="shared" ref="CT104:CY104" si="218">CT89</f>
        <v>7523</v>
      </c>
      <c r="CU104" s="23">
        <f>CU89</f>
        <v>8513</v>
      </c>
      <c r="CV104" s="23">
        <f t="shared" si="218"/>
        <v>9193.5499999999993</v>
      </c>
      <c r="CW104" s="23">
        <f t="shared" si="218"/>
        <v>14410.585101600002</v>
      </c>
      <c r="CX104" s="23">
        <f t="shared" si="218"/>
        <v>15305.636432172003</v>
      </c>
      <c r="CY104" s="23">
        <f t="shared" si="218"/>
        <v>14863.963792369741</v>
      </c>
      <c r="CZ104" s="23">
        <f>CZ89</f>
        <v>14831.114353272005</v>
      </c>
      <c r="DA104" s="23">
        <f>DA89</f>
        <v>15204.876745849913</v>
      </c>
      <c r="DB104" s="23">
        <f>DB89</f>
        <v>15232.412846643831</v>
      </c>
      <c r="DC104" s="23"/>
    </row>
    <row r="106" spans="2:120" s="27" customFormat="1" x14ac:dyDescent="0.2">
      <c r="B106" s="48" t="s">
        <v>337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>
        <f>3221+181+1256</f>
        <v>4658</v>
      </c>
      <c r="AC106" s="23"/>
      <c r="AD106" s="23"/>
      <c r="AE106" s="23">
        <f>19199-19183</f>
        <v>16</v>
      </c>
      <c r="AF106" s="23">
        <f>+AE106-19641</f>
        <v>-19625</v>
      </c>
      <c r="AG106" s="23">
        <f>+AF106+AG89</f>
        <v>-15241.838400000001</v>
      </c>
      <c r="AH106" s="23">
        <f t="shared" ref="AH106" si="219">+AG106+AH89</f>
        <v>-11054.355520000001</v>
      </c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>
        <f>+AH106</f>
        <v>-11054.355520000001</v>
      </c>
      <c r="CW106" s="23">
        <f t="shared" ref="CW106:DC106" si="220">CW104+CV106</f>
        <v>3356.2295816000005</v>
      </c>
      <c r="CX106" s="23">
        <f t="shared" si="220"/>
        <v>18661.866013772003</v>
      </c>
      <c r="CY106" s="23">
        <f t="shared" si="220"/>
        <v>33525.829806141744</v>
      </c>
      <c r="CZ106" s="23">
        <f t="shared" si="220"/>
        <v>48356.944159413746</v>
      </c>
      <c r="DA106" s="23">
        <f t="shared" si="220"/>
        <v>63561.820905263659</v>
      </c>
      <c r="DB106" s="23">
        <f t="shared" si="220"/>
        <v>78794.233751907494</v>
      </c>
      <c r="DC106" s="23">
        <f t="shared" si="220"/>
        <v>78794.233751907494</v>
      </c>
    </row>
    <row r="107" spans="2:120" s="27" customFormat="1" x14ac:dyDescent="0.2">
      <c r="B107" s="48" t="s">
        <v>309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</row>
    <row r="108" spans="2:120" s="27" customFormat="1" x14ac:dyDescent="0.2">
      <c r="B108" s="48" t="s">
        <v>310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20" s="27" customFormat="1" x14ac:dyDescent="0.2">
      <c r="B109" s="48" t="s">
        <v>311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2:120" s="27" customFormat="1" x14ac:dyDescent="0.2">
      <c r="B110" s="48" t="s">
        <v>312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20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20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  <row r="124" spans="3:107" s="27" customForma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2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588</v>
      </c>
      <c r="C2" s="29" t="s">
        <v>528</v>
      </c>
    </row>
    <row r="3" spans="1:3" x14ac:dyDescent="0.2">
      <c r="B3" s="29" t="s">
        <v>589</v>
      </c>
      <c r="C3" s="29" t="s">
        <v>590</v>
      </c>
    </row>
    <row r="4" spans="1:3" x14ac:dyDescent="0.2">
      <c r="B4" s="29" t="s">
        <v>591</v>
      </c>
      <c r="C4" s="29" t="s">
        <v>596</v>
      </c>
    </row>
    <row r="5" spans="1:3" x14ac:dyDescent="0.2">
      <c r="B5" s="29"/>
      <c r="C5" s="29" t="s">
        <v>608</v>
      </c>
    </row>
    <row r="6" spans="1:3" x14ac:dyDescent="0.2">
      <c r="B6" s="29"/>
      <c r="C6" s="29" t="s">
        <v>613</v>
      </c>
    </row>
    <row r="7" spans="1:3" x14ac:dyDescent="0.2">
      <c r="B7" s="29" t="s">
        <v>592</v>
      </c>
      <c r="C7" s="29" t="s">
        <v>593</v>
      </c>
    </row>
    <row r="8" spans="1:3" x14ac:dyDescent="0.2">
      <c r="B8" s="29" t="s">
        <v>594</v>
      </c>
      <c r="C8" s="29" t="s">
        <v>595</v>
      </c>
    </row>
    <row r="9" spans="1:3" x14ac:dyDescent="0.2">
      <c r="C9" s="29" t="s">
        <v>603</v>
      </c>
    </row>
    <row r="18" spans="3:3" x14ac:dyDescent="0.2">
      <c r="C18" s="30" t="s">
        <v>609</v>
      </c>
    </row>
    <row r="22" spans="3:3" x14ac:dyDescent="0.2">
      <c r="C22" s="30" t="s">
        <v>610</v>
      </c>
    </row>
    <row r="23" spans="3:3" x14ac:dyDescent="0.2">
      <c r="C23" s="29" t="s">
        <v>612</v>
      </c>
    </row>
    <row r="25" spans="3:3" x14ac:dyDescent="0.2">
      <c r="C25" s="30" t="s">
        <v>611</v>
      </c>
    </row>
    <row r="26" spans="3:3" x14ac:dyDescent="0.2">
      <c r="C26" s="29" t="s">
        <v>612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565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2025-03-31T13:12:39Z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