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71321400-D5BE-4B14-AD28-9A5F7615E3B8}" xr6:coauthVersionLast="47" xr6:coauthVersionMax="47" xr10:uidLastSave="{00000000-0000-0000-0000-000000000000}"/>
  <bookViews>
    <workbookView xWindow="8670" yWindow="4370" windowWidth="23280" windowHeight="15980" activeTab="1" xr2:uid="{18689D26-F1F3-46B4-82BE-041D095397EB}"/>
  </bookViews>
  <sheets>
    <sheet name="Main" sheetId="14" r:id="rId1"/>
    <sheet name="Hedge" sheetId="1" r:id="rId2"/>
    <sheet name="Sources" sheetId="12" r:id="rId3"/>
    <sheet name="VC" sheetId="4" r:id="rId4"/>
    <sheet name="Long Only" sheetId="2" r:id="rId5"/>
    <sheet name="Private Equity" sheetId="3" r:id="rId6"/>
    <sheet name="Millennium" sheetId="8" r:id="rId7"/>
    <sheet name="Citadel" sheetId="11" r:id="rId8"/>
    <sheet name="Softbank - Overview" sheetId="9" r:id="rId9"/>
    <sheet name="SoftBank - Positions" sheetId="5" r:id="rId10"/>
    <sheet name="Largest Privates" sheetId="13" r:id="rId11"/>
    <sheet name="Sequoia" sheetId="6" r:id="rId12"/>
    <sheet name="a16z" sheetId="7" r:id="rId13"/>
    <sheet name="Hummingbird" sheetId="10" r:id="rId14"/>
  </sheets>
  <externalReferences>
    <externalReference r:id="rId15"/>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0" i="1" l="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D1" i="13" l="1"/>
  <c r="E1" i="13"/>
  <c r="BC339" i="1"/>
  <c r="P1" i="2"/>
  <c r="Q1" i="2"/>
  <c r="R1" i="2"/>
  <c r="T1" i="2"/>
  <c r="S1" i="2"/>
  <c r="A353" i="2"/>
  <c r="A352" i="2"/>
  <c r="A351" i="2"/>
  <c r="A350" i="2"/>
  <c r="A349" i="2"/>
  <c r="A348" i="2"/>
  <c r="A347" i="2" l="1"/>
  <c r="A346" i="2"/>
  <c r="A345" i="2"/>
  <c r="A344" i="2"/>
  <c r="A343" i="2"/>
  <c r="A342" i="2"/>
  <c r="A341" i="2"/>
  <c r="A340" i="2"/>
  <c r="A339" i="2" l="1"/>
  <c r="A338" i="2"/>
  <c r="AC22" i="1"/>
  <c r="D171" i="1"/>
  <c r="AC229" i="1"/>
  <c r="AC12" i="1"/>
  <c r="AC74" i="1"/>
  <c r="AC213" i="1"/>
  <c r="AC72" i="1"/>
  <c r="AC101" i="1"/>
  <c r="AC262" i="1"/>
  <c r="AC67" i="1"/>
  <c r="A337" i="2"/>
  <c r="A336" i="2"/>
  <c r="A335" i="2"/>
  <c r="A334" i="2"/>
  <c r="A333" i="2"/>
  <c r="A332" i="2"/>
  <c r="A331" i="2"/>
  <c r="A330" i="2"/>
  <c r="A329" i="2"/>
  <c r="A328" i="2"/>
  <c r="A327" i="2"/>
  <c r="A326" i="2"/>
  <c r="A325" i="2"/>
  <c r="A324" i="2"/>
  <c r="Q149" i="2"/>
  <c r="A323" i="2"/>
  <c r="A322" i="2"/>
  <c r="A321" i="2"/>
  <c r="A320" i="2"/>
  <c r="A319" i="2"/>
  <c r="A318" i="2" l="1"/>
  <c r="A317" i="2"/>
  <c r="D1" i="3"/>
  <c r="A316" i="2"/>
  <c r="A315" i="2"/>
  <c r="Q214" i="1"/>
  <c r="S214" i="1"/>
  <c r="R214" i="1"/>
  <c r="A314" i="2"/>
  <c r="A313" i="2"/>
  <c r="A312" i="2"/>
  <c r="A311" i="2"/>
  <c r="X1" i="2"/>
  <c r="A310" i="2"/>
  <c r="R67" i="2"/>
  <c r="Q67" i="2"/>
  <c r="A309" i="2"/>
  <c r="A308" i="2"/>
  <c r="A307" i="2"/>
  <c r="T115" i="2"/>
  <c r="T73" i="2"/>
  <c r="S73" i="2"/>
  <c r="Q73" i="2"/>
  <c r="A306" i="2"/>
  <c r="A305" i="2"/>
  <c r="A304" i="2"/>
  <c r="A303" i="2"/>
  <c r="A302" i="2"/>
  <c r="A301" i="2"/>
  <c r="A300" i="2"/>
  <c r="A299" i="2"/>
  <c r="Q104" i="2"/>
  <c r="Q183" i="2"/>
  <c r="S67" i="2"/>
  <c r="S116" i="2"/>
  <c r="A298" i="2"/>
  <c r="A297" i="2"/>
  <c r="A296" i="2"/>
  <c r="S115" i="2"/>
  <c r="A295" i="2"/>
  <c r="R104" i="2"/>
  <c r="R73" i="2"/>
  <c r="T67" i="2"/>
  <c r="A294" i="2"/>
  <c r="A293" i="2"/>
  <c r="Q116" i="2"/>
  <c r="R116" i="2"/>
  <c r="A292" i="2"/>
  <c r="A291" i="2"/>
  <c r="A290" i="2"/>
  <c r="A289" i="2"/>
  <c r="A288" i="2"/>
  <c r="A287" i="2"/>
  <c r="A286" i="2"/>
  <c r="A285" i="2"/>
  <c r="A284" i="2"/>
  <c r="A283" i="2"/>
  <c r="A282" i="2"/>
  <c r="A281" i="2"/>
  <c r="A280" i="2"/>
  <c r="A279" i="2"/>
  <c r="A278" i="2"/>
  <c r="A277" i="2"/>
  <c r="A276" i="2"/>
  <c r="A275" i="2"/>
  <c r="AJ1" i="1"/>
  <c r="A274" i="2"/>
  <c r="A273" i="2"/>
  <c r="V1" i="2"/>
  <c r="W1" i="2"/>
  <c r="A426" i="1" l="1"/>
  <c r="A84" i="2"/>
  <c r="AI1" i="1"/>
  <c r="Q55" i="2" l="1"/>
  <c r="R55" i="2"/>
  <c r="T116" i="2"/>
  <c r="Q115" i="2"/>
  <c r="R115" i="2"/>
  <c r="S55" i="2"/>
  <c r="T55" i="2"/>
  <c r="T104" i="2"/>
  <c r="S104" i="2"/>
  <c r="R148" i="2"/>
  <c r="S148" i="2"/>
  <c r="S201" i="2"/>
  <c r="Q201" i="2"/>
  <c r="R201" i="2"/>
  <c r="Q45" i="2"/>
  <c r="Q141" i="2"/>
  <c r="R45" i="2"/>
  <c r="R141" i="2"/>
  <c r="T45" i="2"/>
  <c r="S45" i="2"/>
  <c r="Q160" i="2"/>
  <c r="R160" i="2"/>
  <c r="S141" i="2"/>
  <c r="S160" i="2"/>
  <c r="T160" i="2"/>
  <c r="Q81" i="2"/>
  <c r="R81" i="2"/>
  <c r="S81" i="2"/>
  <c r="T274" i="1"/>
  <c r="T1" i="1" s="1"/>
  <c r="R274" i="1"/>
  <c r="T81" i="2"/>
  <c r="Q10" i="1"/>
  <c r="S10" i="1"/>
  <c r="R10" i="1"/>
  <c r="Q274" i="1"/>
  <c r="S274" i="1"/>
  <c r="Q47" i="2"/>
  <c r="R47" i="2"/>
  <c r="Q18" i="2"/>
  <c r="S47" i="2"/>
  <c r="O1" i="1"/>
  <c r="P1" i="1"/>
  <c r="Q7" i="2"/>
  <c r="R7" i="2"/>
  <c r="T7" i="2"/>
  <c r="S7" i="2"/>
  <c r="I44" i="8"/>
  <c r="F38" i="8"/>
  <c r="G38" i="8" s="1"/>
  <c r="H38" i="8" s="1"/>
  <c r="I38" i="8" s="1"/>
  <c r="J38" i="8" s="1"/>
  <c r="K38" i="8" s="1"/>
  <c r="F41" i="8"/>
  <c r="G41" i="8" s="1"/>
  <c r="H41" i="8" s="1"/>
  <c r="I41" i="8" s="1"/>
  <c r="J41" i="8" s="1"/>
  <c r="K41" i="8" s="1"/>
  <c r="F44" i="8"/>
  <c r="E44" i="8" s="1"/>
  <c r="Z1" i="1"/>
  <c r="C2" i="11"/>
  <c r="E50" i="8"/>
  <c r="F96" i="8" s="1"/>
  <c r="I50" i="8"/>
  <c r="J66" i="8" s="1"/>
  <c r="E5" i="7"/>
  <c r="S1" i="1" l="1"/>
  <c r="Q1" i="1"/>
  <c r="J89" i="8"/>
  <c r="F107" i="8"/>
  <c r="F108" i="8"/>
  <c r="F106" i="8"/>
  <c r="F105" i="8"/>
  <c r="F104" i="8"/>
  <c r="F103" i="8"/>
  <c r="F102" i="8"/>
  <c r="F101" i="8"/>
  <c r="F99" i="8"/>
  <c r="F100" i="8"/>
  <c r="F98" i="8"/>
  <c r="F97" i="8"/>
  <c r="F94" i="8"/>
  <c r="F95" i="8"/>
  <c r="F93" i="8"/>
  <c r="F76" i="8"/>
  <c r="F92" i="8"/>
  <c r="F91" i="8"/>
  <c r="F89" i="8"/>
  <c r="F90" i="8"/>
  <c r="F87" i="8"/>
  <c r="F88" i="8"/>
  <c r="F86" i="8"/>
  <c r="F84" i="8"/>
  <c r="F85" i="8"/>
  <c r="F82" i="8"/>
  <c r="F83" i="8"/>
  <c r="F81" i="8"/>
  <c r="F80" i="8"/>
  <c r="F79" i="8"/>
  <c r="F78" i="8"/>
  <c r="F77" i="8"/>
  <c r="J97" i="8"/>
  <c r="J90" i="8"/>
  <c r="J98" i="8"/>
  <c r="J104" i="8"/>
  <c r="J88" i="8"/>
  <c r="J91" i="8"/>
  <c r="J92" i="8"/>
  <c r="J93" i="8"/>
  <c r="J94" i="8"/>
  <c r="J96" i="8"/>
  <c r="J100" i="8"/>
  <c r="J102" i="8"/>
  <c r="J105" i="8"/>
  <c r="J95" i="8"/>
  <c r="J99" i="8"/>
  <c r="J101" i="8"/>
  <c r="J103" i="8"/>
  <c r="J106" i="8"/>
  <c r="J84" i="8"/>
  <c r="J85" i="8"/>
  <c r="J83" i="8"/>
  <c r="J82" i="8"/>
  <c r="J81" i="8"/>
  <c r="J80" i="8"/>
  <c r="J79" i="8"/>
  <c r="J78" i="8"/>
  <c r="J77" i="8"/>
  <c r="J76" i="8"/>
  <c r="J75" i="8"/>
  <c r="J74" i="8"/>
  <c r="J73" i="8"/>
  <c r="J72" i="8"/>
  <c r="J87" i="8"/>
  <c r="J86" i="8"/>
  <c r="J71" i="8"/>
  <c r="J60" i="8"/>
  <c r="J67" i="8"/>
  <c r="J51" i="8"/>
  <c r="J68" i="8"/>
  <c r="J52" i="8"/>
  <c r="J69" i="8"/>
  <c r="J53" i="8"/>
  <c r="J70" i="8"/>
  <c r="J54" i="8"/>
  <c r="J55" i="8"/>
  <c r="J56" i="8"/>
  <c r="J57" i="8"/>
  <c r="J58" i="8"/>
  <c r="J59" i="8"/>
  <c r="J61" i="8"/>
  <c r="J62" i="8"/>
  <c r="J63" i="8"/>
  <c r="J64" i="8"/>
  <c r="J65" i="8"/>
  <c r="R53" i="1"/>
  <c r="R1" i="1" s="1"/>
  <c r="C9" i="4"/>
  <c r="C21" i="4"/>
  <c r="C16" i="4"/>
  <c r="C27" i="4"/>
  <c r="C23" i="4"/>
  <c r="C25" i="4"/>
  <c r="C26" i="4"/>
  <c r="C17" i="4"/>
  <c r="C13" i="4"/>
  <c r="C24" i="4"/>
  <c r="C14" i="4"/>
  <c r="C22" i="4"/>
  <c r="C15" i="4"/>
  <c r="C19" i="4"/>
  <c r="C28" i="4"/>
  <c r="C11" i="4" l="1"/>
  <c r="C3" i="4" s="1"/>
  <c r="A4" i="2"/>
  <c r="A5" i="2" l="1"/>
  <c r="E412" i="5"/>
  <c r="E402" i="5"/>
  <c r="E320" i="5"/>
  <c r="E313" i="5"/>
  <c r="A6" i="2" l="1"/>
  <c r="A7" i="2" s="1"/>
  <c r="A8" i="2" s="1"/>
  <c r="A9" i="2" s="1"/>
  <c r="A10" i="2" s="1"/>
  <c r="A11" i="2" s="1"/>
  <c r="A12" i="2" s="1"/>
  <c r="A13" i="2" s="1"/>
  <c r="A14" i="2" s="1"/>
  <c r="A15" i="2" s="1"/>
  <c r="AA43" i="1"/>
  <c r="AZ2" i="1"/>
  <c r="BA2" i="1" s="1"/>
  <c r="BB2" i="1" s="1"/>
  <c r="BC2" i="1" s="1"/>
  <c r="BD2" i="1" s="1"/>
  <c r="BE2" i="1" s="1"/>
  <c r="BF2" i="1" s="1"/>
  <c r="BG2" i="1" s="1"/>
  <c r="BH2" i="1" s="1"/>
  <c r="BI2" i="1" s="1"/>
  <c r="BJ2" i="1" s="1"/>
  <c r="BK2" i="1" s="1"/>
  <c r="BL2" i="1" s="1"/>
  <c r="BM2" i="1" s="1"/>
  <c r="BN2" i="1" s="1"/>
  <c r="BO2" i="1" s="1"/>
  <c r="F61" i="8" l="1"/>
  <c r="F57" i="8"/>
  <c r="F66" i="8"/>
  <c r="F63" i="8"/>
  <c r="F52" i="8"/>
  <c r="F65" i="8"/>
  <c r="F67" i="8"/>
  <c r="F58" i="8"/>
  <c r="F56" i="8"/>
  <c r="F53" i="8"/>
  <c r="F68" i="8"/>
  <c r="F60" i="8"/>
  <c r="F59" i="8"/>
  <c r="F62" i="8"/>
  <c r="F55" i="8"/>
  <c r="F54" i="8"/>
  <c r="F69" i="8"/>
  <c r="F72" i="8"/>
  <c r="F71" i="8"/>
  <c r="F73" i="8"/>
  <c r="F70" i="8"/>
  <c r="F74" i="8"/>
  <c r="F64" i="8"/>
  <c r="F51" i="8"/>
  <c r="F75" i="8"/>
  <c r="A16" i="2" l="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5" i="2"/>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tc={D9C97D89-C43E-458D-9B15-7D2957C13EFF}</author>
    <author>tc={571E6B33-9F0B-402B-B6AF-3026724B96B6}</author>
    <author>tc={65A0F6CF-356C-4A90-96D2-FFE35AFE2E62}</author>
    <author>tc={267E6B37-EE49-4656-A61F-E5E2C45BA32F}</author>
    <author>tc={721B1AFB-E9A3-4533-AB62-8AC4F0C5C7EA}</author>
    <author>tc={7FEA0874-05A1-4358-97A8-F1716B083A3C}</author>
    <author>tc={C57C4AE4-C7A6-45D6-8459-B02B625F744C}</author>
    <author>tc={5FFF1DFD-1473-4377-8704-065F0D15D1EE}</author>
    <author>tc={2E0E738E-9543-4D64-97D5-6E243499B4FE}</author>
    <author>tc={B533632F-6233-41C2-A96C-9A84235E21C6}</author>
    <author>tc={6DD935C6-2C91-45A7-BEFE-32A4846705CA}</author>
    <author>tc={4762A1A1-5314-4304-962C-F1489B64BA4B}</author>
    <author>tc={78BA4497-CABC-449B-9F46-33176033C6E5}</author>
    <author>tc={50685B42-1DEF-4F03-B165-0B3BE51AA4D4}</author>
    <author>tc={666D69F6-2D40-4CB7-84DC-1E7169651672}</author>
    <author>tc={39626C2C-72BA-4875-ADE4-BF441F47D12A}</author>
    <author>tc={9C0BC53A-D4F9-4001-B04C-A7CC444E9E9C}</author>
    <author>tc={F9DD81B8-628A-4A9E-BC12-E1255C9A8CCA}</author>
    <author>tc={E048C19F-D705-4E55-8077-64B82697CDD4}</author>
    <author>tc={4B0FBDB2-AA02-4843-9D9F-0D30F03384DC}</author>
    <author>tc={689AFD1B-0493-4946-95A3-14CCCEF5FF87}</author>
    <author>tc={3A67D951-8F28-403E-9ED5-DD0E9C0A5755}</author>
    <author>tc={7078D910-2410-4063-917F-655A64741A2C}</author>
    <author>tc={2F28B782-6183-40A8-8782-3335487023E5}</author>
    <author>tc={FAEF1756-04A9-4757-BFD3-F44787E0777A}</author>
    <author>tc={12EE409F-9408-40CD-AC88-BA5E6FB9C68E}</author>
    <author>tc={90A697D4-EE61-4415-874F-8D312D55A75F}</author>
    <author>tc={C684003E-9273-4FA7-9805-9AE377D254D9}</author>
    <author>tc={0B58D19C-010D-40F0-AD20-E288FF6DA125}</author>
    <author>tc={7F716EA0-1B25-4893-A936-13BB135D38E2}</author>
    <author>tc={A64FBD4E-3404-47A5-8666-77C4F6F6B281}</author>
    <author>tc={FA1797E3-12C9-4242-89BA-F3EE55036D35}</author>
    <author>tc={540071C9-FCB0-4EFA-9577-D318DA9F7E46}</author>
    <author>tc={57D3A232-FFC3-4C52-869F-8BFA33CC07FA}</author>
    <author>tc={2667FB6A-A1C7-4C95-B5ED-B5DA9330F30F}</author>
    <author>tc={619F1106-B84E-4DD6-86D3-7F468B3D87E4}</author>
    <author>tc={006D0B08-32B3-47C6-B22C-F59B0380A6F0}</author>
    <author>tc={3CB3EFBB-CB46-4B1B-812C-7F9B07570E6C}</author>
    <author>tc={D1546FBF-7C4F-4E94-B563-4CCB3E1B8736}</author>
    <author>tc={B517B0B2-F4A8-4CB0-BB0F-7B9E756244C1}</author>
    <author>tc={F355EB3E-9E88-409A-BAA7-F7700ADC1CED}</author>
    <author>tc={FC83B71D-108F-4F7C-AACE-7D707C040661}</author>
    <author>tc={5EE6D981-407D-43C7-891E-DD5D6313B6C2}</author>
    <author>tc={4316D792-5C38-4F53-8D5E-8C1DB1BA5D68}</author>
    <author>tc={9D445C88-145F-4783-A5E0-0C8374A9DCCD}</author>
    <author>tc={C56C29E9-3627-483A-AD4A-CB0F5A7BD9BB}</author>
    <author>tc={08C5E9FA-992F-498E-9E06-A0017BC54B04}</author>
    <author>tc={5984E514-1D34-4E6B-8131-2A731C83E120}</author>
    <author>tc={A02E79FF-BEC7-4AE4-8AF8-8477983F8ED0}</author>
    <author>tc={3C2FD31E-0440-4EF2-B847-995FC1A7EF7E}</author>
    <author>tc={62D2835D-0C81-46A4-9A2B-2062F3D3F475}</author>
    <author>tc={25881FCC-9DB8-46BB-84B5-E0213DC81680}</author>
    <author>tc={0B39276B-5910-483C-B5CE-55ED727136F5}</author>
    <author>tc={5AE4F260-DC05-4379-BC9A-6A961815A290}</author>
    <author>tc={63FA626B-AFAA-4B7A-9305-E93391B21D7A}</author>
    <author>tc={4CF45688-4BFB-4CE1-A8FC-448BE0DEB90E}</author>
    <author>tc={9F4272BE-58E0-4718-943F-C9414971DDAF}</author>
    <author>tc={BB3175CD-DC66-42FD-AC51-9C99BF71F0CD}</author>
    <author>tc={2453F15D-41DA-4E17-BAFB-4394D01025CD}</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tc={3BFF8831-5FC4-4D85-A902-6E8F2F01E8F9}</author>
  </authors>
  <commentList>
    <comment ref="D4" authorId="0"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
142.7B including non-HFs
89.6B as of 2024</t>
      </text>
    </comment>
    <comment ref="X4" authorId="1"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Q4" authorId="2"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R4" authorId="3"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R5" authorId="4"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D6" authorId="5"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
67.467B?
67.895B as of 12/31/2024</t>
      </text>
    </comment>
    <comment ref="P6" authorId="6"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Q6" authorId="7" shapeId="0" xr:uid="{5FFF1DFD-1473-4377-8704-065F0D15D1EE}">
      <text>
        <t>[Threaded comment]
Your version of Excel allows you to read this threaded comment; however, any edits to it will get removed if the file is opened in a newer version of Excel. Learn more: https://go.microsoft.com/fwlink/?linkid=870924
Comment:
    234.1B with options</t>
      </text>
    </comment>
    <comment ref="R6" authorId="8"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S6" authorId="9" shapeId="0" xr:uid="{B533632F-6233-41C2-A96C-9A84235E21C6}">
      <text>
        <t>[Threaded comment]
Your version of Excel allows you to read this threaded comment; however, any edits to it will get removed if the file is opened in a newer version of Excel. Learn more: https://go.microsoft.com/fwlink/?linkid=870924
Comment:
    210.9B with puts/calls</t>
      </text>
    </comment>
    <comment ref="T6" authorId="10" shapeId="0" xr:uid="{6DD935C6-2C91-45A7-BEFE-32A4846705CA}">
      <text>
        <t>[Threaded comment]
Your version of Excel allows you to read this threaded comment; however, any edits to it will get removed if the file is opened in a newer version of Excel. Learn more: https://go.microsoft.com/fwlink/?linkid=870924
Comment:
    204B with puts/calls</t>
      </text>
    </comment>
    <comment ref="P7" authorId="11"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Q7" authorId="12" shapeId="0" xr:uid="{78BA4497-CABC-449B-9F46-33176033C6E5}">
      <text>
        <t>[Threaded comment]
Your version of Excel allows you to read this threaded comment; however, any edits to it will get removed if the file is opened in a newer version of Excel. Learn more: https://go.microsoft.com/fwlink/?linkid=870924
Comment:
    518.5B with options</t>
      </text>
    </comment>
    <comment ref="R7" authorId="13"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S7" authorId="14" shapeId="0" xr:uid="{666D69F6-2D40-4CB7-84DC-1E7169651672}">
      <text>
        <t>[Threaded comment]
Your version of Excel allows you to read this threaded comment; however, any edits to it will get removed if the file is opened in a newer version of Excel. Learn more: https://go.microsoft.com/fwlink/?linkid=870924
Comment:
    518.3B with puts and calls</t>
      </text>
    </comment>
    <comment ref="T7" authorId="15" shapeId="0" xr:uid="{39626C2C-72BA-4875-ADE4-BF441F47D12A}">
      <text>
        <t>[Threaded comment]
Your version of Excel allows you to read this threaded comment; however, any edits to it will get removed if the file is opened in a newer version of Excel. Learn more: https://go.microsoft.com/fwlink/?linkid=870924
Comment:
    577.866B with calls/puts</t>
      </text>
    </comment>
    <comment ref="M9" authorId="16" shapeId="0" xr:uid="{9C0BC53A-D4F9-4001-B04C-A7CC444E9E9C}">
      <text>
        <t>[Threaded comment]
Your version of Excel allows you to read this threaded comment; however, any edits to it will get removed if the file is opened in a newer version of Excel. Learn more: https://go.microsoft.com/fwlink/?linkid=870924
Comment:
    93.405B without puts/calls</t>
      </text>
    </comment>
    <comment ref="N9" authorId="17" shapeId="0" xr:uid="{F9DD81B8-628A-4A9E-BC12-E1255C9A8CCA}">
      <text>
        <t>[Threaded comment]
Your version of Excel allows you to read this threaded comment; however, any edits to it will get removed if the file is opened in a newer version of Excel. Learn more: https://go.microsoft.com/fwlink/?linkid=870924
Comment:
    97.897B without calls/puts</t>
      </text>
    </comment>
    <comment ref="O9" authorId="18" shapeId="0" xr:uid="{E048C19F-D705-4E55-8077-64B82697CDD4}">
      <text>
        <t>[Threaded comment]
Your version of Excel allows you to read this threaded comment; however, any edits to it will get removed if the file is opened in a newer version of Excel. Learn more: https://go.microsoft.com/fwlink/?linkid=870924
Comment:
    95.784B without calls/puts</t>
      </text>
    </comment>
    <comment ref="P9" authorId="19"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Q9" authorId="20" shapeId="0" xr:uid="{689AFD1B-0493-4946-95A3-14CCCEF5FF87}">
      <text>
        <t>[Threaded comment]
Your version of Excel allows you to read this threaded comment; however, any edits to it will get removed if the file is opened in a newer version of Excel. Learn more: https://go.microsoft.com/fwlink/?linkid=870924
Comment:
    116.847B without puts/calls</t>
      </text>
    </comment>
    <comment ref="R9" authorId="21"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S9" authorId="22" shapeId="0" xr:uid="{7078D910-2410-4063-917F-655A64741A2C}">
      <text>
        <t>[Threaded comment]
Your version of Excel allows you to read this threaded comment; however, any edits to it will get removed if the file is opened in a newer version of Excel. Learn more: https://go.microsoft.com/fwlink/?linkid=870924
Comment:
    116.492B without puts/calls</t>
      </text>
    </comment>
    <comment ref="T9" authorId="23" shapeId="0" xr:uid="{2F28B782-6183-40A8-8782-3335487023E5}">
      <text>
        <t>[Threaded comment]
Your version of Excel allows you to read this threaded comment; however, any edits to it will get removed if the file is opened in a newer version of Excel. Learn more: https://go.microsoft.com/fwlink/?linkid=870924
Comment:
    136B without puts/calls</t>
      </text>
    </comment>
    <comment ref="AA9" authorId="24" shapeId="0" xr:uid="{FAEF1756-04A9-4757-BFD3-F44787E0777A}">
      <text>
        <t>[Threaded comment]
Your version of Excel allows you to read this threaded comment; however, any edits to it will get removed if the file is opened in a newer version of Excel. Learn more: https://go.microsoft.com/fwlink/?linkid=870924
Comment:
    Oculus 13% since 2004 inception, no down years</t>
      </text>
    </comment>
    <comment ref="B10" authorId="25" shapeId="0" xr:uid="{12EE409F-9408-40CD-AC88-BA5E6FB9C68E}">
      <text>
        <t>[Threaded comment]
Your version of Excel allows you to read this threaded comment; however, any edits to it will get removed if the file is opened in a newer version of Excel. Learn more: https://go.microsoft.com/fwlink/?linkid=870924
Comment:
    Two Sigma Advisers, LP?</t>
      </text>
    </comment>
    <comment ref="D10" authorId="26" shapeId="0" xr:uid="{90A697D4-EE61-4415-874F-8D312D55A75F}">
      <text>
        <t>[Threaded comment]
Your version of Excel allows you to read this threaded comment; however, any edits to it will get removed if the file is opened in a newer version of Excel. Learn more: https://go.microsoft.com/fwlink/?linkid=870924
Comment:
    64B according to Bloomberg 11/21/24
60B in press release 8/28/2024</t>
      </text>
    </comment>
    <comment ref="P11" authorId="27"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11" authorId="28"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D13" authorId="29" shapeId="0" xr:uid="{7F716EA0-1B25-4893-A936-13BB135D38E2}">
      <text>
        <t>[Threaded comment]
Your version of Excel allows you to read this threaded comment; however, any edits to it will get removed if the file is opened in a newer version of Excel. Learn more: https://go.microsoft.com/fwlink/?linkid=870924
Comment:
    14B mutual funds?
Had 100B but probably not accurate</t>
      </text>
    </comment>
    <comment ref="P13" authorId="30"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P14" authorId="31"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Q14" authorId="32" shapeId="0" xr:uid="{540071C9-FCB0-4EFA-9577-D318DA9F7E46}">
      <text>
        <t>[Threaded comment]
Your version of Excel allows you to read this threaded comment; however, any edits to it will get removed if the file is opened in a newer version of Excel. Learn more: https://go.microsoft.com/fwlink/?linkid=870924
Comment:
    Cubist files its own 13F with 17.6B</t>
      </text>
    </comment>
    <comment ref="R14" authorId="33"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
14.7B Cubist</t>
      </text>
    </comment>
    <comment ref="S14" authorId="34" shapeId="0" xr:uid="{2667FB6A-A1C7-4C95-B5ED-B5DA9330F30F}">
      <text>
        <t>[Threaded comment]
Your version of Excel allows you to read this threaded comment; however, any edits to it will get removed if the file is opened in a newer version of Excel. Learn more: https://go.microsoft.com/fwlink/?linkid=870924
Comment:
    16.3B Cubist</t>
      </text>
    </comment>
    <comment ref="D15" authorId="35"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
Had 64B but probably inaccurate</t>
      </text>
    </comment>
    <comment ref="P15" authorId="36"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15" authorId="37"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S15" authorId="38" shapeId="0" xr:uid="{D1546FBF-7C4F-4E94-B563-4CCB3E1B8736}">
      <text>
        <t>[Threaded comment]
Your version of Excel allows you to read this threaded comment; however, any edits to it will get removed if the file is opened in a newer version of Excel. Learn more: https://go.microsoft.com/fwlink/?linkid=870924
Comment:
    82.1B with options</t>
      </text>
    </comment>
    <comment ref="P16" authorId="39"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Q16" authorId="40" shapeId="0" xr:uid="{F355EB3E-9E88-409A-BAA7-F7700ADC1CED}">
      <text>
        <t>[Threaded comment]
Your version of Excel allows you to read this threaded comment; however, any edits to it will get removed if the file is opened in a newer version of Excel. Learn more: https://go.microsoft.com/fwlink/?linkid=870924
Comment:
    575.9B with options</t>
      </text>
    </comment>
    <comment ref="R16" authorId="41"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S16" authorId="42" shapeId="0" xr:uid="{5EE6D981-407D-43C7-891E-DD5D6313B6C2}">
      <text>
        <t>[Threaded comment]
Your version of Excel allows you to read this threaded comment; however, any edits to it will get removed if the file is opened in a newer version of Excel. Learn more: https://go.microsoft.com/fwlink/?linkid=870924
Comment:
    572B with puts/calls</t>
      </text>
    </comment>
    <comment ref="T16" authorId="43" shapeId="0" xr:uid="{4316D792-5C38-4F53-8D5E-8C1DB1BA5D68}">
      <text>
        <t>[Threaded comment]
Your version of Excel allows you to read this threaded comment; however, any edits to it will get removed if the file is opened in a newer version of Excel. Learn more: https://go.microsoft.com/fwlink/?linkid=870924
Comment:
    662B with calls/puts</t>
      </text>
    </comment>
    <comment ref="D17" authorId="44" shapeId="0" xr:uid="{9D445C88-145F-4783-A5E0-0C8374A9DCCD}">
      <text>
        <t>[Threaded comment]
Your version of Excel allows you to read this threaded comment; however, any edits to it will get removed if the file is opened in a newer version of Excel. Learn more: https://go.microsoft.com/fwlink/?linkid=870924
Comment:
    Employee equity at YE23
17.7B at 2022
14.1B at 2021
8.8B at 2020
3.8B at 2019
3.3B at 2018
2.5B at 2017
2.2B at 2016</t>
      </text>
    </comment>
    <comment ref="P17" authorId="45"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Q17" authorId="46" shapeId="0" xr:uid="{08C5E9FA-992F-498E-9E06-A0017BC54B04}">
      <text>
        <t>[Threaded comment]
Your version of Excel allows you to read this threaded comment; however, any edits to it will get removed if the file is opened in a newer version of Excel. Learn more: https://go.microsoft.com/fwlink/?linkid=870924
Comment:
    478.4B with options</t>
      </text>
    </comment>
    <comment ref="R17" authorId="47"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S17" authorId="48" shapeId="0" xr:uid="{A02E79FF-BEC7-4AE4-8AF8-8477983F8ED0}">
      <text>
        <t>[Threaded comment]
Your version of Excel allows you to read this threaded comment; however, any edits to it will get removed if the file is opened in a newer version of Excel. Learn more: https://go.microsoft.com/fwlink/?linkid=870924
Comment:
    453.3B without puts/calls</t>
      </text>
    </comment>
    <comment ref="T17" authorId="49" shapeId="0" xr:uid="{3C2FD31E-0440-4EF2-B847-995FC1A7EF7E}">
      <text>
        <t>[Threaded comment]
Your version of Excel allows you to read this threaded comment; however, any edits to it will get removed if the file is opened in a newer version of Excel. Learn more: https://go.microsoft.com/fwlink/?linkid=870924
Comment:
    453B with puts/calls</t>
      </text>
    </comment>
    <comment ref="D19" authorId="50" shapeId="0" xr:uid="{62D2835D-0C81-46A4-9A2B-2062F3D3F475}">
      <text>
        <t>[Threaded comment]
Your version of Excel allows you to read this threaded comment; however, any edits to it will get removed if the file is opened in a newer version of Excel. Learn more: https://go.microsoft.com/fwlink/?linkid=870924
Comment:
    11.5B quant, 6.1B discretionary</t>
      </text>
    </comment>
    <comment ref="P20" authorId="51"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20" authorId="52"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R21" authorId="53"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P22" authorId="54"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22" authorId="55"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AA22" authorId="56" shapeId="0" xr:uid="{9F4272BE-58E0-4718-943F-C9414971DDAF}">
      <text>
        <t>[Threaded comment]
Your version of Excel allows you to read this threaded comment; however, any edits to it will get removed if the file is opened in a newer version of Excel. Learn more: https://go.microsoft.com/fwlink/?linkid=870924
Comment:
    12% for Atlas Enhanced since 2006</t>
      </text>
    </comment>
    <comment ref="R41" authorId="57"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AJ42" authorId="58" shapeId="0" xr:uid="{2453F15D-41DA-4E17-BAFB-4394D01025CD}">
      <text>
        <t>[Threaded comment]
Your version of Excel allows you to read this threaded comment; however, any edits to it will get removed if the file is opened in a newer version of Excel. Learn more: https://go.microsoft.com/fwlink/?linkid=870924
Comment:
    Includes Matrix Capital Markets</t>
      </text>
    </comment>
    <comment ref="D43" authorId="59"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N43" authorId="60"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44" authorId="61"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46" authorId="62"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46" authorId="63"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47" authorId="64"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47" authorId="65"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48" authorId="66"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48" authorId="67"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51" authorId="68"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52" authorId="69"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56" authorId="70"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84" authorId="71"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AO91" authorId="72" shapeId="0" xr:uid="{3BFF8831-5FC4-4D85-A902-6E8F2F01E8F9}">
      <text>
        <t>[Threaded comment]
Your version of Excel allows you to read this threaded comment; however, any edits to it will get removed if the file is opened in a newer version of Excel. Learn more: https://go.microsoft.com/fwlink/?linkid=870924
Comment:
    3B AUM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tc={651DC672-BB68-4FD4-94BD-1C54BA248750}</author>
    <author>tc={D031DFD9-B21C-492D-955C-8E72464ED0B3}</author>
    <author>tc={628EF19F-89CA-41B6-94B3-CE9A844B2754}</author>
    <author>tc={424D3F70-4877-4BF9-85FA-07C50E34EAD5}</author>
    <author>tc={AA579241-5607-41D6-9E2E-17F2AB0AFD42}</author>
  </authors>
  <commentList>
    <comment ref="U7" authorId="0" shapeId="0" xr:uid="{651DC672-BB68-4FD4-94BD-1C54BA248750}">
      <text>
        <t>[Threaded comment]
Your version of Excel allows you to read this threaded comment; however, any edits to it will get removed if the file is opened in a newer version of Excel. Learn more: https://go.microsoft.com/fwlink/?linkid=870924
Comment:
    SC US (TTGP), LTD</t>
      </text>
    </comment>
    <comment ref="C9" authorId="1"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2"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3"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4"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<sst xmlns="http://schemas.openxmlformats.org/spreadsheetml/2006/main" count="3909" uniqueCount="2948">
  <si>
    <t>Name</t>
  </si>
  <si>
    <t>Renaissance</t>
  </si>
  <si>
    <t>Bridgewater</t>
  </si>
  <si>
    <t>Point 72</t>
  </si>
  <si>
    <t>Citadel</t>
  </si>
  <si>
    <t>Millennium</t>
  </si>
  <si>
    <t>Balyasny</t>
  </si>
  <si>
    <t>Q121</t>
  </si>
  <si>
    <t>Q221</t>
  </si>
  <si>
    <t>Q321</t>
  </si>
  <si>
    <t>Q421</t>
  </si>
  <si>
    <t>Q122</t>
  </si>
  <si>
    <t>Q322</t>
  </si>
  <si>
    <t>Q222</t>
  </si>
  <si>
    <t>Q422</t>
  </si>
  <si>
    <t>Manager</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</si>
  <si>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</si>
  <si>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</si>
  <si>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</si>
  <si>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</si>
  <si>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</si>
  <si>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</si>
  <si>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</si>
  <si>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</si>
  <si>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</si>
  <si>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</si>
  <si>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</si>
  <si>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</si>
  <si>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</si>
  <si>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</si>
  <si>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</si>
  <si>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</si>
  <si>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</si>
  <si>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</si>
  <si>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</si>
  <si>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</si>
  <si>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</si>
  <si>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</si>
  <si>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Berkshire</t>
  </si>
  <si>
    <t>Chase Coleman</t>
  </si>
  <si>
    <t>Tiger Global</t>
  </si>
  <si>
    <t>Healthcor</t>
  </si>
  <si>
    <t>Phillipe Lafonte</t>
  </si>
  <si>
    <t>Lee Ainslie III</t>
  </si>
  <si>
    <t>Rob Pohly</t>
  </si>
  <si>
    <t>Scopia</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</si>
  <si>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</si>
  <si>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</si>
  <si>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</si>
  <si>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</si>
  <si>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</si>
  <si>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</si>
  <si>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</si>
  <si>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</si>
  <si>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</si>
  <si>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</si>
  <si>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</si>
  <si>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</si>
  <si>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</si>
  <si>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</si>
  <si>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</si>
  <si>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</si>
  <si>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</si>
  <si>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</si>
  <si>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</si>
  <si>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</si>
  <si>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</si>
  <si>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</si>
  <si>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</si>
  <si>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</si>
  <si>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</si>
  <si>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</si>
  <si>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</si>
  <si>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</si>
  <si>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</si>
  <si>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</si>
  <si>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</si>
  <si>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</si>
  <si>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</si>
  <si>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</si>
  <si>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</si>
  <si>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</si>
  <si>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</si>
  <si>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</si>
  <si>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</si>
  <si>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</si>
  <si>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</si>
  <si>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</si>
  <si>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</si>
  <si>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</si>
  <si>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</si>
  <si>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</si>
  <si>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</si>
  <si>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</si>
  <si>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</si>
  <si>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</si>
  <si>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</si>
  <si>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</si>
  <si>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</si>
  <si>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</si>
  <si>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</si>
  <si>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</si>
  <si>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</si>
  <si>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</si>
  <si>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</si>
  <si>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</si>
  <si>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</si>
  <si>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</si>
  <si>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</si>
  <si>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</si>
  <si>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</si>
  <si>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</si>
  <si>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</si>
  <si>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</si>
  <si>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</si>
  <si>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</si>
  <si>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</si>
  <si>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</si>
  <si>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</si>
  <si>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</si>
  <si>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</si>
  <si>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</si>
  <si>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</si>
  <si>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</si>
  <si>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</si>
  <si>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</si>
  <si>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</si>
  <si>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</si>
  <si>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</si>
  <si>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</si>
  <si>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</si>
  <si>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</si>
  <si>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</si>
  <si>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</si>
  <si>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</si>
  <si>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</si>
  <si>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</si>
  <si>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</si>
  <si>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</si>
  <si>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</si>
  <si>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</si>
  <si>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</si>
  <si>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</si>
  <si>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</si>
  <si>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</si>
  <si>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</si>
  <si>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</si>
  <si>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</si>
  <si>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</si>
  <si>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</si>
  <si>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</si>
  <si>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</si>
  <si>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</si>
  <si>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</si>
  <si>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</si>
  <si>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</si>
  <si>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</si>
  <si>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</si>
  <si>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</si>
  <si>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</si>
  <si>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</si>
  <si>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</si>
  <si>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</si>
  <si>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</si>
  <si>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</si>
  <si>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</si>
  <si>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</si>
  <si>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</si>
  <si>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</si>
  <si>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</si>
  <si>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</si>
  <si>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</si>
  <si>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</si>
  <si>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</si>
  <si>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</si>
  <si>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</si>
  <si>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</si>
  <si>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</si>
  <si>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</si>
  <si>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</si>
  <si>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</si>
  <si>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</si>
  <si>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</si>
  <si>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</si>
  <si>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</si>
  <si>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</si>
  <si>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</si>
  <si>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</si>
  <si>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</si>
  <si>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</si>
  <si>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</si>
  <si>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</si>
  <si>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</si>
  <si>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</si>
  <si>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</si>
  <si>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</si>
  <si>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</si>
  <si>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</si>
  <si>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</si>
  <si>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</si>
  <si>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</si>
  <si>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</si>
  <si>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</si>
  <si>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</si>
  <si>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</si>
  <si>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</si>
  <si>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</si>
  <si>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</si>
  <si>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</si>
  <si>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</si>
  <si>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</si>
  <si>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</si>
  <si>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</si>
  <si>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</si>
  <si>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</si>
  <si>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</si>
  <si>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</si>
  <si>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</si>
  <si>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</si>
  <si>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</si>
  <si>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</si>
  <si>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</si>
  <si>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</si>
  <si>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</si>
  <si>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</si>
  <si>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</si>
  <si>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</si>
  <si>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</si>
  <si>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</si>
  <si>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</si>
  <si>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</si>
  <si>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</si>
  <si>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</si>
  <si>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</si>
  <si>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</si>
  <si>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</si>
  <si>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</si>
  <si>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</si>
  <si>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</si>
  <si>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</si>
  <si>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</si>
  <si>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</si>
  <si>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</si>
  <si>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</si>
  <si>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</si>
  <si>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</si>
  <si>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</si>
  <si>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</si>
  <si>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</si>
  <si>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</si>
  <si>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</si>
  <si>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</si>
  <si>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</si>
  <si>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</si>
  <si>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</si>
  <si>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</si>
  <si>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</si>
  <si>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</si>
  <si>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</si>
  <si>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</si>
  <si>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</si>
  <si>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</si>
  <si>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</si>
  <si>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</si>
  <si>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</si>
  <si>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</si>
  <si>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</si>
  <si>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</si>
  <si>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</si>
  <si>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</si>
  <si>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</si>
  <si>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</si>
  <si>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</si>
  <si>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</si>
  <si>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</si>
  <si>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</si>
  <si>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</si>
  <si>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</si>
  <si>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</si>
  <si>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</si>
  <si>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</si>
  <si>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</si>
  <si>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</si>
  <si>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</si>
  <si>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</si>
  <si>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</si>
  <si>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</si>
  <si>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</si>
  <si>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</si>
  <si>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</si>
  <si>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</si>
  <si>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</si>
  <si>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</si>
  <si>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</si>
  <si>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</si>
  <si>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</si>
  <si>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</si>
  <si>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</si>
  <si>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</si>
  <si>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</si>
  <si>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</si>
  <si>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</si>
  <si>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</si>
  <si>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</si>
  <si>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</si>
  <si>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</si>
  <si>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</si>
  <si>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</si>
  <si>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</si>
  <si>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</si>
  <si>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</si>
  <si>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</si>
  <si>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</si>
  <si>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</si>
  <si>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</si>
  <si>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</si>
  <si>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</si>
  <si>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</si>
  <si>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</si>
  <si>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</si>
  <si>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</si>
  <si>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</si>
  <si>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</si>
  <si>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</si>
  <si>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</si>
  <si>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</si>
  <si>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</si>
  <si>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</si>
  <si>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</si>
  <si>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</si>
  <si>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</si>
  <si>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</si>
  <si>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</si>
  <si>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</si>
  <si>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</si>
  <si>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</si>
  <si>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</si>
  <si>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</si>
  <si>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</si>
  <si>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</si>
  <si>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</si>
  <si>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</si>
  <si>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</si>
  <si>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</si>
  <si>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</si>
  <si>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</si>
  <si>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</si>
  <si>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</si>
  <si>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</si>
  <si>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</si>
  <si>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</si>
  <si>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</si>
  <si>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</si>
  <si>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</si>
  <si>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</si>
  <si>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</si>
  <si>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</si>
  <si>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</si>
  <si>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</si>
  <si>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</si>
  <si>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</si>
  <si>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</si>
  <si>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</si>
  <si>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</si>
  <si>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</si>
  <si>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</si>
  <si>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</si>
  <si>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</si>
  <si>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</si>
  <si>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</si>
  <si>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</si>
  <si>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</si>
  <si>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</si>
  <si>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</si>
  <si>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</si>
  <si>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</si>
  <si>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</si>
  <si>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</si>
  <si>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</si>
  <si>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</si>
  <si>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</si>
  <si>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</si>
  <si>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</si>
  <si>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</si>
  <si>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</si>
  <si>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</si>
  <si>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</si>
  <si>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</si>
  <si>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</si>
  <si>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</si>
  <si>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</si>
  <si>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</si>
  <si>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</si>
  <si>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</si>
  <si>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</si>
  <si>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</si>
  <si>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</si>
  <si>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</si>
  <si>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</si>
  <si>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</si>
  <si>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</si>
  <si>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</si>
  <si>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</si>
  <si>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</si>
  <si>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</si>
  <si>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</si>
  <si>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</si>
  <si>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</si>
  <si>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</si>
  <si>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</si>
  <si>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</si>
  <si>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</si>
  <si>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</si>
  <si>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</si>
  <si>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</si>
  <si>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</si>
  <si>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</si>
  <si>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</si>
  <si>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</si>
  <si>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</si>
  <si>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</si>
  <si>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</si>
  <si>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</si>
  <si>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</si>
  <si>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</si>
  <si>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</si>
  <si>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</si>
  <si>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</si>
  <si>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</si>
  <si>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</si>
  <si>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</si>
  <si>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</si>
  <si>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</si>
  <si>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</si>
  <si>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</si>
  <si>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</si>
  <si>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</si>
  <si>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</si>
  <si>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</si>
  <si>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</si>
  <si>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</si>
  <si>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</si>
  <si>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</si>
  <si>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</si>
  <si>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</si>
  <si>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</si>
  <si>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</si>
  <si>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</si>
  <si>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</si>
  <si>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</si>
  <si>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</si>
  <si>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</si>
  <si>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</si>
  <si>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</si>
  <si>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</si>
  <si>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</si>
  <si>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</si>
  <si>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</si>
  <si>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</si>
  <si>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</si>
  <si>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</si>
  <si>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</si>
  <si>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</si>
  <si>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</si>
  <si>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</si>
  <si>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</si>
  <si>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</si>
  <si>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</si>
  <si>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</si>
  <si>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</si>
  <si>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</si>
  <si>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</si>
  <si>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</si>
  <si>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</si>
  <si>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</si>
  <si>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</si>
  <si>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</si>
  <si>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</si>
  <si>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</si>
  <si>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</si>
  <si>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</si>
  <si>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</si>
  <si>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</si>
  <si>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</si>
  <si>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</si>
  <si>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</si>
  <si>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</si>
  <si>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</si>
  <si>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</si>
  <si>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</si>
  <si>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</si>
  <si>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</si>
  <si>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</si>
  <si>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</si>
  <si>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</si>
  <si>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</si>
  <si>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</si>
  <si>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</si>
  <si>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</si>
  <si>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</si>
  <si>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</si>
  <si>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</si>
  <si>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</si>
  <si>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</si>
  <si>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</si>
  <si>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</si>
  <si>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</si>
  <si>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</si>
  <si>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</si>
  <si>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</si>
  <si>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</si>
  <si>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</si>
  <si>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</si>
  <si>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</si>
  <si>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</si>
  <si>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</si>
  <si>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</si>
  <si>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</si>
  <si>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</si>
  <si>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</si>
  <si>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</si>
  <si>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</si>
  <si>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</si>
  <si>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</si>
  <si>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</si>
  <si>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</si>
  <si>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</si>
  <si>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</si>
  <si>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</si>
  <si>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</si>
  <si>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</si>
  <si>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</si>
  <si>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</si>
  <si>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</si>
  <si>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</si>
  <si>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</si>
  <si>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</si>
  <si>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</si>
  <si>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</si>
  <si>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</si>
  <si>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</si>
  <si>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</si>
  <si>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</si>
  <si>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</si>
  <si>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</si>
  <si>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</si>
  <si>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</si>
  <si>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</si>
  <si>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</si>
  <si>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</si>
  <si>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</si>
  <si>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</si>
  <si>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</si>
  <si>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</si>
  <si>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</si>
  <si>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</si>
  <si>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</si>
  <si>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</si>
  <si>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</si>
  <si>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</si>
  <si>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</si>
  <si>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</si>
  <si>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</si>
  <si>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</si>
  <si>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</si>
  <si>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</si>
  <si>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</si>
  <si>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</si>
  <si>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</si>
  <si>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</si>
  <si>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</si>
  <si>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</si>
  <si>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</si>
  <si>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</si>
  <si>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</si>
  <si>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</si>
  <si>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</si>
  <si>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</si>
  <si>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</si>
  <si>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</si>
  <si>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</si>
  <si>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</si>
  <si>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</si>
  <si>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</si>
  <si>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</si>
  <si>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</si>
  <si>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</si>
  <si>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</si>
  <si>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</si>
  <si>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</si>
  <si>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</si>
  <si>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</si>
  <si>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</si>
  <si>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</si>
  <si>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</si>
  <si>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</si>
  <si>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</si>
  <si>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</si>
  <si>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</si>
  <si>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</si>
  <si>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</si>
  <si>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</si>
  <si>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</si>
  <si>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</si>
  <si>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</si>
  <si>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</si>
  <si>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</si>
  <si>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</si>
  <si>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</si>
  <si>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</si>
  <si>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</si>
  <si>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</si>
  <si>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</si>
  <si>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</si>
  <si>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</si>
  <si>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</si>
  <si>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</si>
  <si>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</si>
  <si>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</si>
  <si>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</si>
  <si>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</si>
  <si>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</si>
  <si>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</si>
  <si>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</si>
  <si>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</si>
  <si>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</si>
  <si>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</si>
  <si>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</si>
  <si>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</si>
  <si>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</si>
  <si>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</si>
  <si>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</si>
  <si>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</si>
  <si>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</si>
  <si>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</si>
  <si>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</si>
  <si>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</si>
  <si>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</si>
  <si>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</si>
  <si>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</si>
  <si>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</si>
  <si>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</si>
  <si>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</si>
  <si>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</si>
  <si>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</si>
  <si>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</si>
  <si>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</si>
  <si>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</si>
  <si>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</si>
  <si>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</si>
  <si>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</si>
  <si>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</si>
  <si>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</si>
  <si>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</si>
  <si>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</si>
  <si>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</si>
  <si>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</si>
  <si>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</si>
  <si>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</si>
  <si>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</si>
  <si>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</si>
  <si>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</si>
  <si>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</si>
  <si>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</si>
  <si>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</si>
  <si>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</si>
  <si>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</si>
  <si>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</si>
  <si>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</si>
  <si>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</si>
  <si>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</si>
  <si>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</si>
  <si>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</si>
  <si>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</si>
  <si>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</si>
  <si>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</si>
  <si>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</si>
  <si>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</si>
  <si>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</si>
  <si>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</si>
  <si>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</si>
  <si>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</si>
  <si>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</si>
  <si>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</si>
  <si>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</si>
  <si>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</si>
  <si>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</si>
  <si>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</si>
  <si>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</si>
  <si>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</si>
  <si>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</si>
  <si>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</si>
  <si>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</si>
  <si>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</si>
  <si>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</si>
  <si>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</si>
  <si>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</si>
  <si>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</si>
  <si>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</si>
  <si>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</si>
  <si>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</si>
  <si>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</si>
  <si>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</si>
  <si>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</si>
  <si>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</si>
  <si>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</si>
  <si>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</si>
  <si>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</si>
  <si>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</si>
  <si>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</si>
  <si>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</si>
  <si>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</si>
  <si>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</si>
  <si>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</si>
  <si>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</si>
  <si>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</si>
  <si>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</si>
  <si>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</si>
  <si>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</si>
  <si>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</si>
  <si>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</si>
  <si>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</si>
  <si>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</si>
  <si>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</si>
  <si>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</si>
  <si>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</si>
  <si>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</si>
  <si>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</si>
  <si>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</si>
  <si>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</si>
  <si>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</si>
  <si>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</si>
  <si>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</si>
  <si>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</si>
  <si>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</si>
  <si>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</si>
  <si>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</si>
  <si>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</si>
  <si>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</si>
  <si>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</si>
  <si>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</si>
  <si>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</si>
  <si>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</si>
  <si>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</si>
  <si>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</si>
  <si>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</si>
  <si>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</si>
  <si>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</si>
  <si>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</si>
  <si>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</si>
  <si>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</si>
  <si>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</si>
  <si>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</si>
  <si>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</si>
  <si>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</si>
  <si>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</si>
  <si>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</si>
  <si>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</si>
  <si>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</si>
  <si>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</si>
  <si>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</si>
  <si>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</si>
  <si>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</si>
  <si>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</si>
  <si>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</si>
  <si>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</si>
  <si>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</si>
  <si>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</si>
  <si>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</si>
  <si>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</si>
  <si>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</si>
  <si>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</si>
  <si>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</si>
  <si>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</si>
  <si>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</si>
  <si>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</si>
  <si>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</si>
  <si>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</si>
  <si>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</si>
  <si>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</si>
  <si>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</si>
  <si>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</si>
  <si>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</si>
  <si>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</si>
  <si>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</si>
  <si>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</si>
  <si>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</si>
  <si>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</si>
  <si>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</si>
  <si>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</si>
  <si>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</si>
  <si>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</si>
  <si>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</si>
  <si>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</si>
  <si>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</si>
  <si>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</si>
  <si>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</si>
  <si>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</si>
  <si>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</si>
  <si>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</si>
  <si>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</si>
  <si>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</si>
  <si>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</si>
  <si>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</si>
  <si>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</si>
  <si>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</si>
  <si>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</si>
  <si>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</si>
  <si>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</si>
  <si>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</si>
  <si>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</si>
  <si>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</si>
  <si>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</si>
  <si>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</si>
  <si>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</si>
  <si>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</si>
  <si>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</si>
  <si>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</si>
  <si>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</si>
  <si>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</si>
  <si>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</si>
  <si>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</si>
  <si>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</si>
  <si>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</si>
  <si>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</si>
  <si>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</si>
  <si>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</si>
  <si>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</si>
  <si>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</si>
  <si>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</si>
  <si>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</si>
  <si>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</si>
  <si>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</si>
  <si>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</si>
  <si>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</si>
  <si>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</si>
  <si>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</si>
  <si>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</si>
  <si>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</si>
  <si>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</si>
  <si>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</si>
  <si>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</si>
  <si>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</si>
  <si>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</si>
  <si>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</si>
  <si>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</si>
  <si>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</si>
  <si>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</si>
  <si>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</si>
  <si>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</si>
  <si>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</si>
  <si>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</si>
  <si>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</si>
  <si>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</si>
  <si>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</si>
  <si>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</si>
  <si>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</si>
  <si>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</si>
  <si>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</si>
  <si>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</si>
  <si>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</si>
  <si>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</si>
  <si>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</si>
  <si>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</si>
  <si>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</si>
  <si>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</si>
  <si>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</si>
  <si>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</si>
  <si>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</si>
  <si>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</si>
  <si>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</si>
  <si>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</si>
  <si>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</si>
  <si>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</si>
  <si>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</si>
  <si>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</si>
  <si>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</si>
  <si>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</si>
  <si>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</si>
  <si>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</si>
  <si>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</si>
  <si>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</si>
  <si>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</si>
  <si>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</si>
  <si>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</si>
  <si>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</si>
  <si>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</si>
  <si>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</si>
  <si>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</si>
  <si>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</si>
  <si>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</si>
  <si>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</si>
  <si>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</si>
  <si>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</si>
  <si>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</si>
  <si>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</si>
  <si>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</si>
  <si>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</si>
  <si>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</si>
  <si>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</si>
  <si>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</si>
  <si>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</si>
  <si>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</si>
  <si>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</si>
  <si>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</si>
  <si>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</si>
  <si>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</si>
  <si>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</si>
  <si>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</si>
  <si>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</si>
  <si>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</si>
  <si>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</si>
  <si>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</si>
  <si>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</si>
  <si>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</si>
  <si>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</si>
  <si>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</si>
  <si>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</si>
  <si>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</si>
  <si>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</si>
  <si>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</si>
  <si>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</si>
  <si>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</si>
  <si>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</si>
  <si>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</si>
  <si>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</si>
  <si>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</si>
  <si>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</si>
  <si>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</si>
  <si>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</si>
  <si>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</si>
  <si>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</si>
  <si>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</si>
  <si>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</si>
  <si>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</si>
  <si>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</si>
  <si>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</si>
  <si>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</si>
  <si>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</si>
  <si>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</si>
  <si>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</si>
  <si>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</si>
  <si>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</si>
  <si>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</si>
  <si>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</si>
  <si>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</si>
  <si>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</si>
  <si>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</si>
  <si>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</si>
  <si>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</si>
  <si>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</si>
  <si>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</si>
  <si>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</si>
  <si>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</si>
  <si>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</si>
  <si>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</si>
  <si>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</si>
  <si>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</si>
  <si>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</si>
  <si>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</si>
  <si>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</si>
  <si>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</si>
  <si>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</si>
  <si>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</si>
  <si>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</si>
  <si>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</si>
  <si>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</si>
  <si>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</si>
  <si>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</si>
  <si>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</si>
  <si>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</si>
  <si>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</si>
  <si>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</si>
  <si>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</si>
  <si>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</si>
  <si>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</si>
  <si>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</si>
  <si>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</si>
  <si>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</si>
  <si>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</si>
  <si>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</si>
  <si>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</si>
  <si>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</si>
  <si>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</si>
  <si>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</si>
  <si>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</si>
  <si>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</si>
  <si>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</si>
  <si>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</si>
  <si>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</si>
  <si>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</si>
  <si>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</si>
  <si>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</si>
  <si>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</si>
  <si>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</si>
  <si>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</si>
  <si>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</si>
  <si>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</si>
  <si>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</si>
  <si>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</si>
  <si>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</si>
  <si>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</si>
  <si>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</si>
  <si>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</si>
  <si>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</si>
  <si>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</si>
  <si>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</si>
  <si>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</si>
  <si>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</si>
  <si>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</si>
  <si>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</si>
  <si>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</si>
  <si>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</si>
  <si>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</si>
  <si>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</si>
  <si>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</si>
  <si>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</si>
  <si>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</si>
  <si>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</si>
  <si>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</si>
  <si>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</si>
  <si>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</si>
  <si>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</si>
  <si>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</si>
  <si>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</si>
  <si>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</si>
  <si>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</si>
  <si>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</si>
  <si>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</si>
  <si>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</si>
  <si>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</si>
  <si>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</si>
  <si>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</si>
  <si>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</si>
  <si>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</si>
  <si>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</si>
  <si>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</si>
  <si>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</si>
  <si>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</si>
  <si>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</si>
  <si>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</si>
  <si>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</si>
  <si>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</si>
  <si>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</si>
  <si>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</si>
  <si>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</si>
  <si>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</si>
  <si>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</si>
  <si>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</si>
  <si>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</si>
  <si>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</si>
  <si>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</si>
  <si>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</si>
  <si>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</si>
  <si>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</si>
  <si>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</si>
  <si>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</si>
  <si>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</si>
  <si>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</si>
  <si>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</si>
  <si>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</si>
  <si>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</si>
  <si>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</si>
  <si>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</si>
  <si>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</si>
  <si>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</si>
  <si>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</si>
  <si>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</si>
  <si>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</si>
  <si>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</si>
  <si>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</si>
  <si>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</si>
  <si>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</si>
  <si>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</si>
  <si>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</si>
  <si>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</si>
  <si>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</si>
  <si>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</si>
  <si>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</si>
  <si>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</si>
  <si>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</si>
  <si>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</si>
  <si>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</si>
  <si>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</si>
  <si>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</si>
  <si>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</si>
  <si>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</si>
  <si>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</si>
  <si>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</si>
  <si>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</si>
  <si>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</si>
  <si>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</si>
  <si>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</si>
  <si>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</si>
  <si>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</si>
  <si>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</si>
  <si>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</si>
  <si>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</si>
  <si>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</si>
  <si>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</si>
  <si>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</si>
  <si>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</si>
  <si>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</si>
  <si>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</si>
  <si>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</si>
  <si>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</si>
  <si>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</si>
  <si>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</si>
  <si>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</si>
  <si>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</si>
  <si>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</si>
  <si>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</si>
  <si>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</si>
  <si>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</si>
  <si>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</si>
  <si>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</si>
  <si>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</si>
  <si>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</si>
  <si>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</si>
  <si>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</si>
  <si>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</si>
  <si>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</si>
  <si>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</si>
  <si>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</si>
  <si>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</si>
  <si>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</si>
  <si>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</si>
  <si>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</si>
  <si>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</si>
  <si>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</si>
  <si>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</si>
  <si>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</si>
  <si>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</si>
  <si>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</si>
  <si>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</si>
  <si>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</si>
  <si>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</si>
  <si>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</si>
  <si>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</si>
  <si>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</si>
  <si>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</si>
  <si>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</si>
  <si>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</si>
  <si>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</si>
  <si>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</si>
  <si>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</si>
  <si>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</si>
  <si>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</si>
  <si>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</si>
  <si>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</si>
  <si>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</si>
  <si>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</si>
  <si>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</si>
  <si>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</si>
  <si>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</si>
  <si>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</si>
  <si>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</si>
  <si>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</si>
  <si>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</si>
  <si>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</si>
  <si>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</si>
  <si>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</si>
  <si>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</si>
  <si>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</si>
  <si>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</si>
  <si>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</si>
  <si>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</si>
  <si>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</si>
  <si>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</si>
  <si>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</si>
  <si>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</si>
  <si>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</si>
  <si>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</si>
  <si>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</si>
  <si>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</si>
  <si>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</si>
  <si>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</si>
  <si>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</si>
  <si>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</si>
  <si>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</si>
  <si>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</si>
  <si>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</si>
  <si>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</si>
  <si>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</si>
  <si>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</si>
  <si>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</si>
  <si>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</si>
  <si>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</si>
  <si>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</si>
  <si>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</si>
  <si>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</si>
  <si>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</si>
  <si>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</si>
  <si>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</si>
  <si>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</si>
  <si>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</si>
  <si>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</si>
  <si>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</si>
  <si>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</si>
  <si>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</si>
  <si>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</si>
  <si>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</si>
  <si>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</si>
  <si>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</si>
  <si>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</si>
  <si>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</si>
  <si>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</si>
  <si>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</si>
  <si>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</si>
  <si>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</si>
  <si>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</si>
  <si>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</si>
  <si>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</si>
  <si>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</si>
  <si>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</si>
  <si>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</si>
  <si>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</si>
  <si>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</si>
  <si>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</si>
  <si>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</si>
  <si>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</si>
  <si>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</si>
  <si>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</si>
  <si>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</si>
  <si>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</si>
  <si>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</si>
  <si>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</si>
  <si>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</si>
  <si>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</si>
  <si>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</si>
  <si>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</si>
  <si>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</si>
  <si>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</si>
  <si>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</si>
  <si>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</si>
  <si>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</si>
  <si>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</si>
  <si>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</si>
  <si>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</si>
  <si>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</si>
  <si>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</si>
  <si>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</si>
  <si>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</si>
  <si>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</si>
  <si>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</si>
  <si>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</si>
  <si>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</si>
  <si>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</si>
  <si>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</si>
  <si>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</si>
  <si>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</si>
  <si>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</si>
  <si>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</si>
  <si>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</si>
  <si>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</si>
  <si>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</si>
  <si>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</si>
  <si>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</si>
  <si>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</si>
  <si>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</si>
  <si>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</si>
  <si>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</si>
  <si>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</si>
  <si>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</si>
  <si>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</si>
  <si>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</si>
  <si>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</si>
  <si>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</si>
  <si>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</si>
  <si>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</si>
  <si>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</si>
  <si>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</si>
  <si>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</si>
  <si>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</si>
  <si>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</si>
  <si>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</si>
  <si>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</si>
  <si>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</si>
  <si>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</si>
  <si>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</si>
  <si>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</si>
  <si>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</si>
  <si>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</si>
  <si>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</si>
  <si>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</si>
  <si>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</si>
  <si>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</si>
  <si>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</si>
  <si>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</si>
  <si>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</si>
  <si>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</si>
  <si>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</si>
  <si>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</si>
  <si>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</si>
  <si>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</si>
  <si>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</si>
  <si>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</si>
  <si>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</si>
  <si>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</si>
  <si>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</si>
  <si>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</si>
  <si>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</si>
  <si>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</si>
  <si>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</si>
  <si>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</si>
  <si>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</si>
  <si>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</si>
  <si>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</si>
  <si>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</si>
  <si>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</si>
  <si>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</si>
  <si>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</si>
  <si>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</si>
  <si>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</si>
  <si>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</si>
  <si>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</si>
  <si>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</si>
  <si>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</si>
  <si>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</si>
  <si>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</si>
  <si>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</si>
  <si>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</si>
  <si>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</si>
  <si>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</si>
  <si>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</si>
  <si>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</si>
  <si>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</si>
  <si>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</si>
  <si>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</si>
  <si>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</si>
  <si>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</si>
  <si>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</si>
  <si>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</si>
  <si>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</si>
  <si>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</si>
  <si>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</si>
  <si>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</si>
  <si>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</si>
  <si>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</si>
  <si>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</si>
  <si>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</si>
  <si>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</si>
  <si>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</si>
  <si>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</si>
  <si>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</si>
  <si>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</si>
  <si>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</si>
  <si>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</si>
  <si>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</si>
  <si>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</si>
  <si>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</si>
  <si>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</si>
  <si>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</si>
  <si>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</si>
  <si>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</si>
  <si>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</si>
  <si>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</si>
  <si>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</si>
  <si>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</si>
  <si>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</si>
  <si>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</si>
  <si>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</si>
  <si>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</si>
  <si>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</si>
  <si>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</si>
  <si>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</si>
  <si>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</si>
  <si>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</si>
  <si>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</si>
  <si>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</si>
  <si>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</si>
  <si>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</si>
  <si>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</si>
  <si>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</si>
  <si>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</si>
  <si>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</si>
  <si>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</si>
  <si>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</si>
  <si>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</si>
  <si>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</si>
  <si>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</si>
  <si>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</si>
  <si>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</si>
  <si>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</si>
  <si>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</si>
  <si>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</si>
  <si>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</si>
  <si>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</si>
  <si>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</si>
  <si>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</si>
  <si>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</si>
  <si>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</si>
  <si>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</si>
  <si>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</si>
  <si>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</si>
  <si>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</si>
  <si>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</si>
  <si>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</si>
  <si>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</si>
  <si>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</si>
  <si>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</si>
  <si>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</si>
  <si>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</si>
  <si>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</si>
  <si>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</si>
  <si>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</si>
  <si>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</si>
  <si>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</si>
  <si>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</si>
  <si>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</si>
  <si>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</si>
  <si>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</si>
  <si>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</si>
  <si>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</si>
  <si>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</si>
  <si>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</si>
  <si>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</si>
  <si>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</si>
  <si>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</si>
  <si>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</si>
  <si>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</si>
  <si>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</si>
  <si>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</si>
  <si>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</si>
  <si>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</si>
  <si>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</si>
  <si>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</si>
  <si>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</si>
  <si>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</si>
  <si>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</si>
  <si>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</si>
  <si>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</si>
  <si>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</si>
  <si>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</si>
  <si>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</si>
  <si>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</si>
  <si>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</si>
  <si>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</si>
  <si>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</si>
  <si>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</si>
  <si>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</si>
  <si>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</si>
  <si>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</si>
  <si>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</si>
  <si>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</si>
  <si>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</si>
  <si>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</si>
  <si>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</si>
  <si>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</si>
  <si>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</si>
  <si>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</si>
  <si>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</si>
  <si>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</si>
  <si>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</si>
  <si>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</si>
  <si>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</si>
  <si>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</si>
  <si>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</si>
  <si>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</si>
  <si>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</si>
  <si>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</si>
  <si>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</si>
  <si>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</si>
  <si>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</si>
  <si>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</si>
  <si>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</si>
  <si>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</si>
  <si>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</si>
  <si>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</si>
  <si>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</si>
  <si>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</si>
  <si>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</si>
  <si>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</si>
  <si>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</si>
  <si>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</si>
  <si>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</si>
  <si>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</si>
  <si>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</si>
  <si>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</si>
  <si>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</si>
  <si>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</si>
  <si>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</si>
  <si>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</si>
  <si>
    <t>Headlands</t>
  </si>
  <si>
    <t>Taula</t>
  </si>
  <si>
    <t>Diego Megia</t>
  </si>
  <si>
    <t>Analog Century</t>
  </si>
  <si>
    <t>Symmetry</t>
  </si>
  <si>
    <t>Chris Hohn</t>
  </si>
  <si>
    <t>AHL: 16.9%</t>
  </si>
  <si>
    <t>David Bunning, employee #6; Daniel LeVine quant</t>
  </si>
  <si>
    <t>Louis Saalkind</t>
  </si>
  <si>
    <t>PA -7.6%</t>
  </si>
  <si>
    <t>AHL 33.2%</t>
  </si>
  <si>
    <t>Slate Path</t>
  </si>
  <si>
    <t>Kerrisdale</t>
  </si>
  <si>
    <t>Anson</t>
  </si>
  <si>
    <t>Southport</t>
  </si>
  <si>
    <t>Valinor</t>
  </si>
  <si>
    <t>Cramer Rosenthal</t>
  </si>
  <si>
    <t>Tower</t>
  </si>
  <si>
    <t>XTX</t>
  </si>
  <si>
    <t>Kingdon</t>
  </si>
  <si>
    <t>Boothbay</t>
  </si>
  <si>
    <t>Louis Bacon</t>
  </si>
  <si>
    <t>Kynam</t>
  </si>
  <si>
    <t>Logos</t>
  </si>
  <si>
    <t>Paulson</t>
  </si>
  <si>
    <t>Mangrove</t>
  </si>
  <si>
    <t>19.18% ABS, +31.40% Directional</t>
  </si>
  <si>
    <t>Members Trust Co</t>
  </si>
  <si>
    <t>Comerica</t>
  </si>
  <si>
    <t>Legacy Financial Group</t>
  </si>
  <si>
    <t>Capital International Investors</t>
  </si>
  <si>
    <t>Capital Research Global</t>
  </si>
  <si>
    <t>Wells Fargo</t>
  </si>
  <si>
    <t>UBS Asset Management</t>
  </si>
  <si>
    <t>Bank of Montreal</t>
  </si>
  <si>
    <t>Mass Financial Services</t>
  </si>
  <si>
    <t>Envestnet</t>
  </si>
  <si>
    <t>Amundi</t>
  </si>
  <si>
    <t>Raymond James</t>
  </si>
  <si>
    <t>Fisher</t>
  </si>
  <si>
    <t>LPL</t>
  </si>
  <si>
    <t>IMC</t>
  </si>
  <si>
    <t>Rise Advisors</t>
  </si>
  <si>
    <t>CTC</t>
  </si>
  <si>
    <t>Optiver</t>
  </si>
  <si>
    <t>Principal Financial Group</t>
  </si>
  <si>
    <t>American Century</t>
  </si>
  <si>
    <t>Citigroup</t>
  </si>
  <si>
    <t>HSBC</t>
  </si>
  <si>
    <t>CALPERS</t>
  </si>
  <si>
    <t>PNC Financial</t>
  </si>
  <si>
    <t>Primecap</t>
  </si>
  <si>
    <t>Neuberger Berman</t>
  </si>
  <si>
    <t>Clearbridge</t>
  </si>
  <si>
    <t>Northwestern Mutual</t>
  </si>
  <si>
    <t>Manufacturers Life Insurance Company</t>
  </si>
  <si>
    <t>TD Asset Management</t>
  </si>
  <si>
    <t>Rhumbline</t>
  </si>
  <si>
    <t>National Pension Service (Korea)</t>
  </si>
  <si>
    <t>Jones Financial</t>
  </si>
  <si>
    <t>Credit Suisse</t>
  </si>
  <si>
    <t>Schroder</t>
  </si>
  <si>
    <t>Victory Capital</t>
  </si>
  <si>
    <t>Mitsubishi UFJ</t>
  </si>
  <si>
    <t>DZ Bank AG</t>
  </si>
  <si>
    <t>Creative Planning</t>
  </si>
  <si>
    <t>New Covenant Trust</t>
  </si>
  <si>
    <t>Stifel</t>
  </si>
  <si>
    <t>National Bank of Canada</t>
  </si>
  <si>
    <t>Lilly Endowment</t>
  </si>
  <si>
    <t>Boston Partners</t>
  </si>
  <si>
    <t>Belvedere</t>
  </si>
  <si>
    <t>Swedbank</t>
  </si>
  <si>
    <t>Brown Advisory</t>
  </si>
  <si>
    <t>California State Teachers</t>
  </si>
  <si>
    <t>US Bancorp</t>
  </si>
  <si>
    <t>SEI Investments</t>
  </si>
  <si>
    <t>Including RJ FSA</t>
  </si>
  <si>
    <t>Allianz</t>
  </si>
  <si>
    <t>HighTower</t>
  </si>
  <si>
    <t>Prudential</t>
  </si>
  <si>
    <t>Includes CS IA</t>
  </si>
  <si>
    <t>Mackenzie</t>
  </si>
  <si>
    <t>Sanders</t>
  </si>
  <si>
    <t>GQG</t>
  </si>
  <si>
    <t>Truist</t>
  </si>
  <si>
    <t>Allspring Global</t>
  </si>
  <si>
    <t>Corient Private Wealth</t>
  </si>
  <si>
    <t>Squarepoint</t>
  </si>
  <si>
    <t>Assenagon</t>
  </si>
  <si>
    <t>Mariner LLC</t>
  </si>
  <si>
    <t>GTS</t>
  </si>
  <si>
    <t>APG Asset</t>
  </si>
  <si>
    <t>CIBC</t>
  </si>
  <si>
    <t>Parallax Volatility</t>
  </si>
  <si>
    <t>Aristotle</t>
  </si>
  <si>
    <t>abrdn</t>
  </si>
  <si>
    <t>Robeco</t>
  </si>
  <si>
    <t>State Board Florida Retirement</t>
  </si>
  <si>
    <t>Nomura</t>
  </si>
  <si>
    <t>Baird</t>
  </si>
  <si>
    <t>Wealth Enhancement</t>
  </si>
  <si>
    <t>First Eagle</t>
  </si>
  <si>
    <t>Financial Engines</t>
  </si>
  <si>
    <t>Bill &amp; Melinda Gates</t>
  </si>
  <si>
    <t>Peak6</t>
  </si>
  <si>
    <t>Including Walleye Trading + Walleye Capital</t>
  </si>
  <si>
    <t>Cerity Partners</t>
  </si>
  <si>
    <t>Mirae</t>
  </si>
  <si>
    <t>Cetera</t>
  </si>
  <si>
    <t>Stat Arb. Includes Two Sigma Investments, Two Sigma Advisers</t>
  </si>
  <si>
    <t>Kayne Anderson</t>
  </si>
  <si>
    <t>Osaic</t>
  </si>
  <si>
    <t>Mastercard Foundation</t>
  </si>
  <si>
    <t>Mirae Asset Global ETFs, Mirae Asset Global Investments</t>
  </si>
  <si>
    <t>WCM</t>
  </si>
  <si>
    <t>Long Only</t>
  </si>
  <si>
    <t>Polen Capital</t>
  </si>
  <si>
    <t>Mercer</t>
  </si>
  <si>
    <t>Includes MUFJ FG, MUFJ Trust &amp; Banking</t>
  </si>
  <si>
    <t>Healthcare of Ontario</t>
  </si>
  <si>
    <t>Korea Investment Corp</t>
  </si>
  <si>
    <t>Newport Trust</t>
  </si>
  <si>
    <t>Royal London Asset Management</t>
  </si>
  <si>
    <t>William Blair</t>
  </si>
  <si>
    <t>ProShare</t>
  </si>
  <si>
    <t>Fayez Sarofim</t>
  </si>
  <si>
    <t>Rockefeller Capital</t>
  </si>
  <si>
    <t>Aviva plc</t>
  </si>
  <si>
    <t>State of Wisconsin</t>
  </si>
  <si>
    <t>Baron/BAMCO</t>
  </si>
  <si>
    <t>Ninety One UK</t>
  </si>
  <si>
    <t>Edgewood</t>
  </si>
  <si>
    <t>AssetMark</t>
  </si>
  <si>
    <t>Sands</t>
  </si>
  <si>
    <t>Zurcher Kantonalbank</t>
  </si>
  <si>
    <t>Group One Trading</t>
  </si>
  <si>
    <t>Including Blair William &amp; Co</t>
  </si>
  <si>
    <t>Fiera Capital</t>
  </si>
  <si>
    <t>AXA</t>
  </si>
  <si>
    <t>First Manhattan</t>
  </si>
  <si>
    <t>Captrust</t>
  </si>
  <si>
    <t>TIAA</t>
  </si>
  <si>
    <t>Wealthfront</t>
  </si>
  <si>
    <t>State of New Jersey Pension Fund D</t>
  </si>
  <si>
    <t>Includes Nomura Holdings, Nomura Asset Management</t>
  </si>
  <si>
    <t>Bank Julius Baer</t>
  </si>
  <si>
    <t>Grantham Mayo</t>
  </si>
  <si>
    <t>Barrow Hanley</t>
  </si>
  <si>
    <t>Vontobel</t>
  </si>
  <si>
    <t>Including Envestnet Portfolio Solutions</t>
  </si>
  <si>
    <t>M&amp;T Bank</t>
  </si>
  <si>
    <t>Hotchkis &amp; Wiley</t>
  </si>
  <si>
    <t>Empower Advisory</t>
  </si>
  <si>
    <t>Rafferty</t>
  </si>
  <si>
    <t>Asset Management One</t>
  </si>
  <si>
    <t>State of Tennessee Treasury</t>
  </si>
  <si>
    <t>Select Equity Group</t>
  </si>
  <si>
    <t>Some L/S</t>
  </si>
  <si>
    <t>M&amp;G</t>
  </si>
  <si>
    <t>Winslow</t>
  </si>
  <si>
    <t>AIG</t>
  </si>
  <si>
    <t>Fifth Third</t>
  </si>
  <si>
    <t>Holocene</t>
  </si>
  <si>
    <t>Los Angeles Capital</t>
  </si>
  <si>
    <t>Eagle Capital</t>
  </si>
  <si>
    <t>Retirement Systems of Alabama</t>
  </si>
  <si>
    <t>Winslow Capital</t>
  </si>
  <si>
    <t>Impax</t>
  </si>
  <si>
    <t>Keybank</t>
  </si>
  <si>
    <t>STRS Ohio</t>
  </si>
  <si>
    <t>Cresset</t>
  </si>
  <si>
    <t>Jacobs Levy</t>
  </si>
  <si>
    <t>NISA</t>
  </si>
  <si>
    <t>Includes PERS Ohio</t>
  </si>
  <si>
    <t>Fundsmith</t>
  </si>
  <si>
    <t>Flossbach</t>
  </si>
  <si>
    <t>Fuller &amp; Thaler</t>
  </si>
  <si>
    <t>Blackstone</t>
  </si>
  <si>
    <t>Diamond Hill</t>
  </si>
  <si>
    <t>Calamos</t>
  </si>
  <si>
    <t>Sustainable Growth Advisers</t>
  </si>
  <si>
    <t>Connor Clark Lunn</t>
  </si>
  <si>
    <t>Westwood Holdings</t>
  </si>
  <si>
    <t>King Luther</t>
  </si>
  <si>
    <t>DNB Asset</t>
  </si>
  <si>
    <t>Westfield</t>
  </si>
  <si>
    <t>Earnest Partners</t>
  </si>
  <si>
    <t>Pathstone</t>
  </si>
  <si>
    <t>Mawer</t>
  </si>
  <si>
    <t>Eisler</t>
  </si>
  <si>
    <t>PanAgora</t>
  </si>
  <si>
    <t>Some hedge funds</t>
  </si>
  <si>
    <t>AustralianSuper</t>
  </si>
  <si>
    <t>KLP Kapital</t>
  </si>
  <si>
    <t>Polar Capital Holdings</t>
  </si>
  <si>
    <t>Glenmede</t>
  </si>
  <si>
    <t>Rathbones</t>
  </si>
  <si>
    <t>Fred Alger</t>
  </si>
  <si>
    <t>Skandinaviska Enskilda Banken AB</t>
  </si>
  <si>
    <t>Wasatch</t>
  </si>
  <si>
    <t>Federation des caisses Desjardins du Quebec</t>
  </si>
  <si>
    <t>Includes Cetera Advisor Networks LLC</t>
  </si>
  <si>
    <t>State of Michigan Retirement</t>
  </si>
  <si>
    <t>HRT (Hudson River)</t>
  </si>
  <si>
    <t>AGF</t>
  </si>
  <si>
    <t>Lido Advisors</t>
  </si>
  <si>
    <t>Prudential plc, Prudential Financial</t>
  </si>
  <si>
    <t>Eagle Asset</t>
  </si>
  <si>
    <t>Bahl &amp; Gaynor</t>
  </si>
  <si>
    <t>Natixis</t>
  </si>
  <si>
    <t>Brooklyn FI</t>
  </si>
  <si>
    <t>The London Company of Virginia</t>
  </si>
  <si>
    <t>Including Bank of Nova Scotia, Scotia Capital</t>
  </si>
  <si>
    <t>Alecta Tjanstepension Omsesidigt</t>
  </si>
  <si>
    <t>Orbis Allan Gray</t>
  </si>
  <si>
    <t>Corebridge</t>
  </si>
  <si>
    <t>Akuna</t>
  </si>
  <si>
    <t>Public Sector Pension Investment Board</t>
  </si>
  <si>
    <t>Metlife</t>
  </si>
  <si>
    <t>Alphinity</t>
  </si>
  <si>
    <t>Kestra Advisory</t>
  </si>
  <si>
    <t>Allworth</t>
  </si>
  <si>
    <t>Harding Loevner</t>
  </si>
  <si>
    <t>Jarislowsky Fraser</t>
  </si>
  <si>
    <t>Davis Selected Advisers</t>
  </si>
  <si>
    <t>Private Advisor Group LLC</t>
  </si>
  <si>
    <t>Davenport</t>
  </si>
  <si>
    <t>Brookfield Corp</t>
  </si>
  <si>
    <t>Champlain Investment</t>
  </si>
  <si>
    <t>Includes APG Asset Management US</t>
  </si>
  <si>
    <t>Candriam</t>
  </si>
  <si>
    <t>Some hedge.</t>
  </si>
  <si>
    <t>ING Groep NV</t>
  </si>
  <si>
    <t>Resona Asset</t>
  </si>
  <si>
    <t>Fort Washington</t>
  </si>
  <si>
    <t>British Columbia Investment Management</t>
  </si>
  <si>
    <t>NewEdge</t>
  </si>
  <si>
    <t>H&amp;H International (Duan Yongping)</t>
  </si>
  <si>
    <t>Cantillon</t>
  </si>
  <si>
    <t>William von Mueffling</t>
  </si>
  <si>
    <t>Arizona State</t>
  </si>
  <si>
    <t>Commerce Bank</t>
  </si>
  <si>
    <t>Commonwealth Pennsylvania Public School Employees</t>
  </si>
  <si>
    <t>Menora Mivtachim</t>
  </si>
  <si>
    <t>Avantax Advisory</t>
  </si>
  <si>
    <t>ALPS Advisors</t>
  </si>
  <si>
    <t>Sanctuary</t>
  </si>
  <si>
    <t>Nissay</t>
  </si>
  <si>
    <t>BB Users</t>
  </si>
  <si>
    <t>BB Listed</t>
  </si>
  <si>
    <t>BB Customer</t>
  </si>
  <si>
    <t>Silvercrest</t>
  </si>
  <si>
    <t>-</t>
  </si>
  <si>
    <t>BB Listings</t>
  </si>
  <si>
    <t>BTG Pactual</t>
  </si>
  <si>
    <t>Jefferies</t>
  </si>
  <si>
    <t>SocGen</t>
  </si>
  <si>
    <t>Santander</t>
  </si>
  <si>
    <t>Barclays</t>
  </si>
  <si>
    <t>American Express</t>
  </si>
  <si>
    <t>Intercontinental Exchange</t>
  </si>
  <si>
    <t>Mizuho</t>
  </si>
  <si>
    <t>Industrial &amp; Commercial of China</t>
  </si>
  <si>
    <t>Visa</t>
  </si>
  <si>
    <t>Bank of China</t>
  </si>
  <si>
    <t>Commonwealth Bank of Australia</t>
  </si>
  <si>
    <t>Investor AB</t>
  </si>
  <si>
    <t>Aon</t>
  </si>
  <si>
    <t>Citic</t>
  </si>
  <si>
    <t>Lloyds Banking</t>
  </si>
  <si>
    <t>Longview Partners</t>
  </si>
  <si>
    <t>Essential Planning</t>
  </si>
  <si>
    <t>Includes CIBC Asset Management, CIBC World Markets</t>
  </si>
  <si>
    <t>Brandywine</t>
  </si>
  <si>
    <t>Alberta Investment Management</t>
  </si>
  <si>
    <t>Includes Toronto Dominion Bank, Epoch, TD Waterhouse</t>
  </si>
  <si>
    <t>Congress Asset</t>
  </si>
  <si>
    <t>Brown Brothers Harriman</t>
  </si>
  <si>
    <t>Microsoft</t>
  </si>
  <si>
    <t>Vontobel Asset Management, Vontobel Holding</t>
  </si>
  <si>
    <t>Guggenheim</t>
  </si>
  <si>
    <t>Mostly fixed income, some alternatives.</t>
  </si>
  <si>
    <t>Boston Trust Walden</t>
  </si>
  <si>
    <t>Huntington National Bank</t>
  </si>
  <si>
    <t>AMF Tjanstepension</t>
  </si>
  <si>
    <t>Gabelli</t>
  </si>
  <si>
    <t>Hermitage</t>
  </si>
  <si>
    <t>BP Capital</t>
  </si>
  <si>
    <t>Fortress</t>
  </si>
  <si>
    <t>Pirate</t>
  </si>
  <si>
    <t>Vega</t>
  </si>
  <si>
    <t>Geronimo</t>
  </si>
  <si>
    <t>Veritas</t>
  </si>
  <si>
    <t>Clark</t>
  </si>
  <si>
    <t>BB LISTINGS</t>
  </si>
  <si>
    <t>BB USERS</t>
  </si>
  <si>
    <t>PineBridge</t>
  </si>
  <si>
    <t>Akre</t>
  </si>
  <si>
    <t>AE Wealth</t>
  </si>
  <si>
    <t>Axiom Investors</t>
  </si>
  <si>
    <t>Includes Pictet &amp; Cie, Banque Pictet &amp; Cie SA</t>
  </si>
  <si>
    <t>DA Davidson</t>
  </si>
  <si>
    <t>Durable</t>
  </si>
  <si>
    <t>EdgePoint</t>
  </si>
  <si>
    <t>Forsta AP-Fonden</t>
  </si>
  <si>
    <t>Frontier Capital Management</t>
  </si>
  <si>
    <t>Gardner Russo &amp; Quinn</t>
  </si>
  <si>
    <t>Great Lakes</t>
  </si>
  <si>
    <t>Greenleaf Advisors</t>
  </si>
  <si>
    <t>Icahn</t>
  </si>
  <si>
    <t>Warburg Pincus</t>
  </si>
  <si>
    <t>BB</t>
  </si>
  <si>
    <t>Harvard</t>
  </si>
  <si>
    <t>Yale</t>
  </si>
  <si>
    <t>Apax</t>
  </si>
  <si>
    <t>Thoma Bravo</t>
  </si>
  <si>
    <t>EQT</t>
  </si>
  <si>
    <t>Vista</t>
  </si>
  <si>
    <t>Bain</t>
  </si>
  <si>
    <t>McKinsey</t>
  </si>
  <si>
    <t>KPMG</t>
  </si>
  <si>
    <t>Deloitte</t>
  </si>
  <si>
    <t>General Atlantic</t>
  </si>
  <si>
    <t>Permira</t>
  </si>
  <si>
    <t>Ares</t>
  </si>
  <si>
    <t>Independent Franchise Partners</t>
  </si>
  <si>
    <t>Jensen</t>
  </si>
  <si>
    <t>Fiduciary Management</t>
  </si>
  <si>
    <t>Findlay Park</t>
  </si>
  <si>
    <t>Vinik</t>
  </si>
  <si>
    <t>Atria Wealth</t>
  </si>
  <si>
    <t>Ariel</t>
  </si>
  <si>
    <t>Trian</t>
  </si>
  <si>
    <t>B. Metzler seel. Sohn &amp; Co</t>
  </si>
  <si>
    <t>Trexquant</t>
  </si>
  <si>
    <t>Tredje AP-fonden</t>
  </si>
  <si>
    <t>Wellcome Trust</t>
  </si>
  <si>
    <t>Burgundy</t>
  </si>
  <si>
    <t>Driehaus</t>
  </si>
  <si>
    <t>Yousif</t>
  </si>
  <si>
    <t>Czech National Bank</t>
  </si>
  <si>
    <t>Walgreens</t>
  </si>
  <si>
    <t>Hershey Trust</t>
  </si>
  <si>
    <t>Jupiter</t>
  </si>
  <si>
    <t>Perpetual Ltd</t>
  </si>
  <si>
    <t>Ruane Cuniff</t>
  </si>
  <si>
    <t>Oaktree</t>
  </si>
  <si>
    <t>Royce</t>
  </si>
  <si>
    <t>Dragoneer</t>
  </si>
  <si>
    <t>Intech</t>
  </si>
  <si>
    <t>TPG</t>
  </si>
  <si>
    <t>Cerberus</t>
  </si>
  <si>
    <t>Ari Glass</t>
  </si>
  <si>
    <t>TPG GP A</t>
  </si>
  <si>
    <t>Oppenheimer</t>
  </si>
  <si>
    <t>62.2% through November</t>
  </si>
  <si>
    <t>-40% through November</t>
  </si>
  <si>
    <t>-25% through November</t>
  </si>
  <si>
    <t>10% in November, -20%ish through November</t>
  </si>
  <si>
    <t>Consonance</t>
  </si>
  <si>
    <t>up</t>
  </si>
  <si>
    <t>up 323% since inception</t>
  </si>
  <si>
    <t>-13% as of September 2023, +0.40% in September</t>
  </si>
  <si>
    <t>-8% as of September 2023, -7.5% in September</t>
  </si>
  <si>
    <t>-7.1% in September, -2% as of September 2023</t>
  </si>
  <si>
    <t>-14% as of September, down 3% in September</t>
  </si>
  <si>
    <t>+0.40% as of September, -4% in September</t>
  </si>
  <si>
    <t>26%, was +0.80% as of September, was -0.60% in September</t>
  </si>
  <si>
    <t>+20% as of September</t>
  </si>
  <si>
    <t>Soleus</t>
  </si>
  <si>
    <t>+20bps in september, +1.5% as of September</t>
  </si>
  <si>
    <t>-12.8% as of April 2023, +6.8% as of June, -12% as of September 2023, down 10% in September.</t>
  </si>
  <si>
    <t>Affinity</t>
  </si>
  <si>
    <t>+7% in March, +30% at end of March</t>
  </si>
  <si>
    <t>+12%, +10% in December. Kishen Mehta (Averill Partners)</t>
  </si>
  <si>
    <t>up +195% to +221%</t>
  </si>
  <si>
    <t>-21% or -28% or -34% for offshore fund, -30% through November.</t>
  </si>
  <si>
    <t>-12%, +10% in December</t>
  </si>
  <si>
    <t>+2% January, +13% February, +14.3% as of October</t>
  </si>
  <si>
    <t>Redmile</t>
  </si>
  <si>
    <t>-3% January, +11.1% February</t>
  </si>
  <si>
    <t>+0% in January, +11.5% in February, +5.6% in March, +17.5% as of March</t>
  </si>
  <si>
    <t>+2.25% January, +8.75% February, +0.73% March, +13% as of October, +10.5% at end of March</t>
  </si>
  <si>
    <t>+3.1% January, +7.2% February, +3% March, +16.7% as of October, +14% as of March</t>
  </si>
  <si>
    <t>+1.8% January, +7.1% February, +2.1% in March, +11.3% at the end of March</t>
  </si>
  <si>
    <t>+7.8% January, +6.2% February, flat March, +14% at end of March</t>
  </si>
  <si>
    <t>+1.9% January, +3.8% February, -3% March, -14.4% as of October, +2% at end of March</t>
  </si>
  <si>
    <t>+5.5% January, +4.5% February, +0.90% March, +12% at end of March (Averill Partners)</t>
  </si>
  <si>
    <t>+23% January, -2% February, -0.10% March, +24% as of March</t>
  </si>
  <si>
    <t>-28% as of April</t>
  </si>
  <si>
    <t>26%, April -3%, +9% as of April</t>
  </si>
  <si>
    <t>+85.4% gross, +45.02% net</t>
  </si>
  <si>
    <t>68.6% gross, 35.62% net</t>
  </si>
  <si>
    <t>75% gross, 39.2% net</t>
  </si>
  <si>
    <t>88.8% gross, 46.93% net</t>
  </si>
  <si>
    <t>152.1% gross, 82.38% net, -16% RIEF</t>
  </si>
  <si>
    <t>35.6% gross, 24.48% net</t>
  </si>
  <si>
    <t>57.1% gross, 41.68% net</t>
  </si>
  <si>
    <t>31.5% gross, 21.1% net</t>
  </si>
  <si>
    <t>44.4% gross, 31.52% net</t>
  </si>
  <si>
    <t>52.9% gross, 38.32% net</t>
  </si>
  <si>
    <t>93.4% gross, 70.72% net</t>
  </si>
  <si>
    <t>47% gross, 33.6% net</t>
  </si>
  <si>
    <t>54.3% gross, 39.44% net</t>
  </si>
  <si>
    <t>53.9% gross, 39.12% net. Closed to external investors.</t>
  </si>
  <si>
    <t>77.8% gross, 58.24% net</t>
  </si>
  <si>
    <t>1% gross, -3.2% net</t>
  </si>
  <si>
    <t>16.3% gross, 9.04% net</t>
  </si>
  <si>
    <t>69.3% gross, 36.01% net. Launches RIEF.</t>
  </si>
  <si>
    <t>+76.4% gross, +39.98% net. RIEF +9%. RIDA +3.2%</t>
  </si>
  <si>
    <t>56.8% gross, 29.01% net. RIDA (Diversified Alpha) launches.</t>
  </si>
  <si>
    <t>Launch</t>
  </si>
  <si>
    <t>38% (Wellington), 32.6% Global Fixed Income, +26.5% Tactical Trading, +26.4% Citadel Equities</t>
  </si>
  <si>
    <t>8-10%</t>
  </si>
  <si>
    <t>10%, PA18%/PA2 +9.46%, AW12% -26%</t>
  </si>
  <si>
    <t>+24.7% composite, +20% Oculus</t>
  </si>
  <si>
    <t>Said Haidar</t>
  </si>
  <si>
    <t>Macro?</t>
  </si>
  <si>
    <t>16.7% main, 34.8% macro</t>
  </si>
  <si>
    <t>Bruce Kovner hands control to Andrew Law.</t>
  </si>
  <si>
    <t>Quellos</t>
  </si>
  <si>
    <t>Odey</t>
  </si>
  <si>
    <t>Crispin Odey</t>
  </si>
  <si>
    <t>Kenneth Tropin</t>
  </si>
  <si>
    <t>Quant</t>
  </si>
  <si>
    <t>20-30%</t>
  </si>
  <si>
    <t>Aron Landy</t>
  </si>
  <si>
    <t>20.1% (master), +28% (Alpha)</t>
  </si>
  <si>
    <t>Yan Huo, Masao Asai</t>
  </si>
  <si>
    <t>ex-JPM</t>
  </si>
  <si>
    <t>Cliff Assness, David Kabiller, John Liew, Robert Krail</t>
  </si>
  <si>
    <t>BD</t>
  </si>
  <si>
    <t>Kirkoswald</t>
  </si>
  <si>
    <t>Greg Coffey</t>
  </si>
  <si>
    <t>ex-GLG</t>
  </si>
  <si>
    <t>Value?</t>
  </si>
  <si>
    <t>42.3% gross, 36.6% net</t>
  </si>
  <si>
    <t>9.7% (Enhanced)</t>
  </si>
  <si>
    <t>Electron</t>
  </si>
  <si>
    <t>43.5% (ARF), +44.7% EMNGV, +39.6% GSS, +49.12% (AQR Helix Composite)</t>
  </si>
  <si>
    <t>+12% as of 9/30</t>
  </si>
  <si>
    <t>Return</t>
  </si>
  <si>
    <t>Max DD</t>
  </si>
  <si>
    <t>DD time</t>
  </si>
  <si>
    <t>+7.21% 1H24</t>
  </si>
  <si>
    <t>Thomas Durkin, Yong Joe</t>
  </si>
  <si>
    <t>Anthony Frascella, William Techar</t>
  </si>
  <si>
    <t>+3.71% 9/30/24</t>
  </si>
  <si>
    <t>One William</t>
  </si>
  <si>
    <t>Pimco Tactical Opportunities</t>
  </si>
  <si>
    <t>+7.84% Q324</t>
  </si>
  <si>
    <t>+4.33% Q324</t>
  </si>
  <si>
    <t>-0.89% as of 10/25/24</t>
  </si>
  <si>
    <t>Josh Birnbaum</t>
  </si>
  <si>
    <t>Varadero</t>
  </si>
  <si>
    <t>-0.91% as of 8/31/24</t>
  </si>
  <si>
    <t>Brian Higgins</t>
  </si>
  <si>
    <t>Distressed</t>
  </si>
  <si>
    <t>+7.57% as of 10/25/24</t>
  </si>
  <si>
    <t>TOPS started 12/31/2004, Eureka started 1/31/1998, Global Opportunities 2/28/2009</t>
  </si>
  <si>
    <t>TOPS -22.60%, Eureka -23.38%, Global Opportunities -7.63%</t>
  </si>
  <si>
    <t>TOPS 17, GO 8</t>
  </si>
  <si>
    <t>GO +7.6%, TOPS +5.77%, Eureka +4.61%</t>
  </si>
  <si>
    <t>+5.28% to +6.7% Q324, 6.7% to 15.64% (TOPS), +3.52% to +4.38% MW Eureka</t>
  </si>
  <si>
    <t>+14.7% (TOPS), +10.84% (Eureka), -6.61% (GO)</t>
  </si>
  <si>
    <t>+11.13% (TOPS), +14.31% (Eureka), +18.51% (GO)</t>
  </si>
  <si>
    <t>+6.12% (TOPS), +13.33% (Eureka), +6.67% (GO)</t>
  </si>
  <si>
    <t>+19.95% as of 10/25/24</t>
  </si>
  <si>
    <t>Mark Kingdon</t>
  </si>
  <si>
    <t>+18.32% as of 10/25/24</t>
  </si>
  <si>
    <t>Paul Marshall, Ian Wace. Anthony Clake (TOPS), Fehim Sever (GO)</t>
  </si>
  <si>
    <t>Mark Nordlicht</t>
  </si>
  <si>
    <t>Platinum Fund Ltd</t>
  </si>
  <si>
    <t>Kerr Neilson</t>
  </si>
  <si>
    <t>+4.43% as of 10/18/24</t>
  </si>
  <si>
    <t>17.23% as of Q324</t>
  </si>
  <si>
    <t>+16.62%, +35.4% for Glenview Healthcare Partners</t>
  </si>
  <si>
    <t>RIEF +20.44% 10/25/24</t>
  </si>
  <si>
    <t>RIEF +7.06%</t>
  </si>
  <si>
    <t>-36% RIEF</t>
  </si>
  <si>
    <t>Richard Mashaal</t>
  </si>
  <si>
    <t>+10.08% Q324</t>
  </si>
  <si>
    <t>Energy, Tiger Grandcub</t>
  </si>
  <si>
    <t>Quantedge</t>
  </si>
  <si>
    <t>Millburn</t>
  </si>
  <si>
    <t>+3.54% Q324</t>
  </si>
  <si>
    <t>Brummer</t>
  </si>
  <si>
    <t>Patrik Brummer</t>
  </si>
  <si>
    <t>CFM Stratus Fund</t>
  </si>
  <si>
    <t>Linden</t>
  </si>
  <si>
    <t>Joe Wong</t>
  </si>
  <si>
    <t>Donald Sussman</t>
  </si>
  <si>
    <t>+2.17% as of Q324</t>
  </si>
  <si>
    <t>Sculptor (fka Och-Ziff)</t>
  </si>
  <si>
    <t>+9.84% Q324</t>
  </si>
  <si>
    <t>+6.80% 10/25/24</t>
  </si>
  <si>
    <t>Cassiopeia</t>
  </si>
  <si>
    <t>Alphaquest</t>
  </si>
  <si>
    <t>Zweig-Dimenna</t>
  </si>
  <si>
    <t>Jab Cap</t>
  </si>
  <si>
    <t>-14.57% 4/30/2018</t>
  </si>
  <si>
    <t>Passport</t>
  </si>
  <si>
    <t>Horseman</t>
  </si>
  <si>
    <t>Pelham</t>
  </si>
  <si>
    <t>Ross Turner</t>
  </si>
  <si>
    <t>Alphagen</t>
  </si>
  <si>
    <t>Ben Wallace, Luke Newman</t>
  </si>
  <si>
    <t>Peter Davies, Jonathon Regis</t>
  </si>
  <si>
    <t>+1.06% 4/30/18</t>
  </si>
  <si>
    <t>+4.35% as of 4/20/2018</t>
  </si>
  <si>
    <t>-34.38%, -30.15%</t>
  </si>
  <si>
    <t>22, 2</t>
  </si>
  <si>
    <t>+5.08% (Eureka, 5/7/2018), +2.32% (GO, 5/7/2018)</t>
  </si>
  <si>
    <t>+12.89% (Eureka), +12.88% (GO)</t>
  </si>
  <si>
    <t>+2.07% (Eureka), -0.28% (GO)</t>
  </si>
  <si>
    <t>+12.55% (Eureka), +6.38% (GO)</t>
  </si>
  <si>
    <t>+8.49% (Eureka), +6.3% (GO)</t>
  </si>
  <si>
    <t>+21.79% (Eureka), +13.37% (GO)</t>
  </si>
  <si>
    <t>+3.37% 5/4/2018</t>
  </si>
  <si>
    <t>-5.08% 4/30/2018</t>
  </si>
  <si>
    <t>42.9% to 101.74%</t>
  </si>
  <si>
    <t>18.9% to 20.3%</t>
  </si>
  <si>
    <t>+0.13% 4/30/2018</t>
  </si>
  <si>
    <t>Thomas Kempner, Anthony Yoseloff</t>
  </si>
  <si>
    <t>-3.15% 4/30/2018</t>
  </si>
  <si>
    <t>Nelson Peltz</t>
  </si>
  <si>
    <t>+1.99% 5/4/2018</t>
  </si>
  <si>
    <t>+5.42% 5/4/2018</t>
  </si>
  <si>
    <t>+2.06% 4/30/2018</t>
  </si>
  <si>
    <t>Paul Tudor Jones</t>
  </si>
  <si>
    <t>Felix Baker, Julian Baker</t>
  </si>
  <si>
    <t>+6.32% as of 4/30/2018</t>
  </si>
  <si>
    <t>+5.5% 4/30/2018</t>
  </si>
  <si>
    <t>+27% GO</t>
  </si>
  <si>
    <t>71.1% gross, 37.02% net, +34% RIEF</t>
  </si>
  <si>
    <t>+33.75%, +37.91% ultra</t>
  </si>
  <si>
    <t>+24.24% to 53.8%</t>
  </si>
  <si>
    <t>SAB</t>
  </si>
  <si>
    <t>Scott Bommer</t>
  </si>
  <si>
    <t>+0.79% as of 6/30/15</t>
  </si>
  <si>
    <t>10.1% (AR)</t>
  </si>
  <si>
    <t>15%, -0.47% (AR, Q215)</t>
  </si>
  <si>
    <t>11.25% (AR)</t>
  </si>
  <si>
    <t>4.03% (AR)</t>
  </si>
  <si>
    <t>7.04% (AR)</t>
  </si>
  <si>
    <t>-3.3% (AR)</t>
  </si>
  <si>
    <t>Dan Gold</t>
  </si>
  <si>
    <t>+6.82% (YTD, Q215)</t>
  </si>
  <si>
    <t>27%, 51.6% (GO)</t>
  </si>
  <si>
    <t>49% to 53.7%</t>
  </si>
  <si>
    <t>29-31%, -5% as of 5/15</t>
  </si>
  <si>
    <t>13%, began returning investors funds</t>
  </si>
  <si>
    <t>71%, long-only +86.2%</t>
  </si>
  <si>
    <t>Alex Sacerdote</t>
  </si>
  <si>
    <t>David Sundheim</t>
  </si>
  <si>
    <t>23%-30%</t>
  </si>
  <si>
    <t>29.9%, Mandel steps back</t>
  </si>
  <si>
    <t>40.6%, 28B AUM</t>
  </si>
  <si>
    <t>returned outside capital</t>
  </si>
  <si>
    <t>48%, 65% (Long-Only, Scott Shleifer); -6.5% Q120, -11% March, +9.7% April, +7% May</t>
  </si>
  <si>
    <t>19.4% (Wellington)</t>
  </si>
  <si>
    <t>24.4% (Wellington), +11.4% as of 5/31/2020 (Wellington)</t>
  </si>
  <si>
    <t>Various</t>
  </si>
  <si>
    <t>+30% net (Medallion), +25% as of 11/30/2019 (Medallion), +13.48% (RIEF)</t>
  </si>
  <si>
    <t>+76% (Medallion), +9.9% in March (Medallion), +24% through 4/14/20 (Medallion), +51% as of June 2020, RIEF -20%. RIDA -33.58%</t>
  </si>
  <si>
    <t>136.1% gross, 73.42% net, 5/2007 RIEF begins 36% drawdown</t>
  </si>
  <si>
    <t>Nathaniel August</t>
  </si>
  <si>
    <t>8.91% to 9.7%</t>
  </si>
  <si>
    <t>23.58% through April 2021</t>
  </si>
  <si>
    <t>1.24% (international)</t>
  </si>
  <si>
    <t>-9.50% (intl)</t>
  </si>
  <si>
    <t>8.65% (intl)</t>
  </si>
  <si>
    <t>-15.19% (Intl)</t>
  </si>
  <si>
    <t>+20.31% (intl)</t>
  </si>
  <si>
    <t>+20.40% (intl)</t>
  </si>
  <si>
    <t>+8.78% (intl)</t>
  </si>
  <si>
    <t>+4.14% (intl)</t>
  </si>
  <si>
    <t>19.14% (DKIP)</t>
  </si>
  <si>
    <t>9.22% (DKIP)</t>
  </si>
  <si>
    <t>1.32% (DKIP)</t>
  </si>
  <si>
    <t>8.01% - 8.49% (DKIP)</t>
  </si>
  <si>
    <t>9.49% - 10.24% (DKIP)</t>
  </si>
  <si>
    <t>4.64% - 5.15% (DKIP)</t>
  </si>
  <si>
    <t>1.53 - 1.68% (DKIP)</t>
  </si>
  <si>
    <t>6.93% - 7.56% (DKIP)</t>
  </si>
  <si>
    <t>6.15% - 6.39% (DKIP)</t>
  </si>
  <si>
    <t>6.34% (DKIP)</t>
  </si>
  <si>
    <t>2.35% (DKIP), +1.25% as of 5/4/2018</t>
  </si>
  <si>
    <t>7.64% (DKIP)</t>
  </si>
  <si>
    <t>6.24% (DKIP)</t>
  </si>
  <si>
    <t>Markel</t>
  </si>
  <si>
    <t>Savant</t>
  </si>
  <si>
    <t>Sarasin</t>
  </si>
  <si>
    <t>Axiom Advisory</t>
  </si>
  <si>
    <t>New York Life</t>
  </si>
  <si>
    <t>Banco Bilbao</t>
  </si>
  <si>
    <t>QRG (Envestnet)</t>
  </si>
  <si>
    <t>Amazon</t>
  </si>
  <si>
    <t>Advent</t>
  </si>
  <si>
    <t>J. Goldman</t>
  </si>
  <si>
    <t>Jay Goldman</t>
  </si>
  <si>
    <t>Chilton</t>
  </si>
  <si>
    <t>Abrams</t>
  </si>
  <si>
    <t>David Abrams</t>
  </si>
  <si>
    <t>Sylebra</t>
  </si>
  <si>
    <t>Dan Gibson</t>
  </si>
  <si>
    <t>Tiger Grandcub</t>
  </si>
  <si>
    <t>ex-Coatue</t>
  </si>
  <si>
    <t>LIM Partners</t>
  </si>
  <si>
    <t>21.5%, 18.48% as of 10/25/24</t>
  </si>
  <si>
    <t>+34.21% or +29%</t>
  </si>
  <si>
    <t>returns outside capital</t>
  </si>
  <si>
    <t>+LSD</t>
  </si>
  <si>
    <t>Yacktman</t>
  </si>
  <si>
    <t>Advisors Capital Management LLC</t>
  </si>
  <si>
    <t>Started in July</t>
  </si>
  <si>
    <t>+8% YTD as of Q324, +4.4% Q324</t>
  </si>
  <si>
    <t>ex-Greenlight</t>
  </si>
  <si>
    <t>People</t>
  </si>
  <si>
    <t>Ryan Kilstein</t>
  </si>
  <si>
    <t>-3.5% in Q3</t>
  </si>
  <si>
    <t>Alaska Permanent</t>
  </si>
  <si>
    <t>Allen Investment Management</t>
  </si>
  <si>
    <t>Synovus</t>
  </si>
  <si>
    <t>Ricky Sandler</t>
  </si>
  <si>
    <t>Brandes Investment Partners</t>
  </si>
  <si>
    <t>Andra AP-fonden</t>
  </si>
  <si>
    <t>Aptus</t>
  </si>
  <si>
    <t>Richard Chilton</t>
  </si>
  <si>
    <t>5B AUM</t>
  </si>
  <si>
    <t>FrontPoint</t>
  </si>
  <si>
    <t>Andor</t>
  </si>
  <si>
    <t>Dan Benton</t>
  </si>
  <si>
    <t>Eddie Lampert</t>
  </si>
  <si>
    <t>5.2% net</t>
  </si>
  <si>
    <t>Closed fund, had 31% returns over 32 years in Quantum. Moved to the Quantum Endowment Fund.</t>
  </si>
  <si>
    <t>+13% with 7B AUM.</t>
  </si>
  <si>
    <t>+30% net on 5.5B AUM. 2/25.</t>
  </si>
  <si>
    <t>2/25</t>
  </si>
  <si>
    <t>Founded ESL</t>
  </si>
  <si>
    <t>66% gross, 53% net; 24.5% net since 1988. 5B AUM.</t>
  </si>
  <si>
    <t>60% gross, 30% net. 3.7B AUM.</t>
  </si>
  <si>
    <t>-29%</t>
  </si>
  <si>
    <t>+67% net, 969m AUM in Palomino</t>
  </si>
  <si>
    <t>Richard Perry</t>
  </si>
  <si>
    <t>1/20</t>
  </si>
  <si>
    <t>+13.7% net, 4.1B AUM</t>
  </si>
  <si>
    <t>Founded Perry.</t>
  </si>
  <si>
    <t>56.6% gross, 33.02% net; 5.2B Medallion, closed Equimetrics; charges 5/20</t>
  </si>
  <si>
    <t>19% Kensington (4.2B AUM, offshore); 21% Wellington (1.5B AUM, domestic), 7B total AUM</t>
  </si>
  <si>
    <t>Trout</t>
  </si>
  <si>
    <t>Monroe Trout</t>
  </si>
  <si>
    <t>13.6% net, retired and sold firm to Matt Tewksbury</t>
  </si>
  <si>
    <t>21.5% since inception</t>
  </si>
  <si>
    <t>4/22</t>
  </si>
  <si>
    <t>Tewksbury</t>
  </si>
  <si>
    <t>Matt Tewksbury</t>
  </si>
  <si>
    <t>15.5%, 2.9B AUM</t>
  </si>
  <si>
    <t>Joho</t>
  </si>
  <si>
    <t>Robert Karr</t>
  </si>
  <si>
    <t>Asia</t>
  </si>
  <si>
    <t>35%, 2B AUM</t>
  </si>
  <si>
    <t>7.6%, Launch</t>
  </si>
  <si>
    <t>58% to 73.4%</t>
  </si>
  <si>
    <t>46.8% to 94%</t>
  </si>
  <si>
    <t>40.4% to 51%; 4B AUM</t>
  </si>
  <si>
    <t>+22% BVI Global Fund (2.1B, 4/23), +20% Ospraie, -3% Raptor; 5B total AUM</t>
  </si>
  <si>
    <t>Art Samberg</t>
  </si>
  <si>
    <t>Dan Benton joins.</t>
  </si>
  <si>
    <t>+11.1% Andor Tech (3.6B AUM), +17.1% Andor Perrenial (2.1B AUM), +20.8% Andor Technology Aggressive (1.2B AUM)</t>
  </si>
  <si>
    <t>2/20</t>
  </si>
  <si>
    <t>Founded Viking</t>
  </si>
  <si>
    <t>John Griffin</t>
  </si>
  <si>
    <t>New York, NY</t>
  </si>
  <si>
    <t>Founded Blue Ridge.</t>
  </si>
  <si>
    <t>Julian Robertson</t>
  </si>
  <si>
    <t>John Griffin joins Tiger.</t>
  </si>
  <si>
    <t>22% (2.5B AUM)</t>
  </si>
  <si>
    <t>Merger Arb</t>
  </si>
  <si>
    <t>San Francisco</t>
  </si>
  <si>
    <t>+13% (7.8B AUM)</t>
  </si>
  <si>
    <t>Hellman &amp; Friedman</t>
  </si>
  <si>
    <t>Glenn Dubin, Henry Swieca</t>
  </si>
  <si>
    <t>Launched</t>
  </si>
  <si>
    <t>12% net, 3.9B AUM</t>
  </si>
  <si>
    <t>Sold firm to JPM</t>
  </si>
  <si>
    <t>Standard Pacific</t>
  </si>
  <si>
    <t>Andrew Midler</t>
  </si>
  <si>
    <t>11-14% 3.7B distressed, 3.4B PE</t>
  </si>
  <si>
    <t>Lee Ainslie joins Tiger.</t>
  </si>
  <si>
    <t>Founded.</t>
  </si>
  <si>
    <t>Clinton</t>
  </si>
  <si>
    <t>George Hall</t>
  </si>
  <si>
    <t>12.1%, 3.7B AUM</t>
  </si>
  <si>
    <t>6.4% (master fund, 5B aum), 4.2% (europe, 550m), +18.5% Credit Opportunity</t>
  </si>
  <si>
    <t>Raptor +91.6%</t>
  </si>
  <si>
    <t>James Pallotta joins.</t>
  </si>
  <si>
    <t>+10.1% (Moore Global), +13% (Moore Fixed Income), 8B AUM</t>
  </si>
  <si>
    <t>Tontine</t>
  </si>
  <si>
    <t>Jeff Gendell</t>
  </si>
  <si>
    <t>ex-Odyssey</t>
  </si>
  <si>
    <t>-1%</t>
  </si>
  <si>
    <t>MSD</t>
  </si>
  <si>
    <t>20%, Tontine Financial +42%; 500m AUM</t>
  </si>
  <si>
    <t>Okumus</t>
  </si>
  <si>
    <t>Ahmet Okumus</t>
  </si>
  <si>
    <t>29% to 35%</t>
  </si>
  <si>
    <t>Dwight Anderson, James Pallotta</t>
  </si>
  <si>
    <t>Raptor +2%, Ospraie +17%</t>
  </si>
  <si>
    <t>Intrepid</t>
  </si>
  <si>
    <t>Steve Shapiro</t>
  </si>
  <si>
    <t>Martin Shkreli joins Intrepid.</t>
  </si>
  <si>
    <t>Martin Shkreli leaves Intrepid.</t>
  </si>
  <si>
    <t>Michael Au, Martin Shkreli, David Selvers, Joe Bishop, Eric Sheridan, Ari Glass</t>
  </si>
  <si>
    <t>Converted to Family Office.</t>
  </si>
  <si>
    <t>Shuts firm down.</t>
  </si>
  <si>
    <t>Shuts down due to insider trading.</t>
  </si>
  <si>
    <t>Shuts down due to health concerns.</t>
  </si>
  <si>
    <t>Shuts down due to fraud.</t>
  </si>
  <si>
    <t>Shuts down due to SEC ruling. Reforms as Point72.</t>
  </si>
  <si>
    <t>Shuts down due to losses and fraud.</t>
  </si>
  <si>
    <t>Shuts down due to losses.</t>
  </si>
  <si>
    <t>John Paulson</t>
  </si>
  <si>
    <t>-13% as of July</t>
  </si>
  <si>
    <t>Michael Steinhardt</t>
  </si>
  <si>
    <t>+60% gross</t>
  </si>
  <si>
    <t>22m settlement for Salomon Brothers scandal.</t>
  </si>
  <si>
    <t>-25% as of July</t>
  </si>
  <si>
    <t>+109% Quantum emerging growth, +72% Quantum, Quota, +75% Priority II (Druckenmiller) 11B AUM</t>
  </si>
  <si>
    <t>+36%, 2B AUM</t>
  </si>
  <si>
    <t>Japonica</t>
  </si>
  <si>
    <t>Paul Kazarian, Michael Lederman</t>
  </si>
  <si>
    <t>Strome Susskind</t>
  </si>
  <si>
    <t>Mark Strome, Jeff Susskind</t>
  </si>
  <si>
    <t>129% gross, 1B AUM</t>
  </si>
  <si>
    <t>-7% as of July</t>
  </si>
  <si>
    <t>63% net, 3B AUM</t>
  </si>
  <si>
    <t>63% (1B AUM)</t>
  </si>
  <si>
    <t>Leon Levy, Jack Nash</t>
  </si>
  <si>
    <t>51% gross, 1.8B AUM</t>
  </si>
  <si>
    <t>50% net, 1B AUM</t>
  </si>
  <si>
    <t>George Noble</t>
  </si>
  <si>
    <t>Noble Partners, Tom Niedermeyer</t>
  </si>
  <si>
    <t>54% net, 900m AUM</t>
  </si>
  <si>
    <t>Ardsley</t>
  </si>
  <si>
    <t>Philip Hempleman</t>
  </si>
  <si>
    <t>46% gross, 3.8B AUM</t>
  </si>
  <si>
    <t>Chesapeake Capital</t>
  </si>
  <si>
    <t>R. Jerry Parker Jr.</t>
  </si>
  <si>
    <t>61% net</t>
  </si>
  <si>
    <t>John Henry</t>
  </si>
  <si>
    <t>-10.9%</t>
  </si>
  <si>
    <t>46.% net (1.1B AUM)</t>
  </si>
  <si>
    <t>+15%</t>
  </si>
  <si>
    <t>Sam Wyly</t>
  </si>
  <si>
    <t>Harpel</t>
  </si>
  <si>
    <t>James Harpel</t>
  </si>
  <si>
    <t>+70% net</t>
  </si>
  <si>
    <t>+39% net</t>
  </si>
  <si>
    <t>Lipper</t>
  </si>
  <si>
    <t>Kenneth Lipper</t>
  </si>
  <si>
    <t>+23% gross (2B AUM)</t>
  </si>
  <si>
    <t>Cramer Berkowitz</t>
  </si>
  <si>
    <t>Jim Cramer</t>
  </si>
  <si>
    <t>16% (500m AUM)</t>
  </si>
  <si>
    <t>Founded?</t>
  </si>
  <si>
    <t>Joseph DiMenna, Marty Zweig</t>
  </si>
  <si>
    <t>24%-33%</t>
  </si>
  <si>
    <t>Scott Bessent joins.</t>
  </si>
  <si>
    <t>Sandler Capital</t>
  </si>
  <si>
    <t>Harvey Sandler</t>
  </si>
  <si>
    <t>+45% gross</t>
  </si>
  <si>
    <t>John Kornreich, Barry Lewis, Michael Marocco</t>
  </si>
  <si>
    <t>Ethos</t>
  </si>
  <si>
    <t>Stanley Shopkorn</t>
  </si>
  <si>
    <t>50% net (450m AUM)</t>
  </si>
  <si>
    <t>80% gross. 6B AUM. Dwight Anderson joins Tiger. Patrick Duff retires.</t>
  </si>
  <si>
    <t>Greg Panayis, Jeff Susskind</t>
  </si>
  <si>
    <t>Mark Partners</t>
  </si>
  <si>
    <t>Morris Mark</t>
  </si>
  <si>
    <t>32% (800m AUM)</t>
  </si>
  <si>
    <t>Dickstein &amp; Co.</t>
  </si>
  <si>
    <t>Mark Dickstein</t>
  </si>
  <si>
    <t>34.7% (200m)</t>
  </si>
  <si>
    <t>25% (500m AUM)</t>
  </si>
  <si>
    <t>Baker Nye</t>
  </si>
  <si>
    <t>Richard Nye</t>
  </si>
  <si>
    <t>25% gross</t>
  </si>
  <si>
    <t>Montemayor</t>
  </si>
  <si>
    <t>Cesar Montemayor</t>
  </si>
  <si>
    <t>100% net</t>
  </si>
  <si>
    <t>Douglas Floren, Glenn Doshay</t>
  </si>
  <si>
    <t>21.6% to 159.9%</t>
  </si>
  <si>
    <t>+20%</t>
  </si>
  <si>
    <t>Andrew Law succeeded Bruce Kovner</t>
  </si>
  <si>
    <t>20% net</t>
  </si>
  <si>
    <t>16.9% to 38.5%</t>
  </si>
  <si>
    <t>12.6%-14.0%</t>
  </si>
  <si>
    <t>Centurian</t>
  </si>
  <si>
    <t>Robert Raiff</t>
  </si>
  <si>
    <t>Oracle</t>
  </si>
  <si>
    <t>Larry Feinberg</t>
  </si>
  <si>
    <t>64-72% net</t>
  </si>
  <si>
    <t>Cambridge Investments</t>
  </si>
  <si>
    <t>John Tozzi</t>
  </si>
  <si>
    <t>27% net</t>
  </si>
  <si>
    <t>Joshua Nash, Jeff Gendell</t>
  </si>
  <si>
    <t>West Highland Capital</t>
  </si>
  <si>
    <t>Lang Gerhard</t>
  </si>
  <si>
    <t>43-63% net</t>
  </si>
  <si>
    <t>Jeff Greenblatt</t>
  </si>
  <si>
    <t>Priceton/Newport Partners</t>
  </si>
  <si>
    <t>Edward Thorp</t>
  </si>
  <si>
    <t>Edward O. Thorp &amp; Associates</t>
  </si>
  <si>
    <t>18-31%, 310m AUM</t>
  </si>
  <si>
    <t>Junction Partners</t>
  </si>
  <si>
    <t>Jeffrey Tarr</t>
  </si>
  <si>
    <t>15%, 600m, pre-Caxton (Union Financial)</t>
  </si>
  <si>
    <t>Alpine</t>
  </si>
  <si>
    <t>Robert Zoellner</t>
  </si>
  <si>
    <t>Malcolm Weiner</t>
  </si>
  <si>
    <t>13.4% (1.9B AUM)</t>
  </si>
  <si>
    <t>47% (200m AUM)</t>
  </si>
  <si>
    <t>Charles Davidson, John Lattanzio, Milton Berg</t>
  </si>
  <si>
    <t>2.7% (-2.73% in Q4), 149m AUM</t>
  </si>
  <si>
    <t>14%; Jaguar -7.23%, Jaguar +1.26% Q4, 4.1B AUM</t>
  </si>
  <si>
    <t>-4.59% to -11.44%, 55m AUM</t>
  </si>
  <si>
    <t>-12.88%, -4.8% in Q4, 3.5B AUM</t>
  </si>
  <si>
    <t>Quantum +4.67% (2.14% in Q4), Quantum Industrial +4.24 (-2.26% in Q4), 4.9B AUM, Quantum Emerging Growth -10.26% (-2.58% in Q4, 1.9B AUM), Reality Trust -1.44%  (+2.03% Q4, 655m AUM)</t>
  </si>
  <si>
    <t>James Dinan</t>
  </si>
  <si>
    <t>+6.27% to +9.21% (+0.82% to +1.94% in Q4), 65m AUM</t>
  </si>
  <si>
    <t>Firm closed due to losses.</t>
  </si>
  <si>
    <t>7.4%; Lehman purchases 20% of DE Shaw</t>
  </si>
  <si>
    <t>Goldman Sachs Global Alpha</t>
  </si>
  <si>
    <t>Marc Lasry</t>
  </si>
  <si>
    <t>Sold 20% to Morgan Stanley for $300m.</t>
  </si>
  <si>
    <t>IPOed, 10.5B AUM</t>
  </si>
  <si>
    <t>7.6B AUM</t>
  </si>
  <si>
    <t>7.9B AUM</t>
  </si>
  <si>
    <t>8.9B AUM</t>
  </si>
  <si>
    <t>RAB Capital</t>
  </si>
  <si>
    <t>Dillon Read</t>
  </si>
  <si>
    <t>39.46%, 488m AUM</t>
  </si>
  <si>
    <t>+40.80% (Global Risk Premium--Full Risk, 400m AUM), 70.7B AUM</t>
  </si>
  <si>
    <t>45.46%, 1.07B</t>
  </si>
  <si>
    <t>Ramsey Quantitative</t>
  </si>
  <si>
    <t>Neil Ramsey</t>
  </si>
  <si>
    <t>Vector</t>
  </si>
  <si>
    <t>Christopher Dean</t>
  </si>
  <si>
    <t>Sabre</t>
  </si>
  <si>
    <t>500m AUM</t>
  </si>
  <si>
    <t>27.4% through November, 2.7B AUM</t>
  </si>
  <si>
    <t>+10.5% through October 31</t>
  </si>
  <si>
    <t>128.1% gross, 98.48% net. 3.3B AUM.</t>
  </si>
  <si>
    <t>-1.5%</t>
  </si>
  <si>
    <t>Bowman Capital</t>
  </si>
  <si>
    <t>Larry Bowman</t>
  </si>
  <si>
    <t>-11.8% to -14.1% through February</t>
  </si>
  <si>
    <t>+31% compounded since 3/96, +63% since 3/98</t>
  </si>
  <si>
    <t>New York</t>
  </si>
  <si>
    <t>San Diego</t>
  </si>
  <si>
    <t>+4% January, +1.2% February (+5.2% YTD)</t>
  </si>
  <si>
    <t>+7.2%</t>
  </si>
  <si>
    <t>5.7% January</t>
  </si>
  <si>
    <t>7.8% full year, +27.2% as of April, -13.8% December</t>
  </si>
  <si>
    <t>Multistrategy</t>
  </si>
  <si>
    <t>Event-Driven</t>
  </si>
  <si>
    <t>+7.72%</t>
  </si>
  <si>
    <t>Light Street</t>
  </si>
  <si>
    <t>Glen Kacher</t>
  </si>
  <si>
    <t>4.14% January</t>
  </si>
  <si>
    <t>4.4% January</t>
  </si>
  <si>
    <t>2% January</t>
  </si>
  <si>
    <t>+2.92% January</t>
  </si>
  <si>
    <t>15.84% January</t>
  </si>
  <si>
    <t>+3.59% (Proprietary Matrix), +2.93% January (Absolute Return), +2.51% (Quant Macro), +0.66% trend following</t>
  </si>
  <si>
    <t>-2.84% January (Macro)</t>
  </si>
  <si>
    <t>+20% through November</t>
  </si>
  <si>
    <t>Tiger Asia</t>
  </si>
  <si>
    <t>Bill Hwang</t>
  </si>
  <si>
    <t>-2% through November</t>
  </si>
  <si>
    <t>Tiger Shark</t>
  </si>
  <si>
    <t>Facciola</t>
  </si>
  <si>
    <t>3.8% through November</t>
  </si>
  <si>
    <t>-19%. Dwight Anderson leaves Tiger. Tiger approaches Maverick to merge.</t>
  </si>
  <si>
    <t>down LSD. 23B peak.</t>
  </si>
  <si>
    <t>Patrick Duff, John Griffin, Chris Shumway, Steve Shapiro, Larry Bowman, Steve Mandel, Lee Ainslie, Andreas Halvorsen, Chase Coleman, Thomas Facciola, Bill Hwang, J. Kevin Kenny Jr., Patrick McCormack and Michael Sears, Steve Olson, Aaron Stern, David Saunders, W. Gillespie Caffray</t>
  </si>
  <si>
    <t>-32%</t>
  </si>
  <si>
    <t>Converts to family office.</t>
  </si>
  <si>
    <t>Balestra</t>
  </si>
  <si>
    <t>James Melcher</t>
  </si>
  <si>
    <t>-6.08%, 2B AUM</t>
  </si>
  <si>
    <t>-7.8% through March</t>
  </si>
  <si>
    <t>MKP</t>
  </si>
  <si>
    <t>4.22%, 1.2B AUM</t>
  </si>
  <si>
    <t>74.6% gross, 38.98% net, -6.17% RIEF, 4/2009 drawdown ends. Medallion AUM 9B, total firm 15B.</t>
  </si>
  <si>
    <t>Providence MBS</t>
  </si>
  <si>
    <t>MBS</t>
  </si>
  <si>
    <t>Structured Portfolio Management</t>
  </si>
  <si>
    <t>Stamford</t>
  </si>
  <si>
    <t>Pivot</t>
  </si>
  <si>
    <t>Monaco</t>
  </si>
  <si>
    <t>18.56% (OEI Mac), 32.72% (European) firm AUM 2.8B-4.2B</t>
  </si>
  <si>
    <t>Harbinger</t>
  </si>
  <si>
    <t>Phil Falcone</t>
  </si>
  <si>
    <t>9B AUM</t>
  </si>
  <si>
    <t>+46.65%, 10.1B AUM</t>
  </si>
  <si>
    <t>26B AUM</t>
  </si>
  <si>
    <t>Tom McCauley</t>
  </si>
  <si>
    <t>David Ganek</t>
  </si>
  <si>
    <t>Jacob Gottlieb</t>
  </si>
  <si>
    <t>Raj Rajaratnam</t>
  </si>
  <si>
    <t>Sam Bankman-Fried</t>
  </si>
  <si>
    <t>Steve Cohen</t>
  </si>
  <si>
    <t>Bernie Madoff</t>
  </si>
  <si>
    <t>John Meriwether</t>
  </si>
  <si>
    <t>+134.6% Structured Servicing, +50.26% Opportunity. 2.7B AUM.</t>
  </si>
  <si>
    <t>Friedberg</t>
  </si>
  <si>
    <t>12.02%, 1.3B AUM</t>
  </si>
  <si>
    <t>Toronto</t>
  </si>
  <si>
    <t>GS Gamma (Guggenheim)</t>
  </si>
  <si>
    <t>41.76%, 532m AUM</t>
  </si>
  <si>
    <t>Platinum Partners Value Arbitrage</t>
  </si>
  <si>
    <t>Arrested</t>
  </si>
  <si>
    <t>Michael Platt</t>
  </si>
  <si>
    <t>30B GBP AUM</t>
  </si>
  <si>
    <t>Perella Weinberg</t>
  </si>
  <si>
    <t>+35.33% Xerion. AUM 5.5B</t>
  </si>
  <si>
    <t>Libra Advisors</t>
  </si>
  <si>
    <t>44.27%. 1.4B AUM</t>
  </si>
  <si>
    <t>John Burbank</t>
  </si>
  <si>
    <t>19.38%, 2.1B AUM</t>
  </si>
  <si>
    <t>26.6%, 536m AUM at the time</t>
  </si>
  <si>
    <t>29.02%. 26.8B AUM</t>
  </si>
  <si>
    <t>Waterstone</t>
  </si>
  <si>
    <t>Converts</t>
  </si>
  <si>
    <t>49.27%, 1.4B</t>
  </si>
  <si>
    <t>19.10%, 27B AUM</t>
  </si>
  <si>
    <t>Global Trading Strategies (Cayman)</t>
  </si>
  <si>
    <t>Australia</t>
  </si>
  <si>
    <t>-3.77%, 1.1B AUM</t>
  </si>
  <si>
    <t>Harvest</t>
  </si>
  <si>
    <t>14.56%, 1.1B AUM</t>
  </si>
  <si>
    <t>Lynx</t>
  </si>
  <si>
    <t>36.21%, 575m AUM</t>
  </si>
  <si>
    <t>Credit Opportunities +35.02%. Advantage +13.60%. International (merger arb) +6.20% 32B AUM.</t>
  </si>
  <si>
    <t>Pine River</t>
  </si>
  <si>
    <t>91.01% Nissawa fund, 1.46B AUM</t>
  </si>
  <si>
    <t>39.27% Real Return Asia, 4.1B</t>
  </si>
  <si>
    <t>Minnesotta</t>
  </si>
  <si>
    <t>Denver</t>
  </si>
  <si>
    <t>Titan Global Return</t>
  </si>
  <si>
    <t>Volatility</t>
  </si>
  <si>
    <t>-4.19%, 400m AUM</t>
  </si>
  <si>
    <t>18.89%. 12B AUM.</t>
  </si>
  <si>
    <t>30.7%. 16B AUM</t>
  </si>
  <si>
    <t>Bloomberg</t>
  </si>
  <si>
    <t>Institutional Investor</t>
  </si>
  <si>
    <t>Prequin</t>
  </si>
  <si>
    <t>thehedgefundjournal.com</t>
  </si>
  <si>
    <t>hedgefundnews.com</t>
  </si>
  <si>
    <t>eureka hedge</t>
  </si>
  <si>
    <t>Barron's</t>
  </si>
  <si>
    <t>GLC</t>
  </si>
  <si>
    <t>Caroline Hoare</t>
  </si>
  <si>
    <t>Multistrat</t>
  </si>
  <si>
    <t>12.72% Diversified, 2B AUM</t>
  </si>
  <si>
    <t>+23% (Andor Tech Small Cap). Third largest hedge fund with 7.5B.</t>
  </si>
  <si>
    <t>Rubicon</t>
  </si>
  <si>
    <t>PAW</t>
  </si>
  <si>
    <t>JWM</t>
  </si>
  <si>
    <t>Shaker Investments</t>
  </si>
  <si>
    <t>Altis Partners</t>
  </si>
  <si>
    <t>Managed Futures</t>
  </si>
  <si>
    <t>-8.48%, 1.3B AUM</t>
  </si>
  <si>
    <t>QFS</t>
  </si>
  <si>
    <t>0.89%, 1.3B AUM</t>
  </si>
  <si>
    <t>Quality Capital</t>
  </si>
  <si>
    <t>-11.95%, 689m AUM</t>
  </si>
  <si>
    <t>Niederhoffer</t>
  </si>
  <si>
    <t>-16.40%, 877m AUM</t>
  </si>
  <si>
    <t>48.62%, 2.5B AUM</t>
  </si>
  <si>
    <t>-3.30%, 3.1B AUM</t>
  </si>
  <si>
    <t>+41.80% (Sakonnet), +20.30% (Ocean). 8B AUM.</t>
  </si>
  <si>
    <t>Clough</t>
  </si>
  <si>
    <t>44.25%, 3B AUM</t>
  </si>
  <si>
    <t>8.64%, 1.1B firm AUM</t>
  </si>
  <si>
    <t>-2.69% Tudor Tensor (managed futures). Firm AUM 11.4B.</t>
  </si>
  <si>
    <t>37.60%, 4B AUM.</t>
  </si>
  <si>
    <t>Transtrend</t>
  </si>
  <si>
    <t>Netherlands</t>
  </si>
  <si>
    <t>Futures</t>
  </si>
  <si>
    <t>-10.85% diversified, 7.6B AUM.</t>
  </si>
  <si>
    <t>Thames River</t>
  </si>
  <si>
    <t>32.14% Nevsky, 13.3B AUM</t>
  </si>
  <si>
    <t>29.50%, 6.9B AUM</t>
  </si>
  <si>
    <t>Oceanic</t>
  </si>
  <si>
    <t>8.90% Tufton Oceanic, 2B AUM</t>
  </si>
  <si>
    <t>Prologue</t>
  </si>
  <si>
    <t>Fixed Income</t>
  </si>
  <si>
    <t>18.86%, 914m AUM</t>
  </si>
  <si>
    <t>Covepoint</t>
  </si>
  <si>
    <t>62.63%, 526m AUM</t>
  </si>
  <si>
    <t>Convexity</t>
  </si>
  <si>
    <t>Montpelier</t>
  </si>
  <si>
    <t>Emerging Markets</t>
  </si>
  <si>
    <t>54.64%, 939m AUM</t>
  </si>
  <si>
    <t>Vantage</t>
  </si>
  <si>
    <t>17.14%, 637m AUM</t>
  </si>
  <si>
    <t>19.75%, 19B AUM</t>
  </si>
  <si>
    <t>38000 peak</t>
  </si>
  <si>
    <t>Stockholm</t>
  </si>
  <si>
    <t>Paul Touradji</t>
  </si>
  <si>
    <t>Commodities</t>
  </si>
  <si>
    <t>+4.60% Global Resources, 2.5B AUM</t>
  </si>
  <si>
    <t>Quantitative Investment (QIM)</t>
  </si>
  <si>
    <t>+11.07% QIM Global Program, 5.2B AUM</t>
  </si>
  <si>
    <t>Gartmore?</t>
  </si>
  <si>
    <t>+47.48% Volantis, 6.1B AUM</t>
  </si>
  <si>
    <t>35.31%, 494m AUM</t>
  </si>
  <si>
    <t>Belvedere Advisors</t>
  </si>
  <si>
    <t>California</t>
  </si>
  <si>
    <t>19.93%, 400m AUM</t>
  </si>
  <si>
    <t>Clint Carlson</t>
  </si>
  <si>
    <t>Dallas</t>
  </si>
  <si>
    <t>17.86% relative value. 4.9B AUM</t>
  </si>
  <si>
    <t>Peconic</t>
  </si>
  <si>
    <t>16.15% Grenadier, 837m AUM</t>
  </si>
  <si>
    <t>+4.34% Quantitative Macro, 7B firm AUM</t>
  </si>
  <si>
    <t>Unclear if related to Belvedere Trading</t>
  </si>
  <si>
    <t>Whitebox</t>
  </si>
  <si>
    <t>Minneapolis</t>
  </si>
  <si>
    <t>80.54%, 1.24B AUM</t>
  </si>
  <si>
    <t>+4.91% (K4D-15V), +15.45% (Prop Matrix-10V), 5.8B AUM</t>
  </si>
  <si>
    <t>Scottwood</t>
  </si>
  <si>
    <t>+44.05%, firm AUM 550m</t>
  </si>
  <si>
    <t>Amplitude Capital</t>
  </si>
  <si>
    <t>Switzerland</t>
  </si>
  <si>
    <t>-8.21% Dynamic Trading, 805m AUM</t>
  </si>
  <si>
    <t>20.23% Compass US, firm AUM 4B</t>
  </si>
  <si>
    <t>GMT Capital</t>
  </si>
  <si>
    <t>Atlanta</t>
  </si>
  <si>
    <t>+59.98% Bay Resource Partners Offshore, 2.9B AUM</t>
  </si>
  <si>
    <t>41.21% (5.5B AUM)</t>
  </si>
  <si>
    <t>Estlander</t>
  </si>
  <si>
    <t>Finland</t>
  </si>
  <si>
    <t>Andrew Weiss</t>
  </si>
  <si>
    <t>Stat Arb?</t>
  </si>
  <si>
    <t>+26.21% Brookdale. Firm AUM 1.1B</t>
  </si>
  <si>
    <t>-2.49% Two Plus Program. Firm AUM 1.4B</t>
  </si>
  <si>
    <t>Milwaukee</t>
  </si>
  <si>
    <t>Finisterre Global Opportunities</t>
  </si>
  <si>
    <t>Acquired by Principal Global Investors (Europe)</t>
  </si>
  <si>
    <t>+35.52%, 923m AUM</t>
  </si>
  <si>
    <t>+1.05%, 469m AUM</t>
  </si>
  <si>
    <t>Barnegat</t>
  </si>
  <si>
    <t>New Jersey</t>
  </si>
  <si>
    <t>+132.68%, 476m AUM</t>
  </si>
  <si>
    <t>Black River</t>
  </si>
  <si>
    <t>35.46%, 5B AUM</t>
  </si>
  <si>
    <t>Bermuda</t>
  </si>
  <si>
    <t>Succeeded Trout.</t>
  </si>
  <si>
    <t>10.33%, 1.4B AUM.</t>
  </si>
  <si>
    <t>Abraham</t>
  </si>
  <si>
    <t>-5.55%, 485m AUM</t>
  </si>
  <si>
    <t>Texas</t>
  </si>
  <si>
    <t>21.75%, 5.1B AUM.</t>
  </si>
  <si>
    <t>Banyon</t>
  </si>
  <si>
    <t>Florida</t>
  </si>
  <si>
    <t>+11.48%, 772m AUM</t>
  </si>
  <si>
    <t>33%, 650m AUM</t>
  </si>
  <si>
    <t>Castle Creek</t>
  </si>
  <si>
    <t>Eagle Trading</t>
  </si>
  <si>
    <t>Princeton</t>
  </si>
  <si>
    <t>+9.67%, 2.35B AUM</t>
  </si>
  <si>
    <t>+16.39% Futuris, +38.03% Nektar (FI), -8.52% (Lynx, futures). 7.7B AUM</t>
  </si>
  <si>
    <t>4.37% BlueTrend, +44.31% macro, +21.14% AllBlue. 16.7B firm</t>
  </si>
  <si>
    <t>TT International</t>
  </si>
  <si>
    <t>10.66%, 405m in strategy.</t>
  </si>
  <si>
    <t>Argonaut</t>
  </si>
  <si>
    <t>10.10%, 684m AUM</t>
  </si>
  <si>
    <t>Aker</t>
  </si>
  <si>
    <t>Oslo</t>
  </si>
  <si>
    <t>+5.95% (AAM Absolute Return). Firm AUM 1.1B</t>
  </si>
  <si>
    <t>35.67% Credit Opportunities. Firm AUM 12.5B.</t>
  </si>
  <si>
    <t>12.76% MKP Opportunity. +17.06% Credit. 3.2B AUM</t>
  </si>
  <si>
    <t>-2.04% Multi-Market Program. Firm AUM 2.3B.</t>
  </si>
  <si>
    <t>Eckhardt</t>
  </si>
  <si>
    <t>-4.50%, 656m AUM</t>
  </si>
  <si>
    <t>26.3% (Global Investment), 23% (Gamut). 10B AUM.</t>
  </si>
  <si>
    <t>51.1% gross, 25.82% net. Medallion 5B AUM.</t>
  </si>
  <si>
    <t>Duquesne</t>
  </si>
  <si>
    <t>Stan Druckenmiller</t>
  </si>
  <si>
    <t>33%. 600m AUM.</t>
  </si>
  <si>
    <t>Water Street</t>
  </si>
  <si>
    <t>Gilchrist Berg</t>
  </si>
  <si>
    <t>Cannell</t>
  </si>
  <si>
    <t>J. Carlo Cannell</t>
  </si>
  <si>
    <t>-1.72%. Robert Bishop leaves.</t>
  </si>
  <si>
    <t>5.2%. 1.6B AUM.</t>
  </si>
  <si>
    <t>5.3%. 3.3B AUM.</t>
  </si>
  <si>
    <t>LSD</t>
  </si>
  <si>
    <t>14.6% - 16.2%, -3%?</t>
  </si>
  <si>
    <t>4/23</t>
  </si>
  <si>
    <t>+mid-teens. 5th largest hedge fund with 7.15B</t>
  </si>
  <si>
    <t>11%, 5B AUM.</t>
  </si>
  <si>
    <t>13%, 3.8B AUM</t>
  </si>
  <si>
    <t>Michael Zimmerman</t>
  </si>
  <si>
    <t>9.6%, 4B AUM</t>
  </si>
  <si>
    <t>36.8%, Polar; 24% Main</t>
  </si>
  <si>
    <t>ex-Kidder Peabody</t>
  </si>
  <si>
    <t>Wilson &amp; Associates</t>
  </si>
  <si>
    <t>Robert Wilson</t>
  </si>
  <si>
    <t>Short-selling</t>
  </si>
  <si>
    <t>Famous trade against Resorts International</t>
  </si>
  <si>
    <t>18.4% gross, 14.6% net. 5B AUM.</t>
  </si>
  <si>
    <t>39% K4</t>
  </si>
  <si>
    <t>43.7% K4, 28.4% Selective Trading, 28% Proprietary Matrix. 3B AUM.</t>
  </si>
  <si>
    <t>3/20</t>
  </si>
  <si>
    <t>14%, 1.6B AUM</t>
  </si>
  <si>
    <t>mid-20s (Anegada, Tonga Partners funds). 950m AUM.</t>
  </si>
  <si>
    <t>6% Arbitrage, 8% Trinity, 11% Multistrategy, 18% Global Investment, 5.3B AUM.</t>
  </si>
  <si>
    <t>4.22</t>
  </si>
  <si>
    <t>Matt Tewksbury joins Trout.</t>
  </si>
  <si>
    <t>8%, 5B AUM</t>
  </si>
  <si>
    <t>5.7%, 8B AUM</t>
  </si>
  <si>
    <t>+MSD 5.6B AUM</t>
  </si>
  <si>
    <t>+45% financials &amp; Metals, 31% strategic allocation fund</t>
  </si>
  <si>
    <t>+21.2% (BVI), +15% (Ospraie). +6.12% Raptor, 7B AUM.</t>
  </si>
  <si>
    <t>+MSD, Europe +14%</t>
  </si>
  <si>
    <t>+19% net. 3.1B AUM.</t>
  </si>
  <si>
    <t>1.5-2/20</t>
  </si>
  <si>
    <t>Zenit +19%, Nektar +26.3%. 3.1B AUM.</t>
  </si>
  <si>
    <t>Commodities Corp</t>
  </si>
  <si>
    <t>24% over 27 years</t>
  </si>
  <si>
    <t>GS bought in 1979</t>
  </si>
  <si>
    <t>Kenneth Brody</t>
  </si>
  <si>
    <t>Silverpoint</t>
  </si>
  <si>
    <t>Ed Mule</t>
  </si>
  <si>
    <t>M Roch Hillenbrand, George Walker, F. Helmut Weymar, Frank Vannerson, Paul Cootner, Amos Hostetter</t>
  </si>
  <si>
    <t>-2% in 1982</t>
  </si>
  <si>
    <t>GLG #2 HF in the world, 11B AUM.</t>
  </si>
  <si>
    <t>W. Gillespie Caffray, Paul Ghaffari, Phil Duff</t>
  </si>
  <si>
    <t>David Mittelman, Maurice Samuels</t>
  </si>
  <si>
    <t>+9% through June</t>
  </si>
  <si>
    <t>44.1% gross, 21.9% net. 5/44 fees. 5B AUM, returned capital.</t>
  </si>
  <si>
    <t>49.5% gross, 24.92% net. +22% gross through May.</t>
  </si>
  <si>
    <t>Kidnapped.</t>
  </si>
  <si>
    <t>8.1%, largest hedge fund in the industry with 10B AUM. Raises fees to 3/30.</t>
  </si>
  <si>
    <t>2/25, raised to 3/30 in 2003.</t>
  </si>
  <si>
    <t>+9.9% Kensington, +13.3% Wellington. 3rd-5th largest hedge fund with 8.5B-9.5B. 750 Employees.</t>
  </si>
  <si>
    <t>24% Master. 8B AUM.</t>
  </si>
  <si>
    <t>-1.58% (Master Fund, 5B) 7B total AUM.</t>
  </si>
  <si>
    <t>50%, 2.8B AUM</t>
  </si>
  <si>
    <t>Ex GS.</t>
  </si>
  <si>
    <t>35% net. 1.7B AUM</t>
  </si>
  <si>
    <t>3.1B AUM.</t>
  </si>
  <si>
    <t>4.5B AUM.</t>
  </si>
  <si>
    <t>negative</t>
  </si>
  <si>
    <t>30.7%-36%</t>
  </si>
  <si>
    <t>11%, 4.3B AUM</t>
  </si>
  <si>
    <t>Sonia Gardner (sister)</t>
  </si>
  <si>
    <t>friend of the Clintons</t>
  </si>
  <si>
    <t>+27.1%. 5.5B AUM, 2.7B in HFs?</t>
  </si>
  <si>
    <t>Campbell &amp; Co</t>
  </si>
  <si>
    <t>D. Keith Campbell</t>
  </si>
  <si>
    <t>20.41%, 6B AUM</t>
  </si>
  <si>
    <t>55B AUM</t>
  </si>
  <si>
    <t>23.3% PA, 74B AUM</t>
  </si>
  <si>
    <t>+16.75% BVI, +15.5% Raptor (3.8B). 7.8B AUM.</t>
  </si>
  <si>
    <t>34.2% net, 15.5% FI, 34.9% Remington. 6.1B AUM</t>
  </si>
  <si>
    <t>23%, 6.1B AUM. Chris Hohn leaves.</t>
  </si>
  <si>
    <t>Chris Hohn.</t>
  </si>
  <si>
    <t>+22% #4 HF, 9.9B AUM.</t>
  </si>
  <si>
    <t>21.6% (K4), +18.5% (GST), 13.7% (K5)</t>
  </si>
  <si>
    <t>10.6%, up 127/140 months.</t>
  </si>
  <si>
    <t>+22.4% International (3.4B); 7.5B HF AUM</t>
  </si>
  <si>
    <t>79.4% (Financial Partners), +197% (Tontine Partners).</t>
  </si>
  <si>
    <t>+22.86%, 4.6B AUM</t>
  </si>
  <si>
    <t>4.12%</t>
  </si>
  <si>
    <t>down double digits. Second largest hedge fund with 9.6B.</t>
  </si>
  <si>
    <t>32% Polar</t>
  </si>
  <si>
    <t>8.2% net, 10.5% gross</t>
  </si>
  <si>
    <t>9% net</t>
  </si>
  <si>
    <t>13.6% by Trout???</t>
  </si>
  <si>
    <t>+8.4%</t>
  </si>
  <si>
    <t>+8.5%</t>
  </si>
  <si>
    <t>Zenit down; +8.73% Nektar</t>
  </si>
  <si>
    <t>10.8B AUM</t>
  </si>
  <si>
    <t>11.5B AUM</t>
  </si>
  <si>
    <t>69% gross</t>
  </si>
  <si>
    <t>+9.9%, +3.4% through June. 10.8B AUM</t>
  </si>
  <si>
    <t>23%. 6B AUM.</t>
  </si>
  <si>
    <t>Leon (Lee) Cooperman</t>
  </si>
  <si>
    <t>ex-Goldman</t>
  </si>
  <si>
    <t>Cobalt</t>
  </si>
  <si>
    <t>Wayne Cooperman</t>
  </si>
  <si>
    <t>Wayne Cooperman, Ricky Sandler</t>
  </si>
  <si>
    <t>Began as Fusion Partners in 1995 with Ricky Sandler.</t>
  </si>
  <si>
    <t>30-40%</t>
  </si>
  <si>
    <t>30-40%, 270m AUM</t>
  </si>
  <si>
    <t>-1%. Sandler starts Eminence.</t>
  </si>
  <si>
    <t>5.4% as of March (Master Fund)</t>
  </si>
  <si>
    <t>SpaceX</t>
  </si>
  <si>
    <t>OpenAI</t>
  </si>
  <si>
    <t>Databricks</t>
  </si>
  <si>
    <t>Anthropic</t>
  </si>
  <si>
    <t>CoreWeave</t>
  </si>
  <si>
    <t>xAI</t>
  </si>
  <si>
    <t>Waymo</t>
  </si>
  <si>
    <t>Epic Games</t>
  </si>
  <si>
    <t>Discord</t>
  </si>
  <si>
    <t>Shein</t>
  </si>
  <si>
    <t>Magic Leap</t>
  </si>
  <si>
    <t>Anduril</t>
  </si>
  <si>
    <t>Canva</t>
  </si>
  <si>
    <t>Figma</t>
  </si>
  <si>
    <t>Binance</t>
  </si>
  <si>
    <t>Wiz</t>
  </si>
  <si>
    <t>Rippling</t>
  </si>
  <si>
    <t>Tabby</t>
  </si>
  <si>
    <t>Wonder</t>
  </si>
  <si>
    <t>Impossible Foods</t>
  </si>
  <si>
    <t>Checkout.com</t>
  </si>
  <si>
    <t>Getir</t>
  </si>
  <si>
    <t>JUUL</t>
  </si>
  <si>
    <t>Redwood Materials</t>
  </si>
  <si>
    <t>Altos Labs</t>
  </si>
  <si>
    <t>Lalamove</t>
  </si>
  <si>
    <t>ofo</t>
  </si>
  <si>
    <t>Zepto</t>
  </si>
  <si>
    <t>Metropolis</t>
  </si>
  <si>
    <t>Scale AI</t>
  </si>
  <si>
    <t>Figure</t>
  </si>
  <si>
    <t>WeDoctor</t>
  </si>
  <si>
    <t>AlphaSense</t>
  </si>
  <si>
    <t>Lambda</t>
  </si>
  <si>
    <t>Airtable</t>
  </si>
  <si>
    <t>Shield AI</t>
  </si>
  <si>
    <t>PsiQuantum</t>
  </si>
  <si>
    <t>CloudKitchens</t>
  </si>
  <si>
    <t>Mistral AI</t>
  </si>
  <si>
    <t>Carta</t>
  </si>
  <si>
    <t>Series G</t>
  </si>
  <si>
    <t>Eikon Therapeutics</t>
  </si>
  <si>
    <t>Groq</t>
  </si>
  <si>
    <t>Automattic</t>
  </si>
  <si>
    <t>Deel</t>
  </si>
  <si>
    <t>1Password</t>
  </si>
  <si>
    <t>Grafana</t>
  </si>
  <si>
    <t>Niantic</t>
  </si>
  <si>
    <t>Cerebras</t>
  </si>
  <si>
    <t>Neuralink</t>
  </si>
  <si>
    <t>Perplexity</t>
  </si>
  <si>
    <t>Cockroach Labs</t>
  </si>
  <si>
    <t>Insilico Medicine</t>
  </si>
  <si>
    <t>Vercel</t>
  </si>
  <si>
    <t>ClickUp</t>
  </si>
  <si>
    <t>Chainalysis</t>
  </si>
  <si>
    <t>Together AI</t>
  </si>
  <si>
    <t>Last Round</t>
  </si>
  <si>
    <t>Size</t>
  </si>
  <si>
    <t>Miro</t>
  </si>
  <si>
    <t>Acorns</t>
  </si>
  <si>
    <t>Benchling</t>
  </si>
  <si>
    <t>Calendly</t>
  </si>
  <si>
    <t>Notion</t>
  </si>
  <si>
    <t>Synthesia</t>
  </si>
  <si>
    <t>Liquid AI</t>
  </si>
  <si>
    <t>Intercom</t>
  </si>
  <si>
    <t>Runway</t>
  </si>
  <si>
    <t>Hedge Funds</t>
  </si>
  <si>
    <t>VCs</t>
  </si>
  <si>
    <t>12.5B AUM, #1</t>
  </si>
  <si>
    <t>T. Boone Pickens Jr</t>
  </si>
  <si>
    <t>89% equity, +650% Commodity</t>
  </si>
  <si>
    <t>8% Global Offshore, GAMut +6.4%</t>
  </si>
  <si>
    <t>16.6% (6.5B Macro), 700 employees, 19.9B AUM.</t>
  </si>
  <si>
    <t>+32% Lone Cypress, +34% Lone Kari, +27% Lone Cascade, +25.9%</t>
  </si>
  <si>
    <t>8% or 13.5%, 5.3B AUM</t>
  </si>
  <si>
    <t>38% Tontine Partners, +11.6% Tontine Financial, 5B AUM</t>
  </si>
  <si>
    <t>101.4%, +20% Tontine Financial</t>
  </si>
  <si>
    <t>+50% Kensington</t>
  </si>
  <si>
    <t>single-digit</t>
  </si>
  <si>
    <t>Tim Barakett</t>
  </si>
  <si>
    <t>+45% average, +22% Global, +62% European, 9.2B AUM</t>
  </si>
  <si>
    <t>15.9% World, +26% Europe, 7B AUM</t>
  </si>
  <si>
    <t>14.7% BVI, +8.9% Raptor, 12.7B AUM</t>
  </si>
  <si>
    <t>+3.46% PA. 20.9B Pure Alpha, 150B firm AUM.</t>
  </si>
  <si>
    <t>24.2%, 3.4B AUM</t>
  </si>
  <si>
    <t>16% Moore Global Investments, 5.3B. +15.6% Moore Global Fixed Income, +20% Moore Emerging Markets. 3/25 fees.</t>
  </si>
  <si>
    <t>+18%, 3.8B AUM</t>
  </si>
  <si>
    <t>William Browder</t>
  </si>
  <si>
    <t>81.5% net of 2/20. 4.3B AUM.</t>
  </si>
  <si>
    <t>+10.42% Europe, +9.86% Europe International. 6.5-10.5% across firm. 9B AUM.</t>
  </si>
  <si>
    <t>Tribeca (Citigroup)</t>
  </si>
  <si>
    <t>Tanya Bader</t>
  </si>
  <si>
    <t>-4.1%, +7.25% FI. Bigest HF with 8B AUM.</t>
  </si>
  <si>
    <t>Mark Carhart, Ray Iwanowski</t>
  </si>
  <si>
    <t>Ravinder Mehra</t>
  </si>
  <si>
    <t>Sparx</t>
  </si>
  <si>
    <t>Japan</t>
  </si>
  <si>
    <t>Sloane Robertson</t>
  </si>
  <si>
    <t>Steel Partners</t>
  </si>
  <si>
    <t>6.5B AUM</t>
  </si>
  <si>
    <t>9.5B AUM</t>
  </si>
  <si>
    <t>11.5B AUM (hedge funds)</t>
  </si>
  <si>
    <t>Firebird</t>
  </si>
  <si>
    <t>Dynamic Capital</t>
  </si>
  <si>
    <t>57.7% gross, 29.51% net. RIEF launched in August 2005, +20% with 20B.</t>
  </si>
  <si>
    <t>7.2%, 12B AUM. Citadel Execution Services, Citadel Solutions.</t>
  </si>
  <si>
    <t>30%. 12B AUM. Bought Amaranth's portfolio.</t>
  </si>
  <si>
    <t>Aragon</t>
  </si>
  <si>
    <t>Anne Dias</t>
  </si>
  <si>
    <t>11.8% BVI, 16B AUM.</t>
  </si>
  <si>
    <t>+36.5%, +44.5% Europe. 12B-13.5B AUM.</t>
  </si>
  <si>
    <t>Worked at Junction Partners.</t>
  </si>
  <si>
    <t>26%. 5.4B AUM.</t>
  </si>
  <si>
    <t>Carl Icahn</t>
  </si>
  <si>
    <t>John Arnold</t>
  </si>
  <si>
    <t>200%. 3B AUM. Broke Amaranth.</t>
  </si>
  <si>
    <t>17%. 8.4B AUM.</t>
  </si>
  <si>
    <t>35%. 4.3B AUM.</t>
  </si>
  <si>
    <t>+15-17%. Sold 20% to Morgan Stanley for $300m.</t>
  </si>
  <si>
    <t>+3.4% PA. 30B HFs, 165B AUM, 30B hedge.</t>
  </si>
  <si>
    <t>+22% Equity, 100% Energy</t>
  </si>
  <si>
    <t>JPMorgan acquires Highbridge for 1.3B.</t>
  </si>
  <si>
    <t>24.7% net, 15.7B-21.0B AUM, 230 employees.</t>
  </si>
  <si>
    <t>15.8% Master (15B), +22% EU, +14.5% Asia. 21B AUM.</t>
  </si>
  <si>
    <t>+8.9% Master Fund (11.5B), 14B AUM. +16% OZ Europe, +14.5% OZ Asia.</t>
  </si>
  <si>
    <t>Daniel Och (worked for Robert Rubin at GS)</t>
  </si>
  <si>
    <t>9% Tontine Partners, +48% Tontine Capital Partners</t>
  </si>
  <si>
    <t>Barry Rosenstein</t>
  </si>
  <si>
    <t>Jabre</t>
  </si>
  <si>
    <t>Philippe Jabre</t>
  </si>
  <si>
    <t>Noam Gottesman, Pierre Lagrange, Philippe Jabre, Mark Cecil, Greg Coffey, Jonathan Green, Emmanuel Roman.</t>
  </si>
  <si>
    <t>+20% generally, +25% Market Neutral, +20% L/S, +60% EM 18.8B AUM</t>
  </si>
  <si>
    <t>15.5%. +100%EM 15.5B AUM, 250 employees. Philippe Jabre leaves.</t>
  </si>
  <si>
    <t>+100% EM. GLG 11.2B, Man 11.1B.</t>
  </si>
  <si>
    <t>PA: 9.5% to 13%; 130B-150B AUM, 30B hedge</t>
  </si>
  <si>
    <t>9.4%; 8.7% PA (38.6B AUM)</t>
  </si>
  <si>
    <t>+19.9% composite, +8.70% Oculus</t>
  </si>
  <si>
    <t>+11.43% Macro, +4.58% Global Investments Class A</t>
  </si>
  <si>
    <t>30-45% gold classes; Credit 19.63%, Advantage +10.96%</t>
  </si>
  <si>
    <t>-5.29% as of March</t>
  </si>
  <si>
    <t>PA: +27.32%, PA2: +44.77%. 59B HFs.</t>
  </si>
  <si>
    <t>57.5% gross, 29.4% net. RIEF +16.5%</t>
  </si>
  <si>
    <t>84.1% gross, 44.3% net. 6B AUM. RIEF +21%.</t>
  </si>
  <si>
    <t>27.66% Palomino, 22% Thoroughbred</t>
  </si>
  <si>
    <t>+129% Palomino, +96% Thoroughbred</t>
  </si>
  <si>
    <t>16%, 12B AUM</t>
  </si>
  <si>
    <t>+15% gross</t>
  </si>
  <si>
    <t>+9.32% Global Investment Fund</t>
  </si>
  <si>
    <t>2.63%, 28B</t>
  </si>
  <si>
    <t>Stan Druckenmiller, Scott Bessent, Nicholas Roditi, Robert Johnson, Gerard Manolovici, Robert Raif, Walter Burlock, Dale Precoda, Leif Rosenblatt, Gary Gladstein, Elizabeth Larson, Robert Bishop, Jacob Goldfield, Mark Schwartz, Keith Anderson</t>
  </si>
  <si>
    <t>+11.11% Wellington, +10.75% Kensington, 11B AUM.</t>
  </si>
  <si>
    <t>Michael Hintze</t>
  </si>
  <si>
    <t>+20%, +26% domestic, +30% Europe. 18B AUM.</t>
  </si>
  <si>
    <t>29.67%; 8.66B AUM.</t>
  </si>
  <si>
    <t>+8.52% Master (14.8B). +7.52% Europe (3B). 27.9B AUM.</t>
  </si>
  <si>
    <t>13.4%; 8.2B AUM.</t>
  </si>
  <si>
    <t>Jeff Bezos, Anne Dinning, Julius Gaudio, Louis Salkind, Stuart Steckler, Max Stone, Eric Wepsic, Michael Bigger</t>
  </si>
  <si>
    <t>+2.45% composite, +6.9% Oculus, 1.7%, 14B AUM (-40%)</t>
  </si>
  <si>
    <t>12.36%, BlueTrend +15.53%. 24B AUM.</t>
  </si>
  <si>
    <t>Leda Braga, William Reeves</t>
  </si>
  <si>
    <t>1981-2011</t>
  </si>
  <si>
    <t>Andrew Hoine</t>
  </si>
  <si>
    <t>20%, 6B</t>
  </si>
  <si>
    <t>Herb Wagner</t>
  </si>
  <si>
    <t>+16.05% PA, 70B HF AUM</t>
  </si>
  <si>
    <t>Patrick McMahon</t>
  </si>
  <si>
    <t>PA12: 3.5%, PA18: 5.25%, AW12: -4.62%.</t>
  </si>
  <si>
    <t>17.9% - 18.3%</t>
  </si>
  <si>
    <t>David Harding</t>
  </si>
  <si>
    <t>David Gallo</t>
  </si>
  <si>
    <t>Covex</t>
  </si>
  <si>
    <t>Keith Meister</t>
  </si>
  <si>
    <t>Andrew Spokes</t>
  </si>
  <si>
    <t>Thomas Steyer founded firm.</t>
  </si>
  <si>
    <t>PA: 8.6%, PA2: +3.6%, PAMMII: 8.7%. 89.6B HF AUM</t>
  </si>
  <si>
    <t>Jeffrey Talpins</t>
  </si>
  <si>
    <t>PAMM: 10.6%, PA2: +4.7%, AW: -7%. 89.6B --&gt; 104B HFAUM (+17%)</t>
  </si>
  <si>
    <t>bwater.com</t>
  </si>
  <si>
    <t>203-226-3030</t>
  </si>
  <si>
    <t>2/20 - 3/20</t>
  </si>
  <si>
    <t>PA12: +0.6%, PA18%: +0.80%, AW12%: 16.49%</t>
  </si>
  <si>
    <t>PA12: +2.1%, PA18: +2.5%, AW: +11.61%. 104.2B --&gt; 122.3B</t>
  </si>
  <si>
    <t>Jeff Ubben</t>
  </si>
  <si>
    <t>Greg Jensen, Bob Prince, Jon Rubinstein, Eileen Murray, David McCormick, Helene Glotzer, Osman Nalbantoglu, John Halvey, Nella Domenici, Katina Stefanova, Angela Ruggiero, James Comey, Bruce Steinberg</t>
  </si>
  <si>
    <t>PA12: +1.22%, PA18: +1.20%, AW: +13.1%</t>
  </si>
  <si>
    <t>-1.8% to -2.21%</t>
  </si>
  <si>
    <t>28.2% long/short, 38.1% long-only. 11B.</t>
  </si>
  <si>
    <t>+13.68% Valence, +10.4% Composite, +4% Oculus. 39B AUM.</t>
  </si>
  <si>
    <t>Transitioned to sector specialists vs. generalists.</t>
  </si>
  <si>
    <t>+18.1% Offshore, +28.8% Ultra. 18.6B AUM.</t>
  </si>
  <si>
    <t>43.88% - 47.80%</t>
  </si>
  <si>
    <t>49.6% to 51.81%</t>
  </si>
  <si>
    <t>40.13% - 43.43%</t>
  </si>
  <si>
    <t>Adam Stone</t>
  </si>
  <si>
    <t>16.6%, 3.8B</t>
  </si>
  <si>
    <t>Insider trading settlement.</t>
  </si>
  <si>
    <t>+21.5% Multi-Strategy, +14.3% Credit, +14.2% Europe, +23% Asia. 17B AUM.</t>
  </si>
  <si>
    <t>HSD</t>
  </si>
  <si>
    <t>8.6%, 34.4B AUM</t>
  </si>
  <si>
    <t>33B AUM</t>
  </si>
  <si>
    <t>12.3%, 26.9% long-only, 17.4% GO. 25B AUM after returning 8B. Dan Sundheim leaves.</t>
  </si>
  <si>
    <t>David Ott, Brian Olson, Dan Sundheim</t>
  </si>
  <si>
    <t>Lee Fixel, Feroz Dewan, Scott Shleifer</t>
  </si>
  <si>
    <t>O Francis Biondi Jr</t>
  </si>
  <si>
    <t>Bihua Chen, Edmund Debler, Steve Lisi, Steven Markowitz, John Novogratz, Michael Gelband</t>
  </si>
  <si>
    <t>7.12%-7.67%</t>
  </si>
  <si>
    <t>+11% L/S, +26% Lone Cascade (long-only), 8.2%</t>
  </si>
  <si>
    <t>David Craver, Mala Gaonkar, Kelly Granat</t>
  </si>
  <si>
    <t>6.1% CDS Directional Opportunities Fund, +8.1% CQS Diversified Fund, +12.37% ABS Feeder Fund</t>
  </si>
  <si>
    <t>PA18: 2%</t>
  </si>
  <si>
    <t>+8.2% in January</t>
  </si>
  <si>
    <t>Pure Alpha launch.</t>
  </si>
  <si>
    <t>Gregoire Schneider, Olivier Durantel, Maxime Fortin, Antoine Fillet, Pierre-Adrien Nicolas</t>
  </si>
  <si>
    <t>Arini</t>
  </si>
  <si>
    <t>Hamza Lemssouguer</t>
  </si>
  <si>
    <t>Wayne Holman, Michael Zimmerman, Gabe Plotkin, Rob Pohly, Brad Schonhoft, Art Cohen, Joe Healey, Matt Jacobs, Matt Martoma, Allan Reine, Anthony Chiasson, Rod Wong, Mayukh Sukhatme, Edmund Debler, Steve Lisi, Noah Freeman, Donald Longueuil, Vibhav Bukkapatanam, Denis Dancanet</t>
  </si>
  <si>
    <t>Vojislav Sesum, Matthew Reid, Anthony Pears, Thomas Devos, Ali Rauf, Laurent Cousot</t>
  </si>
  <si>
    <t>+7.11% York Multistrategy. +16.06% York Select. Sold 30% to Credit Suisse for $425m. $14.5B AUM, $12.65B HFs.</t>
  </si>
  <si>
    <t>15.1% Apex, +21.4% Delphi L/S Equity, +25.3% Equity Market Neutral, +17.9% Helix</t>
  </si>
  <si>
    <t>+18% Composite, +36.1% Oculus</t>
  </si>
  <si>
    <t>-14%, +35% China</t>
  </si>
  <si>
    <t>Broad Reach</t>
  </si>
  <si>
    <t>Bradley Wickens, Paulo Remiao</t>
  </si>
  <si>
    <t>+22.6% TOPS (Q324 +8.56%), Eureka Q324 +11.74%, GO Q324 +9.02%; +5.1% Master Fund</t>
  </si>
  <si>
    <t>15.1% Wellington, +22.3% Tactical Trading, +18% Equities</t>
  </si>
  <si>
    <t>Steve Schonfeld</t>
  </si>
  <si>
    <t>+19.7% Strategic Partners, +21.1% Fundamental Equity</t>
  </si>
  <si>
    <t>+3.1% Strategic Partners, +4.8% Fundamental Equity. 10B AUM.</t>
  </si>
  <si>
    <t>+4.4% Strategic Partners, +3.1% Fundamental Equity, 14B AUM.</t>
  </si>
  <si>
    <t>+18.5% Absolute Return</t>
  </si>
  <si>
    <t>10.6B</t>
  </si>
  <si>
    <t>8B</t>
  </si>
  <si>
    <t>20B</t>
  </si>
  <si>
    <t>Rob Granieri</t>
  </si>
  <si>
    <t>Leda Braga</t>
  </si>
  <si>
    <t>5547-15000</t>
  </si>
  <si>
    <t>Started with $40m.</t>
  </si>
  <si>
    <t>Scott Schroeder, Taylor O'Malley</t>
  </si>
  <si>
    <t>+7.8% (Enhanced), 0.7%</t>
  </si>
  <si>
    <t>-6%, -2.91% as of 5/4/2018</t>
  </si>
  <si>
    <t>Dmitry Balyasny</t>
  </si>
  <si>
    <t>Peter Brown, David Lippe</t>
  </si>
  <si>
    <t>Karen Karniol-Tambour, Ray Dalio</t>
  </si>
  <si>
    <t>1.5B</t>
  </si>
  <si>
    <t>7.8B</t>
  </si>
  <si>
    <t>4.9B</t>
  </si>
  <si>
    <t>0.8B</t>
  </si>
  <si>
    <t>0.5B</t>
  </si>
  <si>
    <t>Don Wilson</t>
  </si>
  <si>
    <t>Rates</t>
  </si>
  <si>
    <t>Carter Lyons, Scott Hoffman</t>
  </si>
  <si>
    <t>Henry Laufer, Robert Frey</t>
  </si>
  <si>
    <t>+10.9% Spectrum, (11.2% as of 11/15); +14.3% AR Enhanced</t>
  </si>
  <si>
    <t>+12% AR Enhanced; +8.6% Spectrum, Compass -6%, Compass Enhanced -16%</t>
  </si>
  <si>
    <t>54-60%</t>
  </si>
  <si>
    <t>-9% (+5.75% 5/4/2018)</t>
  </si>
  <si>
    <t>+16% Medallion RIEF +4.91%</t>
  </si>
  <si>
    <t>+~45% (Medallion, +9.7% in Q1). RIEF -4.36% Q121, RIEF -5.8% January, RIEF +20.1%</t>
  </si>
  <si>
    <t>John Overdeck, David Siegel, Mark Pickard, Kan Huang (2011-2024), Jin Choi (2011-Present), Ken Baron, Ali-Milan Nekmouche, Jian Wu (fired), Carsten Otto (left), Greg Shih (left), Tim Reynolds, Jeff Penney (left), Jon Hitchon (left), Camille Fournier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</si>
</sst>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8"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b/>
      <u/>
      <sz val="10"/>
      <color theme="1"/>
      <name val="Arial"/>
      <family val="2"/>
    </font>
    <font>
      <sz val="10"/>
      <name val="Arial"/>
      <family val="2"/>
    </font>
    <font>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4">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xf numFmtId="10" fontId="0" fillId="0" borderId="0" xfId="0" applyNumberFormat="1"/>
    <xf numFmtId="0" fontId="5" fillId="0" borderId="0" xfId="0" applyFont="1"/>
    <xf numFmtId="3" fontId="0" fillId="0" borderId="0" xfId="0" quotePrefix="1" applyNumberFormat="1"/>
    <xf numFmtId="0" fontId="6" fillId="0" borderId="0" xfId="1" applyFont="1"/>
    <xf numFmtId="3" fontId="6" fillId="0" borderId="0" xfId="1" applyNumberFormat="1" applyFont="1" applyAlignment="1">
      <alignment horizontal="right"/>
    </xf>
    <xf numFmtId="3" fontId="4" fillId="0" borderId="0" xfId="0" applyNumberFormat="1" applyFont="1"/>
    <xf numFmtId="3" fontId="3" fillId="0" borderId="0" xfId="0" applyNumberFormat="1" applyFont="1" applyAlignment="1">
      <alignment horizontal="right"/>
    </xf>
    <xf numFmtId="0" fontId="2" fillId="0" borderId="0" xfId="0" applyFont="1" applyAlignment="1">
      <alignment horizontal="right"/>
    </xf>
    <xf numFmtId="3" fontId="6" fillId="0" borderId="0" xfId="1" quotePrefix="1" applyNumberFormat="1" applyFont="1" applyAlignment="1">
      <alignment horizontal="right"/>
    </xf>
    <xf numFmtId="9" fontId="0" fillId="0" borderId="0" xfId="0" quotePrefix="1" applyNumberFormat="1" applyAlignment="1">
      <alignment horizontal="right"/>
    </xf>
    <xf numFmtId="0" fontId="0" fillId="5" borderId="0" xfId="0" applyFill="1"/>
    <xf numFmtId="9" fontId="0" fillId="0" borderId="0" xfId="0" applyNumberFormat="1" applyAlignment="1">
      <alignment horizontal="center"/>
    </xf>
    <xf numFmtId="3" fontId="4" fillId="0" borderId="0" xfId="0" applyNumberFormat="1" applyFont="1" applyAlignment="1">
      <alignment horizontal="center"/>
    </xf>
    <xf numFmtId="10" fontId="0" fillId="0" borderId="0" xfId="0" applyNumberFormat="1" applyAlignment="1">
      <alignment horizontal="center"/>
    </xf>
    <xf numFmtId="10" fontId="0" fillId="0" borderId="0" xfId="0" quotePrefix="1" applyNumberFormat="1"/>
    <xf numFmtId="0" fontId="0" fillId="0" borderId="0" xfId="0" quotePrefix="1" applyAlignment="1">
      <alignment horizontal="center"/>
    </xf>
    <xf numFmtId="10" fontId="0" fillId="0" borderId="0" xfId="0" quotePrefix="1" applyNumberFormat="1" applyAlignment="1">
      <alignment horizontal="center"/>
    </xf>
    <xf numFmtId="10" fontId="0" fillId="0" borderId="0" xfId="0" quotePrefix="1" applyNumberFormat="1" applyAlignment="1">
      <alignment horizontal="left"/>
    </xf>
    <xf numFmtId="1" fontId="0" fillId="0" borderId="0" xfId="0" applyNumberFormat="1"/>
    <xf numFmtId="0" fontId="0" fillId="0" borderId="0" xfId="0" quotePrefix="1" applyAlignment="1">
      <alignment horizontal="right"/>
    </xf>
    <xf numFmtId="16" fontId="0" fillId="0" borderId="0" xfId="0" quotePrefix="1" applyNumberFormat="1" applyAlignment="1">
      <alignment horizontal="right"/>
    </xf>
    <xf numFmtId="3" fontId="0" fillId="5" borderId="0" xfId="0" applyNumberFormat="1" applyFill="1"/>
    <xf numFmtId="9" fontId="0" fillId="5" borderId="0" xfId="0" applyNumberFormat="1" applyFill="1"/>
    <xf numFmtId="0" fontId="4" fillId="0" borderId="0" xfId="0" quotePrefix="1" applyFont="1"/>
    <xf numFmtId="0" fontId="0" fillId="5" borderId="0" xfId="0" applyFill="1" applyAlignment="1">
      <alignment horizontal="right"/>
    </xf>
    <xf numFmtId="16" fontId="0" fillId="0" borderId="0" xfId="0" quotePrefix="1" applyNumberFormat="1"/>
    <xf numFmtId="10" fontId="0" fillId="5" borderId="0" xfId="0" applyNumberFormat="1" applyFill="1"/>
    <xf numFmtId="17" fontId="0" fillId="0" borderId="0" xfId="0" applyNumberForma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Drugs"/>
      <sheetName val="Industry Model"/>
      <sheetName val="Todo"/>
      <sheetName val="Launches"/>
      <sheetName val="China"/>
      <sheetName val="FX"/>
      <sheetName val="Private"/>
      <sheetName val="Funds"/>
      <sheetName val="Acquisitions"/>
      <sheetName val="Mergers"/>
      <sheetName val="Bankruptcies"/>
    </sheetNames>
    <sheetDataSet>
      <sheetData sheetId="0"/>
      <sheetData sheetId="1"/>
      <sheetData sheetId="2"/>
      <sheetData sheetId="3"/>
      <sheetData sheetId="4"/>
      <sheetData sheetId="5"/>
      <sheetData sheetId="6">
        <row r="2">
          <cell r="C2">
            <v>7.0570000000000004</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11-11T21:29:18.64" personId="{4F866D09-A2D3-41DA-A24C-20DE51662D93}" id="{D9C97D89-C43E-458D-9B15-7D2957C13EFF}">
    <text>Pure Alpha 12%
Pure Alpha 18%
All Weather 12%
142.7B including non-HFs
89.6B as of 2024</text>
  </threadedComment>
  <threadedComment ref="X4" dT="2024-11-11T21:29:45.05" personId="{4F866D09-A2D3-41DA-A24C-20DE51662D93}" id="{571E6B33-9F0B-402B-B6AF-3026724B96B6}">
    <text>All weather opened 1996
Pure alpha 1991</text>
  </threadedComment>
  <threadedComment ref="AQ4" dT="2024-11-11T21:44:28.32" personId="{4F866D09-A2D3-41DA-A24C-20DE51662D93}" id="{65A0F6CF-356C-4A90-96D2-FFE35AFE2E62}">
    <text>All Weather +16%</text>
  </threadedComment>
  <threadedComment ref="AR4" dT="2024-11-11T21:45:06.55" personId="{4F866D09-A2D3-41DA-A24C-20DE51662D93}" id="{267E6B37-EE49-4656-A61F-E5E2C45BA32F}">
    <text>All Weather -5.1%</text>
  </threadedComment>
  <threadedComment ref="R5" dT="2024-10-18T18:04:55.07" personId="{4F866D09-A2D3-41DA-A24C-20DE51662D93}" id="{721B1AFB-E9A3-4533-AB62-8AC4F0C5C7EA}">
    <text>39.6B with options</text>
  </threadedComment>
  <threadedComment ref="D6" dT="2024-04-06T22:43:10.64" personId="{4F866D09-A2D3-41DA-A24C-20DE51662D93}" id="{7FEA0874-05A1-4358-97A8-F1716B083A3C}">
    <text>YE2023 - regulatory AUM 506B
67.467B?
67.895B as of 12/31/2024</text>
  </threadedComment>
  <threadedComment ref="P6" dT="2024-03-24T23:30:49.40" personId="{4F866D09-A2D3-41DA-A24C-20DE51662D93}" id="{C57C4AE4-C7A6-45D6-8459-B02B625F744C}">
    <text>231.1B notional</text>
  </threadedComment>
  <threadedComment ref="Q6" dT="2025-01-11T21:29:04.66" personId="{4F866D09-A2D3-41DA-A24C-20DE51662D93}" id="{5FFF1DFD-1473-4377-8704-065F0D15D1EE}">
    <text>234.1B with options</text>
  </threadedComment>
  <threadedComment ref="R6" dT="2024-10-17T20:20:17.06" personId="{4F866D09-A2D3-41DA-A24C-20DE51662D93}" id="{2E0E738E-9543-4D64-97D5-6E243499B4FE}">
    <text>215.933B with puts/calls</text>
  </threadedComment>
  <threadedComment ref="S6" dT="2025-01-11T20:11:02.62" personId="{4F866D09-A2D3-41DA-A24C-20DE51662D93}" id="{B533632F-6233-41C2-A96C-9A84235E21C6}">
    <text>210.9B with puts/calls</text>
  </threadedComment>
  <threadedComment ref="T6" dT="2025-03-13T02:15:05.47" personId="{4F866D09-A2D3-41DA-A24C-20DE51662D93}" id="{6DD935C6-2C91-45A7-BEFE-32A4846705CA}">
    <text>204B with puts/calls</text>
  </threadedComment>
  <threadedComment ref="P7" dT="2024-03-24T23:23:21.67" personId="{4F866D09-A2D3-41DA-A24C-20DE51662D93}" id="{4762A1A1-5314-4304-962C-F1489B64BA4B}">
    <text>500.3B notional</text>
  </threadedComment>
  <threadedComment ref="Q7" dT="2025-01-11T21:30:30.93" personId="{4F866D09-A2D3-41DA-A24C-20DE51662D93}" id="{78BA4497-CABC-449B-9F46-33176033C6E5}">
    <text>518.5B with options</text>
  </threadedComment>
  <threadedComment ref="R7" dT="2024-10-18T17:01:16.80" personId="{4F866D09-A2D3-41DA-A24C-20DE51662D93}" id="{50685B42-1DEF-4F03-B165-0B3BE51AA4D4}">
    <text>494B with puts/calls</text>
  </threadedComment>
  <threadedComment ref="S7" dT="2025-01-11T20:11:36.90" personId="{4F866D09-A2D3-41DA-A24C-20DE51662D93}" id="{666D69F6-2D40-4CB7-84DC-1E7169651672}">
    <text>518.3B with puts and calls</text>
  </threadedComment>
  <threadedComment ref="T7" dT="2025-03-13T02:16:33.84" personId="{4F866D09-A2D3-41DA-A24C-20DE51662D93}" id="{39626C2C-72BA-4875-ADE4-BF441F47D12A}">
    <text>577.866B with calls/puts</text>
  </threadedComment>
  <threadedComment ref="M9" dT="2025-03-13T03:46:36.82" personId="{4F866D09-A2D3-41DA-A24C-20DE51662D93}" id="{9C0BC53A-D4F9-4001-B04C-A7CC444E9E9C}">
    <text>93.405B without puts/calls</text>
  </threadedComment>
  <threadedComment ref="N9" dT="2025-03-13T03:45:49.06" personId="{4F866D09-A2D3-41DA-A24C-20DE51662D93}" id="{F9DD81B8-628A-4A9E-BC12-E1255C9A8CCA}">
    <text>97.897B without calls/puts</text>
  </threadedComment>
  <threadedComment ref="O9" dT="2025-03-13T03:45:00.24" personId="{4F866D09-A2D3-41DA-A24C-20DE51662D93}" id="{E048C19F-D705-4E55-8077-64B82697CDD4}">
    <text>95.784B without calls/puts</text>
  </threadedComment>
  <threadedComment ref="P9" dT="2024-03-24T23:36:15.59" personId="{4F866D09-A2D3-41DA-A24C-20DE51662D93}" id="{4B0FBDB2-AA02-4843-9D9F-0D30F03384DC}">
    <text>114.4B notional</text>
  </threadedComment>
  <threadedComment ref="Q9" dT="2025-03-13T03:43:37.02" personId="{4F866D09-A2D3-41DA-A24C-20DE51662D93}" id="{689AFD1B-0493-4946-95A3-14CCCEF5FF87}">
    <text>116.847B without puts/calls</text>
  </threadedComment>
  <threadedComment ref="R9" dT="2024-10-18T17:07:25.77" personId="{4F866D09-A2D3-41DA-A24C-20DE51662D93}" id="{3A67D951-8F28-403E-9ED5-DD0E9C0A5755}">
    <text>106.9B with puts and calls</text>
  </threadedComment>
  <threadedComment ref="S9" dT="2025-03-13T02:23:30.70" personId="{4F866D09-A2D3-41DA-A24C-20DE51662D93}" id="{7078D910-2410-4063-917F-655A64741A2C}">
    <text>116.492B without puts/calls</text>
  </threadedComment>
  <threadedComment ref="T9" dT="2025-03-13T02:22:48.53" personId="{4F866D09-A2D3-41DA-A24C-20DE51662D93}" id="{2F28B782-6183-40A8-8782-3335487023E5}">
    <text>136B without puts/calls</text>
  </threadedComment>
  <threadedComment ref="AA9" dT="2025-03-19T00:29:12.76" personId="{4F866D09-A2D3-41DA-A24C-20DE51662D93}" id="{FAEF1756-04A9-4757-BFD3-F44787E0777A}">
    <text>Oculus 13% since 2004 inception, no down years</text>
  </threadedComment>
  <threadedComment ref="B10" dT="2025-02-14T18:32:27.08" personId="{4F866D09-A2D3-41DA-A24C-20DE51662D93}" id="{12EE409F-9408-40CD-AC88-BA5E6FB9C68E}">
    <text>Two Sigma Advisers, LP?</text>
  </threadedComment>
  <threadedComment ref="D10" dT="2025-03-19T01:05:40.77" personId="{4F866D09-A2D3-41DA-A24C-20DE51662D93}" id="{90A697D4-EE61-4415-874F-8D312D55A75F}">
    <text>64B according to Bloomberg 11/21/24
60B in press release 8/28/2024</text>
  </threadedComment>
  <threadedComment ref="P11" dT="2024-03-25T13:05:14.83" personId="{4F866D09-A2D3-41DA-A24C-20DE51662D93}" id="{C684003E-9273-4FA7-9805-9AE377D254D9}">
    <text>20.1B notional</text>
  </threadedComment>
  <threadedComment ref="R11" dT="2024-10-18T17:37:29.34" personId="{4F866D09-A2D3-41DA-A24C-20DE51662D93}" id="{0B58D19C-010D-40F0-AD20-E288FF6DA125}">
    <text>21.2B w/ options</text>
  </threadedComment>
  <threadedComment ref="D13" dT="2025-02-26T00:04:59.77" personId="{4F866D09-A2D3-41DA-A24C-20DE51662D93}" id="{7F716EA0-1B25-4893-A936-13BB135D38E2}">
    <text>14B mutual funds?
Had 100B but probably not accurate</text>
  </threadedComment>
  <threadedComment ref="P13" dT="2024-03-25T00:18:07.38" personId="{4F866D09-A2D3-41DA-A24C-20DE51662D93}" id="{A64FBD4E-3404-47A5-8666-77C4F6F6B281}">
    <text>53.1B notional
Does not include AQR Arbitrage</text>
  </threadedComment>
  <threadedComment ref="P14" dT="2024-03-24T23:41:53.18" personId="{4F866D09-A2D3-41DA-A24C-20DE51662D93}" id="{FA1797E3-12C9-4242-89BA-F3EE55036D35}">
    <text>41.4B notional</text>
  </threadedComment>
  <threadedComment ref="Q14" dT="2025-02-17T03:42:15.34" personId="{4F866D09-A2D3-41DA-A24C-20DE51662D93}" id="{540071C9-FCB0-4EFA-9577-D318DA9F7E46}">
    <text>Cubist files its own 13F with 17.6B</text>
  </threadedComment>
  <threadedComment ref="R14" dT="2024-10-18T17:22:02.99" personId="{4F866D09-A2D3-41DA-A24C-20DE51662D93}" id="{57D3A232-FFC3-4C52-869F-8BFA33CC07FA}">
    <text>38.3B without options
14.7B Cubist</text>
  </threadedComment>
  <threadedComment ref="S14" dT="2025-02-17T18:45:17.30" personId="{4F866D09-A2D3-41DA-A24C-20DE51662D93}" id="{2667FB6A-A1C7-4C95-B5ED-B5DA9330F30F}">
    <text>16.3B Cubist</text>
  </threadedComment>
  <threadedComment ref="D15" dT="2024-04-06T21:21:20.05" personId="{4F866D09-A2D3-41DA-A24C-20DE51662D93}" id="{619F1106-B84E-4DD6-86D3-7F468B3D87E4}">
    <text>NA unit has 18B regulatory AUM, 11B net assets as of 3/31/23
Had 64B but probably inaccurate</text>
  </threadedComment>
  <threadedComment ref="P15" dT="2024-03-24T23:39:12.44" personId="{4F866D09-A2D3-41DA-A24C-20DE51662D93}" id="{006D0B08-32B3-47C6-B22C-F59B0380A6F0}">
    <text>59.0B notional</text>
  </threadedComment>
  <threadedComment ref="R15" dT="2024-10-18T17:13:40.68" personId="{4F866D09-A2D3-41DA-A24C-20DE51662D93}" id="{3CB3EFBB-CB46-4B1B-812C-7F9B07570E6C}">
    <text>74.894B with puts/calls</text>
  </threadedComment>
  <threadedComment ref="S15" dT="2025-01-11T21:28:38.49" personId="{4F866D09-A2D3-41DA-A24C-20DE51662D93}" id="{D1546FBF-7C4F-4E94-B563-4CCB3E1B8736}">
    <text>82.1B with options</text>
  </threadedComment>
  <threadedComment ref="P16" dT="2024-03-24T22:46:26.74" personId="{4F866D09-A2D3-41DA-A24C-20DE51662D93}" id="{B517B0B2-F4A8-4CB0-BB0F-7B9E756244C1}">
    <text>525.3B notional</text>
  </threadedComment>
  <threadedComment ref="Q16" dT="2025-01-11T21:40:06.26" personId="{4F866D09-A2D3-41DA-A24C-20DE51662D93}" id="{F355EB3E-9E88-409A-BAA7-F7700ADC1CED}">
    <text>575.9B with options</text>
  </threadedComment>
  <threadedComment ref="R16" dT="2024-10-18T17:09:56.71" personId="{4F866D09-A2D3-41DA-A24C-20DE51662D93}" id="{FC83B71D-108F-4F7C-AACE-7D707C040661}">
    <text>537B without puts/calls</text>
  </threadedComment>
  <threadedComment ref="S16" dT="2025-03-13T02:19:37.68" personId="{4F866D09-A2D3-41DA-A24C-20DE51662D93}" id="{5EE6D981-407D-43C7-891E-DD5D6313B6C2}">
    <text>572B with puts/calls</text>
  </threadedComment>
  <threadedComment ref="T16" dT="2025-03-13T02:19:04.00" personId="{4F866D09-A2D3-41DA-A24C-20DE51662D93}" id="{4316D792-5C38-4F53-8D5E-8C1DB1BA5D68}">
    <text>662B with calls/puts</text>
  </threadedComment>
  <threadedComment ref="D17" dT="2025-03-18T23:59:11.07" personId="{4F866D09-A2D3-41DA-A24C-20DE51662D93}" id="{9D445C88-145F-4783-A5E0-0C8374A9DCCD}">
    <text>Employee equity at YE23
17.7B at 2022
14.1B at 2021
8.8B at 2020
3.8B at 2019
3.3B at 2018
2.5B at 2017
2.2B at 2016</text>
  </threadedComment>
  <threadedComment ref="P17" dT="2024-03-24T23:24:55.98" personId="{4F866D09-A2D3-41DA-A24C-20DE51662D93}" id="{C56C29E9-3627-483A-AD4A-CB0F5A7BD9BB}">
    <text>384B notional</text>
  </threadedComment>
  <threadedComment ref="Q17" dT="2025-01-11T21:34:22.58" personId="{4F866D09-A2D3-41DA-A24C-20DE51662D93}" id="{08C5E9FA-992F-498E-9E06-A0017BC54B04}">
    <text>478.4B with options</text>
  </threadedComment>
  <threadedComment ref="R17" dT="2024-10-18T17:05:51.15" personId="{4F866D09-A2D3-41DA-A24C-20DE51662D93}" id="{5984E514-1D34-4E6B-8131-2A731C83E120}">
    <text>437.7B with puts/calls</text>
  </threadedComment>
  <threadedComment ref="S17" dT="2025-01-11T21:26:48.62" personId="{4F866D09-A2D3-41DA-A24C-20DE51662D93}" id="{A02E79FF-BEC7-4AE4-8AF8-8477983F8ED0}">
    <text>453.3B without puts/calls</text>
  </threadedComment>
  <threadedComment ref="T17" dT="2025-03-13T02:17:45.04" personId="{4F866D09-A2D3-41DA-A24C-20DE51662D93}" id="{3C2FD31E-0440-4EF2-B847-995FC1A7EF7E}">
    <text>453B with puts/calls</text>
  </threadedComment>
  <threadedComment ref="D19" dT="2025-02-25T23:56:40.86" personId="{4F866D09-A2D3-41DA-A24C-20DE51662D93}" id="{62D2835D-0C81-46A4-9A2B-2062F3D3F475}">
    <text>11.5B quant, 6.1B discretionary</text>
  </threadedComment>
  <threadedComment ref="P20" dT="2024-03-25T13:20:48.73" personId="{4F866D09-A2D3-41DA-A24C-20DE51662D93}" id="{25881FCC-9DB8-46BB-84B5-E0213DC81680}">
    <text>15.8B notional</text>
  </threadedComment>
  <threadedComment ref="R20" dT="2024-10-18T17:42:25.45" personId="{4F866D09-A2D3-41DA-A24C-20DE51662D93}" id="{0B39276B-5910-483C-B5CE-55ED727136F5}">
    <text>21.2B with options</text>
  </threadedComment>
  <threadedComment ref="R21" dT="2024-10-18T17:15:24.53" personId="{4F866D09-A2D3-41DA-A24C-20DE51662D93}" id="{5AE4F260-DC05-4379-BC9A-6A961815A290}">
    <text>63.3B with puts/calls</text>
  </threadedComment>
  <threadedComment ref="P22" dT="2024-03-24T23:39:54.24" personId="{4F866D09-A2D3-41DA-A24C-20DE51662D93}" id="{63FA626B-AFAA-4B7A-9305-E93391B21D7A}">
    <text>53.3B notional</text>
  </threadedComment>
  <threadedComment ref="R22" dT="2024-10-18T17:18:49.35" personId="{4F866D09-A2D3-41DA-A24C-20DE51662D93}" id="{4CF45688-4BFB-4CE1-A8FC-448BE0DEB90E}">
    <text>57.1B with options</text>
  </threadedComment>
  <threadedComment ref="AA22" dT="2025-03-19T00:14:34.97" personId="{4F866D09-A2D3-41DA-A24C-20DE51662D93}" id="{9F4272BE-58E0-4718-943F-C9414971DDAF}">
    <text>12% for Atlas Enhanced since 2006</text>
  </threadedComment>
  <threadedComment ref="R41" dT="2024-10-18T18:00:07.92" personId="{4F866D09-A2D3-41DA-A24C-20DE51662D93}" id="{BB3175CD-DC66-42FD-AC51-9C99BF71F0CD}">
    <text>17.5B with options</text>
  </threadedComment>
  <threadedComment ref="AJ42" dT="2025-02-19T01:26:11.90" personId="{4F866D09-A2D3-41DA-A24C-20DE51662D93}" id="{2453F15D-41DA-4E17-BAFB-4394D01025CD}">
    <text>Includes Matrix Capital Markets</text>
  </threadedComment>
  <threadedComment ref="D43" dT="2023-01-28T20:34:58.21" personId="{4F866D09-A2D3-41DA-A24C-20DE51662D93}" id="{9F5197FC-413A-4526-8395-DB7D8217FC78}">
    <text>Also notes 35.5B</text>
  </threadedComment>
  <threadedComment ref="AN43"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44" dT="2024-10-18T17:46:04.36" personId="{4F866D09-A2D3-41DA-A24C-20DE51662D93}" id="{2F2EA4E4-07A4-4A69-9F4D-AE26767920F7}">
    <text>10.5B with options</text>
  </threadedComment>
  <threadedComment ref="P46" dT="2024-03-25T00:12:51.95" personId="{4F866D09-A2D3-41DA-A24C-20DE51662D93}" id="{917D2DFD-6286-40A2-90FE-BF242D43EEB3}">
    <text>18.7B notional</text>
  </threadedComment>
  <threadedComment ref="R46" dT="2024-10-18T17:48:00.68" personId="{4F866D09-A2D3-41DA-A24C-20DE51662D93}" id="{83A33D1A-E9D6-472B-A0B4-6ADD6EE99146}">
    <text>17.3B with options</text>
  </threadedComment>
  <threadedComment ref="P47" dT="2024-03-25T00:34:34.17" personId="{4F866D09-A2D3-41DA-A24C-20DE51662D93}" id="{CE6CE042-281C-4BB7-A0C9-3FAE61878BD8}">
    <text>15.2B notional</text>
  </threadedComment>
  <threadedComment ref="R47" dT="2024-10-18T17:52:04.01" personId="{4F866D09-A2D3-41DA-A24C-20DE51662D93}" id="{15508D81-010A-4E84-A1D8-AF6442D449F6}">
    <text>14.7B with options</text>
  </threadedComment>
  <threadedComment ref="P48" dT="2024-03-25T00:24:13.00" personId="{4F866D09-A2D3-41DA-A24C-20DE51662D93}" id="{29B7E094-910D-4640-AD42-77F398A81886}">
    <text>12.4B notional</text>
  </threadedComment>
  <threadedComment ref="R48" dT="2024-10-18T17:58:54.74" personId="{4F866D09-A2D3-41DA-A24C-20DE51662D93}" id="{FD312E7D-E8B3-4390-B6AE-D7552D187BBB}">
    <text>19.5B with options</text>
  </threadedComment>
  <threadedComment ref="R51" dT="2024-10-18T17:55:29.20" personId="{4F866D09-A2D3-41DA-A24C-20DE51662D93}" id="{DA1B38BB-14AE-49AD-AC29-D23E96841CCD}">
    <text>7.8B</text>
  </threadedComment>
  <threadedComment ref="R52" dT="2024-10-18T17:53:15.74" personId="{4F866D09-A2D3-41DA-A24C-20DE51662D93}" id="{E920A768-C5CE-44F9-8EE5-184AE70B8C95}">
    <text>5.6B with options</text>
  </threadedComment>
  <threadedComment ref="P56" dT="2024-03-25T13:19:55.75" personId="{4F866D09-A2D3-41DA-A24C-20DE51662D93}" id="{A95428F5-F28F-4EF2-9805-1BA4B0BC6E31}">
    <text>8.2B notional</text>
  </threadedComment>
  <threadedComment ref="P84" dT="2024-03-25T00:15:40.04" personId="{4F866D09-A2D3-41DA-A24C-20DE51662D93}" id="{66BA6FAB-F596-46B8-A685-34D82A73F4B0}">
    <text>11.5B notional</text>
  </threadedComment>
  <threadedComment ref="AO91" dT="2025-02-25T20:57:18.85" personId="{4F866D09-A2D3-41DA-A24C-20DE51662D93}" id="{3BFF8831-5FC4-4D85-A902-6E8F2F01E8F9}">
    <text>3B AUM</text>
  </threadedComment>
</ThreadedComments>
</file>

<file path=xl/threadedComments/threadedComment2.xml><?xml version="1.0" encoding="utf-8"?>
<ThreadedComments xmlns="http://schemas.microsoft.com/office/spreadsheetml/2018/threadedcomments" xmlns:x="http://schemas.openxmlformats.org/spreadsheetml/2006/main">
  <threadedComment ref="U7" dT="2025-02-19T00:48:35.27" personId="{4F866D09-A2D3-41DA-A24C-20DE51662D93}" id="{651DC672-BB68-4FD4-94BD-1C54BA248750}">
    <text>SC US (TTGP), LTD</text>
  </threadedComment>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2.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324" Type="http://schemas.openxmlformats.org/officeDocument/2006/relationships/hyperlink" Target="https://www.sec.gov/Archives/edgar/data/1666335/000166633524000008/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68" Type="http://schemas.openxmlformats.org/officeDocument/2006/relationships/hyperlink" Target="https://www.sec.gov/Archives/edgar/data/1784547/000117266124003482/0001172661-24-003482-index.htm" TargetMode="External"/><Relationship Id="rId475" Type="http://schemas.openxmlformats.org/officeDocument/2006/relationships/hyperlink" Target="https://www.sec.gov/Archives/edgar/data/1533421/000153342125000001/0001533421-25-000001-index.htm" TargetMode="External"/><Relationship Id="rId32" Type="http://schemas.openxmlformats.org/officeDocument/2006/relationships/hyperlink" Target="https://www.sec.gov/edgar/browse/?CIK=1061165"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817652/000181765224000004/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1/xslForm13F_X02/primary_doc.xml" TargetMode="External"/><Relationship Id="rId402" Type="http://schemas.openxmlformats.org/officeDocument/2006/relationships/hyperlink" Target="https://www.sec.gov/edgar/browse/?CIK=1632715" TargetMode="External"/><Relationship Id="rId279" Type="http://schemas.openxmlformats.org/officeDocument/2006/relationships/hyperlink" Target="https://www.sec.gov/Archives/edgar/data/1601086/000131586324000465/xslForm13F_X02/primary_doc.xml" TargetMode="External"/><Relationship Id="rId444" Type="http://schemas.openxmlformats.org/officeDocument/2006/relationships/hyperlink" Target="https://www.sec.gov/Archives/edgar/data/1037389/000103738924000091/0001037389-24-000091-index.htm" TargetMode="External"/><Relationship Id="rId486" Type="http://schemas.openxmlformats.org/officeDocument/2006/relationships/hyperlink" Target="https://www.sec.gov/Archives/edgar/data/1179392/000089914025000265/0000899140-25-000265-index.htm"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493215/000149315224031911/xslForm13F_X02/primary_doc.xml" TargetMode="External"/><Relationship Id="rId304" Type="http://schemas.openxmlformats.org/officeDocument/2006/relationships/hyperlink" Target="https://www.sec.gov/Archives/edgar/data/1055951/000117266124003539/xslForm13F_X02/primary_doc.xml" TargetMode="External"/><Relationship Id="rId346" Type="http://schemas.openxmlformats.org/officeDocument/2006/relationships/hyperlink" Target="https://www.sec.gov/Archives/edgar/data/1541617/000154161724000007/xslForm13F_X02/primary_doc.xml" TargetMode="External"/><Relationship Id="rId388" Type="http://schemas.openxmlformats.org/officeDocument/2006/relationships/hyperlink" Target="https://www.sec.gov/Archives/edgar/data/1595521/000159552124000004/xslForm13F_X02/primary_doc.xml" TargetMode="External"/><Relationship Id="rId511" Type="http://schemas.openxmlformats.org/officeDocument/2006/relationships/hyperlink" Target="https://www.sec.gov/Archives/edgar/data/1736225/000173622525000017/0001736225-25-000017-index.ht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Archives/edgar/data/1920938/000142050624001566/xslForm13F_X02/primary_doc.xml" TargetMode="External"/><Relationship Id="rId248" Type="http://schemas.openxmlformats.org/officeDocument/2006/relationships/hyperlink" Target="https://www.sec.gov/Archives/edgar/data/1603466/000090266424005149/0000902664-24-005149-index.htm" TargetMode="External"/><Relationship Id="rId455" Type="http://schemas.openxmlformats.org/officeDocument/2006/relationships/hyperlink" Target="https://www.sec.gov/Archives/edgar/data/1446194/000144619425000021/0001446194-25-000021-index.htm" TargetMode="External"/><Relationship Id="rId497" Type="http://schemas.openxmlformats.org/officeDocument/2006/relationships/hyperlink" Target="https://www.sec.gov/Archives/edgar/data/1388551/000091957425001439/0000919574-25-001439-index.htm"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32/xslForm13F_X02/primary_doc.xml" TargetMode="External"/><Relationship Id="rId357" Type="http://schemas.openxmlformats.org/officeDocument/2006/relationships/hyperlink" Target="https://www.sec.gov/Archives/edgar/data/1425851/000114036124035138/0001140361-24-035138-index.htm" TargetMode="External"/><Relationship Id="rId522" Type="http://schemas.openxmlformats.org/officeDocument/2006/relationships/hyperlink" Target="https://www.sec.gov/Archives/edgar/data/1446194/000144619424000008/0001446194-24-000008-index.htm"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Archives/edgar/data/1444043/000165495424010537/xslForm13F_X02/primary_doc.xml" TargetMode="External"/><Relationship Id="rId259" Type="http://schemas.openxmlformats.org/officeDocument/2006/relationships/hyperlink" Target="https://www.sec.gov/Archives/edgar/data/1167483/000091957424003172/xslForm13F_X02/primary_doc.xml" TargetMode="External"/><Relationship Id="rId424" Type="http://schemas.openxmlformats.org/officeDocument/2006/relationships/hyperlink" Target="https://www.sec.gov/edgar/browse/?CIK=1510281" TargetMode="External"/><Relationship Id="rId466" Type="http://schemas.openxmlformats.org/officeDocument/2006/relationships/hyperlink" Target="https://www.sec.gov/Archives/edgar/data/1401388/000117266125000829/0001172661-25-000829-index.htm"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91786/000101359424000660/0001013594-24-000660-index.htm" TargetMode="External"/><Relationship Id="rId326" Type="http://schemas.openxmlformats.org/officeDocument/2006/relationships/hyperlink" Target="https://www.sec.gov/Archives/edgar/data/1443689/000144368924000005/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edgar/browse/?CIK=1729829"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edgar/browse/?CIK=1481986" TargetMode="External"/><Relationship Id="rId477" Type="http://schemas.openxmlformats.org/officeDocument/2006/relationships/hyperlink" Target="https://www.sec.gov/Archives/edgar/data/1828301/000182830125000023/0001828301-25-000023-index.htm" TargetMode="External"/><Relationship Id="rId281" Type="http://schemas.openxmlformats.org/officeDocument/2006/relationships/hyperlink" Target="https://www.sec.gov/Archives/edgar/data/1633313/000110465924061613/xslForm13F_X02/primary_doc.xml" TargetMode="External"/><Relationship Id="rId337" Type="http://schemas.openxmlformats.org/officeDocument/2006/relationships/hyperlink" Target="https://www.sec.gov/Archives/edgar/data/1232621/000121465924014706/xslForm13F_X02/primary_doc.xml" TargetMode="External"/><Relationship Id="rId502" Type="http://schemas.openxmlformats.org/officeDocument/2006/relationships/hyperlink" Target="https://www.sec.gov/Archives/edgar/data/1907884/000108514625001501/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489933/000117266124003549/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4/0001446194-24-000004-index.htm" TargetMode="External"/><Relationship Id="rId390" Type="http://schemas.openxmlformats.org/officeDocument/2006/relationships/hyperlink" Target="https://www.sec.gov/edgar/browse/?CIK=1453072" TargetMode="External"/><Relationship Id="rId404" Type="http://schemas.openxmlformats.org/officeDocument/2006/relationships/hyperlink" Target="https://www.sec.gov/Archives/edgar/data/1632715/000117266124002394/xslForm13F_X02/primary_doc.xml" TargetMode="External"/><Relationship Id="rId446" Type="http://schemas.openxmlformats.org/officeDocument/2006/relationships/hyperlink" Target="https://www.sec.gov/cgi-bin/browse-edgar?action=getcompany&amp;CIK=0001559706&amp;owner=include&amp;count=100" TargetMode="External"/><Relationship Id="rId250" Type="http://schemas.openxmlformats.org/officeDocument/2006/relationships/hyperlink" Target="https://www.sec.gov/Archives/edgar/data/1103804/000090514824002226/xslForm13F_X02/primary_doc.xml" TargetMode="External"/><Relationship Id="rId292" Type="http://schemas.openxmlformats.org/officeDocument/2006/relationships/hyperlink" Target="https://www.sec.gov/Archives/edgar/data/1448574/000144857424000003/xslForm13F_X02/primary_doc.xml" TargetMode="External"/><Relationship Id="rId306" Type="http://schemas.openxmlformats.org/officeDocument/2006/relationships/hyperlink" Target="https://www.sec.gov/Archives/edgar/data/934639/000094787124000690/xslForm13F_X02/primary_doc.xml" TargetMode="External"/><Relationship Id="rId488" Type="http://schemas.openxmlformats.org/officeDocument/2006/relationships/hyperlink" Target="https://www.sec.gov/Archives/edgar/data/1040198/000114036125004525/0001140361-25-004525-index.htm"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4/xslForm13F_X02/primary_doc.xml" TargetMode="External"/><Relationship Id="rId513" Type="http://schemas.openxmlformats.org/officeDocument/2006/relationships/hyperlink" Target="https://www.sec.gov/Archives/edgar/data/1509842/000095012324011803/0000950123-24-011803-index.ht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42050624000478/xslForm13F_X02/primary_doc.xml" TargetMode="External"/><Relationship Id="rId457" Type="http://schemas.openxmlformats.org/officeDocument/2006/relationships/hyperlink" Target="https://www.sec.gov/Archives/edgar/data/1666335/000166633525000005/0001666335-25-000005-index.htm" TargetMode="External"/><Relationship Id="rId261" Type="http://schemas.openxmlformats.org/officeDocument/2006/relationships/hyperlink" Target="https://www.sec.gov/Archives/edgar/data/1061165/000090266424003638/xslForm13F_X02/primary_doc.xml" TargetMode="External"/><Relationship Id="rId499" Type="http://schemas.openxmlformats.org/officeDocument/2006/relationships/hyperlink" Target="https://www.sec.gov/Archives/edgar/data/1448574/000144857425000002/0001448574-25-000002-index.htm"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218/xslForm13F_X02/primary_doc.xml" TargetMode="External"/><Relationship Id="rId359" Type="http://schemas.openxmlformats.org/officeDocument/2006/relationships/hyperlink" Target="https://www.sec.gov/Archives/edgar/data/1484972/000108514624003962/xslForm13F_X02/primary_doc.xml" TargetMode="External"/><Relationship Id="rId524" Type="http://schemas.openxmlformats.org/officeDocument/2006/relationships/hyperlink" Target="https://www.sec.gov/Archives/edgar/data/1009207/000110465925014028/0001104659-25-014028-index.htm"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09/xslForm13F_X02/primary_doc.xml" TargetMode="External"/><Relationship Id="rId426" Type="http://schemas.openxmlformats.org/officeDocument/2006/relationships/hyperlink" Target="https://www.sec.gov/Archives/edgar/data/1587114/000093583624000519/xslForm13F_X02/primary_doc.xml" TargetMode="External"/><Relationship Id="rId230" Type="http://schemas.openxmlformats.org/officeDocument/2006/relationships/hyperlink" Target="https://www.sec.gov/Archives/edgar/data/1009207/000110465923118137/0001104659-23-118137-index.htm" TargetMode="External"/><Relationship Id="rId468" Type="http://schemas.openxmlformats.org/officeDocument/2006/relationships/hyperlink" Target="https://www.sec.gov/Archives/edgar/data/1388391/000117266125000827/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263508/000110465924089606/0001104659-24-089606-index.htm" TargetMode="External"/><Relationship Id="rId328" Type="http://schemas.openxmlformats.org/officeDocument/2006/relationships/hyperlink" Target="https://www.sec.gov/Archives/edgar/data/1290162/000095012324005532/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936944/000093694424000006/xslForm13F_X02/primary_doc.xml" TargetMode="External"/><Relationship Id="rId241" Type="http://schemas.openxmlformats.org/officeDocument/2006/relationships/hyperlink" Target="https://www.sec.gov/Archives/edgar/data/1167557/000108514624002596/xslForm13F_X02/primary_doc.xml" TargetMode="External"/><Relationship Id="rId437" Type="http://schemas.openxmlformats.org/officeDocument/2006/relationships/hyperlink" Target="https://www.sec.gov/Archives/edgar/data/1454027/000145402724000003/0001454027-24-000003-index.htm" TargetMode="External"/><Relationship Id="rId479" Type="http://schemas.openxmlformats.org/officeDocument/2006/relationships/hyperlink" Target="https://www.sec.gov/Archives/edgar/data/1608485/000091957425001097/0000919574-25-001097-index.htm"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5524/xslForm13F_X02/primary_doc.xml" TargetMode="External"/><Relationship Id="rId339" Type="http://schemas.openxmlformats.org/officeDocument/2006/relationships/hyperlink" Target="https://www.sec.gov/Archives/edgar/data/1534261/000091957424004750/xslForm13F_X02/primary_doc.xml" TargetMode="External"/><Relationship Id="rId490" Type="http://schemas.openxmlformats.org/officeDocument/2006/relationships/hyperlink" Target="https://www.sec.gov/Archives/edgar/data/1000097/000100009725000014/0001000097-25-000014-index.htm" TargetMode="External"/><Relationship Id="rId504" Type="http://schemas.openxmlformats.org/officeDocument/2006/relationships/hyperlink" Target="https://www.sec.gov/Archives/edgar/data/1792126/000117266125001041/0001172661-25-001041-index.htm"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Archives/edgar/data/1583977/000158397724000003/xslForm13F_X02/primary_doc.xml" TargetMode="External"/><Relationship Id="rId406" Type="http://schemas.openxmlformats.org/officeDocument/2006/relationships/hyperlink" Target="https://www.sec.gov/edgar/browse/?CIK=1138995"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2473/xslForm13F_X02/primary_doc.xml" TargetMode="External"/><Relationship Id="rId448" Type="http://schemas.openxmlformats.org/officeDocument/2006/relationships/hyperlink" Target="https://www.sec.gov/Archives/edgar/data/1747057/000117266125000951/0001172661-25-000951-index.htm" TargetMode="External"/><Relationship Id="rId252" Type="http://schemas.openxmlformats.org/officeDocument/2006/relationships/hyperlink" Target="https://www.sec.gov/Archives/edgar/data/1135730/000091957424004594/xslForm13F_X02/primary_doc.xml" TargetMode="External"/><Relationship Id="rId294" Type="http://schemas.openxmlformats.org/officeDocument/2006/relationships/hyperlink" Target="https://www.sec.gov/Archives/edgar/data/1656456/000165645624000003/xslForm13F_X02/primary_doc.xml" TargetMode="External"/><Relationship Id="rId308" Type="http://schemas.openxmlformats.org/officeDocument/2006/relationships/hyperlink" Target="https://www.sec.gov/Archives/edgar/data/1054587/000095012324008753/xslForm13F_X02/primary_doc.xml" TargetMode="External"/><Relationship Id="rId515" Type="http://schemas.openxmlformats.org/officeDocument/2006/relationships/hyperlink" Target="https://www.sec.gov/edgar/browse/?CIK=898382"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Archives/edgar/data/872573/000087257324000019/xslForm13F_X02/primary_doc.xml"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edgar/browse/?CIK=1503174" TargetMode="External"/><Relationship Id="rId459" Type="http://schemas.openxmlformats.org/officeDocument/2006/relationships/hyperlink" Target="https://www.sec.gov/Archives/edgar/data/1491072/000095012325002113/xslForm13F_X02/primary_doc.xml"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1/xslForm13F_X02/primary_doc.xml" TargetMode="External"/><Relationship Id="rId319" Type="http://schemas.openxmlformats.org/officeDocument/2006/relationships/hyperlink" Target="https://www.sec.gov/Archives/edgar/data/1352851/000110465924061615/xslForm13F_X02/primary_doc.xml" TargetMode="External"/><Relationship Id="rId470" Type="http://schemas.openxmlformats.org/officeDocument/2006/relationships/hyperlink" Target="https://www.sec.gov/Archives/edgar/data/1831577/000090514825000551/0000905148-25-000551-index.htm" TargetMode="External"/><Relationship Id="rId526" Type="http://schemas.openxmlformats.org/officeDocument/2006/relationships/hyperlink" Target="https://www.sec.gov/edgar/browse/?CIK=1642575"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3586/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edgar/browse/?CIK=1509842" TargetMode="External"/><Relationship Id="rId428" Type="http://schemas.openxmlformats.org/officeDocument/2006/relationships/hyperlink" Target="https://www.sec.gov/edgar/browse/?CIK=1637460" TargetMode="External"/><Relationship Id="rId232" Type="http://schemas.openxmlformats.org/officeDocument/2006/relationships/hyperlink" Target="https://www.sec.gov/Archives/edgar/data/1009207/000110465923060730/xslForm13F_X02/primary_doc.xml" TargetMode="External"/><Relationship Id="rId274" Type="http://schemas.openxmlformats.org/officeDocument/2006/relationships/hyperlink" Target="https://www.sec.gov/Archives/edgar/data/1736225/000173622524000008/0001736225-24-000008-index.htm" TargetMode="External"/><Relationship Id="rId481" Type="http://schemas.openxmlformats.org/officeDocument/2006/relationships/hyperlink" Target="https://www.sec.gov/Archives/edgar/data/1940272/000194027225000001/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12857/000090514824002211/xslForm13F_X02/primary_doc.xml" TargetMode="External"/><Relationship Id="rId383" Type="http://schemas.openxmlformats.org/officeDocument/2006/relationships/hyperlink" Target="https://www.sec.gov/Archives/edgar/data/1831577/000166773124000469/xslForm13F_X02/primary_doc.xml" TargetMode="External"/><Relationship Id="rId439" Type="http://schemas.openxmlformats.org/officeDocument/2006/relationships/hyperlink" Target="https://www.sec.gov/Archives/edgar/data/1273087/000127308724000118/0001273087-24-000118-index.htm"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6/xslForm13F_X02/primary_doc.xml" TargetMode="External"/><Relationship Id="rId285" Type="http://schemas.openxmlformats.org/officeDocument/2006/relationships/hyperlink" Target="https://www.sec.gov/Archives/edgar/data/1107310/000108514624002579/xslForm13F_X02/primary_doc.xml" TargetMode="External"/><Relationship Id="rId450" Type="http://schemas.openxmlformats.org/officeDocument/2006/relationships/hyperlink" Target="https://www.sec.gov/cgi-bin/browse-edgar?action=getcompany&amp;CIK=0001569688&amp;owner=include&amp;count=100" TargetMode="External"/><Relationship Id="rId506" Type="http://schemas.openxmlformats.org/officeDocument/2006/relationships/hyperlink" Target="https://www.sec.gov/Archives/edgar/data/1595082/000159508224000051/0001595082-24-000051-index.htm"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319998/000101297524000330/xslForm13F_X02/primary_doc.xml" TargetMode="External"/><Relationship Id="rId492" Type="http://schemas.openxmlformats.org/officeDocument/2006/relationships/hyperlink" Target="https://www.sec.gov/Archives/edgar/data/1549230/000149315225006685/0001493152-25-006685-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1/xslForm13F_X02/primary_doc.xml" TargetMode="External"/><Relationship Id="rId394" Type="http://schemas.openxmlformats.org/officeDocument/2006/relationships/hyperlink" Target="https://www.sec.gov/edgar/browse/?CIK=1418814" TargetMode="External"/><Relationship Id="rId408" Type="http://schemas.openxmlformats.org/officeDocument/2006/relationships/hyperlink" Target="https://www.sec.gov/edgar/browse/?CIK=1512173"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350694/000117266124003581/0001172661-24-003581-index.htm"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747057/000117266124003352/xslForm13F_X02/primary_doc.xml" TargetMode="External"/><Relationship Id="rId461" Type="http://schemas.openxmlformats.org/officeDocument/2006/relationships/hyperlink" Target="https://www.sec.gov/Archives/edgar/data/1230239/000091957425001214/xslForm13F_X02/primary_doc.xml" TargetMode="External"/><Relationship Id="rId517" Type="http://schemas.openxmlformats.org/officeDocument/2006/relationships/hyperlink" Target="https://www.sec.gov/Archives/edgar/data/898382/000094562125000191/0000945621-25-000191-index.htm" TargetMode="Externa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2/xslForm13F_X02/primary_doc.xml" TargetMode="External"/><Relationship Id="rId363" Type="http://schemas.openxmlformats.org/officeDocument/2006/relationships/hyperlink" Target="https://www.sec.gov/Archives/edgar/data/1706766/000170676624000005/xslForm13F_X02/primary_doc.xml" TargetMode="External"/><Relationship Id="rId419" Type="http://schemas.openxmlformats.org/officeDocument/2006/relationships/hyperlink" Target="https://www.sec.gov/Archives/edgar/data/1651424/000165142424000003/xslForm13F_X02/primary_doc.xml" TargetMode="External"/><Relationship Id="rId223" Type="http://schemas.openxmlformats.org/officeDocument/2006/relationships/hyperlink" Target="https://www.sec.gov/Archives/edgar/data/1423053/000095012324005615/xslForm13F_X02/primary_doc.xml" TargetMode="External"/><Relationship Id="rId430" Type="http://schemas.openxmlformats.org/officeDocument/2006/relationships/hyperlink" Target="https://www.sec.gov/edgar/browse/?CIK=1647251" TargetMode="External"/><Relationship Id="rId18" Type="http://schemas.openxmlformats.org/officeDocument/2006/relationships/hyperlink" Target="https://www.sec.gov/Archives/edgar/data/1273087/000127308722000116/0001273087-22-000116-index.htm" TargetMode="External"/><Relationship Id="rId265" Type="http://schemas.openxmlformats.org/officeDocument/2006/relationships/hyperlink" Target="https://www.sec.gov/Archives/edgar/data/1336528/000117266124002519/xslForm13F_X02/primary_doc.xml" TargetMode="External"/><Relationship Id="rId472" Type="http://schemas.openxmlformats.org/officeDocument/2006/relationships/hyperlink" Target="https://www.sec.gov/Archives/edgar/data/1318757/000204804725000005/0002048047-25-000005-index.htm" TargetMode="External"/><Relationship Id="rId528" Type="http://schemas.openxmlformats.org/officeDocument/2006/relationships/vmlDrawing" Target="../drawings/vmlDrawing1.vml"/><Relationship Id="rId125" Type="http://schemas.openxmlformats.org/officeDocument/2006/relationships/hyperlink" Target="https://www.sec.gov/Archives/edgar/data/1346824/000110465924023984/xslForm13F_X02/primary_doc.xml" TargetMode="External"/><Relationship Id="rId167" Type="http://schemas.openxmlformats.org/officeDocument/2006/relationships/hyperlink" Target="https://www.sec.gov/Archives/edgar/data/1167557/000108514624001456/xslForm13F_X02/primary_doc.xml" TargetMode="External"/><Relationship Id="rId332" Type="http://schemas.openxmlformats.org/officeDocument/2006/relationships/hyperlink" Target="https://www.sec.gov/Archives/edgar/data/1608485/000091957424002890/xslForm13F_X02/primary_doc.xml" TargetMode="External"/><Relationship Id="rId374" Type="http://schemas.openxmlformats.org/officeDocument/2006/relationships/hyperlink" Target="https://www.sec.gov/edgar/browse/?CIK=1595725" TargetMode="External"/><Relationship Id="rId71" Type="http://schemas.openxmlformats.org/officeDocument/2006/relationships/hyperlink" Target="https://www.sec.gov/edgar/browse/?CIK=1346824" TargetMode="External"/><Relationship Id="rId234" Type="http://schemas.openxmlformats.org/officeDocument/2006/relationships/hyperlink" Target="https://www.sec.gov/Archives/edgar/data/1037389/000103738924000072/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76" Type="http://schemas.openxmlformats.org/officeDocument/2006/relationships/hyperlink" Target="https://www.sec.gov/Archives/edgar/data/1029160/000090266424005131/0000902664-24-005131-index.htm" TargetMode="External"/><Relationship Id="rId441" Type="http://schemas.openxmlformats.org/officeDocument/2006/relationships/hyperlink" Target="https://www.sec.gov/Archives/edgar/data/1595888/000159588824000063/0001595888-24-000063-index.htm" TargetMode="External"/><Relationship Id="rId483" Type="http://schemas.openxmlformats.org/officeDocument/2006/relationships/hyperlink" Target="https://www.sec.gov/Archives/edgar/data/1557017/000117266125000727/0001172661-25-000727-index.htm" TargetMode="External"/><Relationship Id="rId40" Type="http://schemas.openxmlformats.org/officeDocument/2006/relationships/hyperlink" Target="https://www.sec.gov/Archives/edgar/data/1421097/000091957422006703/0000919574-22-006703-index.htm" TargetMode="External"/><Relationship Id="rId136" Type="http://schemas.openxmlformats.org/officeDocument/2006/relationships/hyperlink" Target="https://www.sec.gov/edgar/browse/?CIK=1290162"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176/xslForm13F_X02/primary_doc.xml" TargetMode="External"/><Relationship Id="rId343" Type="http://schemas.openxmlformats.org/officeDocument/2006/relationships/hyperlink" Target="https://www.sec.gov/Archives/edgar/data/1279150/000199937124010097/xslForm13F_X02/primary_doc.xml" TargetMode="External"/><Relationship Id="rId82" Type="http://schemas.openxmlformats.org/officeDocument/2006/relationships/hyperlink" Target="https://www.sec.gov/Archives/edgar/data/1595888/000159588823000029/0001595888-23-000029-index.htm"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065/xslForm13F_X02/primary_doc.xml" TargetMode="External"/><Relationship Id="rId245" Type="http://schemas.openxmlformats.org/officeDocument/2006/relationships/hyperlink" Target="https://www.sec.gov/Archives/edgar/data/1478735/000091957424003134/xslForm13F_X02/primary_doc.xml" TargetMode="External"/><Relationship Id="rId287" Type="http://schemas.openxmlformats.org/officeDocument/2006/relationships/hyperlink" Target="https://www.sec.gov/Archives/edgar/data/1040273/000108514624002645/xslForm13F_X02/primary_doc.xml" TargetMode="External"/><Relationship Id="rId410" Type="http://schemas.openxmlformats.org/officeDocument/2006/relationships/hyperlink" Target="https://www.sec.gov/edgar/browse/?CIK=1389507" TargetMode="External"/><Relationship Id="rId452" Type="http://schemas.openxmlformats.org/officeDocument/2006/relationships/hyperlink" Target="https://www.sec.gov/Archives/edgar/data/909661/000090883425000081/0000908834-25-000081-index.htm" TargetMode="External"/><Relationship Id="rId494" Type="http://schemas.openxmlformats.org/officeDocument/2006/relationships/hyperlink" Target="https://www.sec.gov/Archives/edgar/data/927337/000092733725000009/0000927337-25-000009-index.htm" TargetMode="External"/><Relationship Id="rId508" Type="http://schemas.openxmlformats.org/officeDocument/2006/relationships/hyperlink" Target="https://www.sec.gov/Archives/edgar/data/1054587/000095012324011773/0000950123-24-011773-index.html"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47" Type="http://schemas.openxmlformats.org/officeDocument/2006/relationships/hyperlink" Target="https://www.sec.gov/Archives/edgar/data/1135730/000091957423003144/xslForm13F_X02/primary_doc.xml" TargetMode="External"/><Relationship Id="rId312" Type="http://schemas.openxmlformats.org/officeDocument/2006/relationships/hyperlink" Target="https://www.sec.gov/Archives/edgar/data/1061768/000156761924000363/xslForm13F_X02/primary_doc.xml" TargetMode="External"/><Relationship Id="rId354" Type="http://schemas.openxmlformats.org/officeDocument/2006/relationships/hyperlink" Target="https://www.sec.gov/Archives/edgar/data/1167557/000108514623003416/xslForm13F_X02/primary_doc.xml" TargetMode="External"/><Relationship Id="rId51" Type="http://schemas.openxmlformats.org/officeDocument/2006/relationships/hyperlink" Target="https://www.sec.gov/edgar/browse/?CIK=1336528"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96" Type="http://schemas.openxmlformats.org/officeDocument/2006/relationships/hyperlink" Target="https://www.sec.gov/Archives/edgar/data/1418814/000141881224000011/xslForm13F_X02/primary_doc.xml" TargetMode="External"/><Relationship Id="rId214" Type="http://schemas.openxmlformats.org/officeDocument/2006/relationships/hyperlink" Target="https://www.sec.gov/Archives/edgar/data/1273087/000127308723000113/xslForm13F_X02/primary_doc.xml" TargetMode="External"/><Relationship Id="rId256" Type="http://schemas.openxmlformats.org/officeDocument/2006/relationships/hyperlink" Target="https://www.sec.gov/Archives/edgar/data/909661/000090883424000200/0000908834-24-000200-index.htm" TargetMode="External"/><Relationship Id="rId298" Type="http://schemas.openxmlformats.org/officeDocument/2006/relationships/hyperlink" Target="https://www.sec.gov/Archives/edgar/data/1387322/000117266124003527/xslForm13F_X02/primary_doc.xml" TargetMode="External"/><Relationship Id="rId421" Type="http://schemas.openxmlformats.org/officeDocument/2006/relationships/hyperlink" Target="https://www.sec.gov/Archives/edgar/data/1569064/000117266124003525/xslForm13F_X02/primary_doc.xml" TargetMode="External"/><Relationship Id="rId463" Type="http://schemas.openxmlformats.org/officeDocument/2006/relationships/hyperlink" Target="https://www.sec.gov/Archives/edgar/data/1512173/000091957425001180/0000919574-25-001180-index.htm" TargetMode="External"/><Relationship Id="rId519" Type="http://schemas.openxmlformats.org/officeDocument/2006/relationships/hyperlink" Target="https://www.sec.gov/Archives/edgar/data/1167557/000108514625001702/0001085146-25-001702-index.htm" TargetMode="External"/><Relationship Id="rId116" Type="http://schemas.openxmlformats.org/officeDocument/2006/relationships/hyperlink" Target="https://www.sec.gov/Archives/edgar/data/1167483/000091957424001349/xslForm13F_X02/primary_doc.xml" TargetMode="External"/><Relationship Id="rId158" Type="http://schemas.openxmlformats.org/officeDocument/2006/relationships/hyperlink" Target="https://www.sec.gov/Archives/edgar/data/1103804/000110380422000003/xslForm13F_X01/primary_doc.xml" TargetMode="External"/><Relationship Id="rId323" Type="http://schemas.openxmlformats.org/officeDocument/2006/relationships/hyperlink" Target="https://www.sec.gov/Archives/edgar/data/1666335/000166633524000011/xslForm13F_X02/primary_doc.xml" TargetMode="External"/><Relationship Id="rId530" Type="http://schemas.microsoft.com/office/2017/10/relationships/threadedComment" Target="../threadedComments/threadedComment1.xml"/><Relationship Id="rId20" Type="http://schemas.openxmlformats.org/officeDocument/2006/relationships/hyperlink" Target="https://www.sec.gov/Archives/edgar/data/1273087/000127308722000070/0001273087-22-000070-index.htm" TargetMode="External"/><Relationship Id="rId62" Type="http://schemas.openxmlformats.org/officeDocument/2006/relationships/hyperlink" Target="https://www.sec.gov/Archives/edgar/data/1067983/000095012322012275/0000950123-22-012275-index.htm" TargetMode="External"/><Relationship Id="rId365" Type="http://schemas.openxmlformats.org/officeDocument/2006/relationships/hyperlink" Target="https://www.sec.gov/Archives/edgar/data/1556921/000121465924014697/0001214659-24-014697-index.htm" TargetMode="External"/><Relationship Id="rId225" Type="http://schemas.openxmlformats.org/officeDocument/2006/relationships/hyperlink" Target="https://www.sec.gov/Archives/edgar/data/1595888/000159588824000039/xslForm13F_X02/primary_doc.xml" TargetMode="External"/><Relationship Id="rId267" Type="http://schemas.openxmlformats.org/officeDocument/2006/relationships/hyperlink" Target="https://www.sec.gov/Archives/edgar/data/1410830/000117266124002306/xslForm13F_X02/primary_doc.xml" TargetMode="External"/><Relationship Id="rId432" Type="http://schemas.openxmlformats.org/officeDocument/2006/relationships/hyperlink" Target="https://www.sec.gov/edgar/browse/?CIK=1610880" TargetMode="External"/><Relationship Id="rId474" Type="http://schemas.openxmlformats.org/officeDocument/2006/relationships/hyperlink" Target="https://www.sec.gov/Archives/edgar/data/820743/000114036125004268/0001140361-25-004268-index.htm" TargetMode="External"/><Relationship Id="rId127" Type="http://schemas.openxmlformats.org/officeDocument/2006/relationships/hyperlink" Target="https://www.sec.gov/Archives/edgar/data/1079114/000117266124001512/xslForm13F_X02/primary_doc.xml" TargetMode="External"/><Relationship Id="rId31" Type="http://schemas.openxmlformats.org/officeDocument/2006/relationships/hyperlink" Target="https://www.sec.gov/Archives/edgar/data/1135730/000091957422006523/0000919574-22-006523-index.htm" TargetMode="External"/><Relationship Id="rId73" Type="http://schemas.openxmlformats.org/officeDocument/2006/relationships/hyperlink" Target="https://www.sec.gov/edgar/browse/?CIK=1443689"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08/xslForm13F_X02/primary_doc.xml" TargetMode="External"/><Relationship Id="rId376" Type="http://schemas.openxmlformats.org/officeDocument/2006/relationships/hyperlink" Target="https://www.sec.gov/Archives/edgar/data/1595725/000117266124002385/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36" Type="http://schemas.openxmlformats.org/officeDocument/2006/relationships/hyperlink" Target="https://www.sec.gov/Archives/edgar/data/1037389/000103738923000122/xslForm13F_X02/primary_doc.xml" TargetMode="External"/><Relationship Id="rId278" Type="http://schemas.openxmlformats.org/officeDocument/2006/relationships/hyperlink" Target="https://www.sec.gov/Archives/edgar/data/1601086/000131586324000614/xslForm13F_X02/primary_doc.xml" TargetMode="External"/><Relationship Id="rId401" Type="http://schemas.openxmlformats.org/officeDocument/2006/relationships/hyperlink" Target="https://www.sec.gov/Archives/edgar/data/1444043/000165495424001698/xslForm13F_X02/primary_doc.xml" TargetMode="External"/><Relationship Id="rId443" Type="http://schemas.openxmlformats.org/officeDocument/2006/relationships/hyperlink" Target="https://www.sec.gov/Archives/edgar/data/1167557/000108514624005943/0001085146-24-005943-index.htm" TargetMode="External"/><Relationship Id="rId303" Type="http://schemas.openxmlformats.org/officeDocument/2006/relationships/hyperlink" Target="https://www.sec.gov/Archives/edgar/data/1421097/000091957424003156/xslForm13F_X02/primary_doc.xml" TargetMode="External"/><Relationship Id="rId485" Type="http://schemas.openxmlformats.org/officeDocument/2006/relationships/hyperlink" Target="https://www.sec.gov/cgi-bin/browse-edgar?action=getcompany&amp;CIK=0001454027&amp;owner=include&amp;count=100"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edgar/browse/?CIK=1541617" TargetMode="External"/><Relationship Id="rId387" Type="http://schemas.openxmlformats.org/officeDocument/2006/relationships/hyperlink" Target="https://www.sec.gov/Archives/edgar/data/1595521/000159552124000005/xslForm13F_X02/primary_doc.xml" TargetMode="External"/><Relationship Id="rId510" Type="http://schemas.openxmlformats.org/officeDocument/2006/relationships/hyperlink" Target="https://www.sec.gov/Archives/edgar/data/1224962/000101297524000488/0001012975-24-000488-index.html"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4654/xslForm13F_X02/primary_doc.xml" TargetMode="External"/><Relationship Id="rId412" Type="http://schemas.openxmlformats.org/officeDocument/2006/relationships/hyperlink" Target="https://www.sec.gov/edgar/browse/?CIK=1920938"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62062/xslForm13F_X02/primary_doc.xml" TargetMode="External"/><Relationship Id="rId454" Type="http://schemas.openxmlformats.org/officeDocument/2006/relationships/hyperlink" Target="https://www.sec.gov/Archives/edgar/data/1595725/000117266125000867/0001172661-25-000867-index.htm" TargetMode="External"/><Relationship Id="rId496" Type="http://schemas.openxmlformats.org/officeDocument/2006/relationships/hyperlink" Target="https://www.sec.gov/cgi-bin/browse-edgar?action=getcompany&amp;CIK=0001000097&amp;owner=include&amp;count=100"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595082/000159508224000047/xslForm13F_X02/primary_doc.xml" TargetMode="External"/><Relationship Id="rId356" Type="http://schemas.openxmlformats.org/officeDocument/2006/relationships/hyperlink" Target="https://www.sec.gov/edgar/browse/?CIK=1425851" TargetMode="External"/><Relationship Id="rId398" Type="http://schemas.openxmlformats.org/officeDocument/2006/relationships/hyperlink" Target="https://www.sec.gov/edgar/browse/?CIK=1444043" TargetMode="External"/><Relationship Id="rId521" Type="http://schemas.openxmlformats.org/officeDocument/2006/relationships/hyperlink" Target="https://www.sec.gov/Archives/edgar/data/1423053/000095012325002739/0000950123-25-002739-index.htm"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edgar/browse/?CIK=1649339" TargetMode="External"/><Relationship Id="rId258" Type="http://schemas.openxmlformats.org/officeDocument/2006/relationships/hyperlink" Target="https://www.sec.gov/Archives/edgar/data/1167483/000091957424004713/0000919574-24-004713-index.htm" TargetMode="External"/><Relationship Id="rId465" Type="http://schemas.openxmlformats.org/officeDocument/2006/relationships/hyperlink" Target="https://www.sec.gov/cgi-bin/browse-edgar?action=getcompany&amp;CIK=0001401388&amp;owner=include&amp;count=100"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443689/000144368924000012/xslForm13F_X02/primary_doc.xml" TargetMode="External"/><Relationship Id="rId367" Type="http://schemas.openxmlformats.org/officeDocument/2006/relationships/hyperlink" Target="https://www.sec.gov/Archives/edgar/data/1556921/000121465924002840/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2444/xslForm13F_X02/primary_doc.xml" TargetMode="External"/><Relationship Id="rId434" Type="http://schemas.openxmlformats.org/officeDocument/2006/relationships/hyperlink" Target="https://www.sec.gov/Archives/edgar/data/1481986/000148198624000003/0001481986-24-000003-index.htm" TargetMode="External"/><Relationship Id="rId476" Type="http://schemas.openxmlformats.org/officeDocument/2006/relationships/hyperlink" Target="https://www.sec.gov/cgi-bin/browse-edgar?action=getcompany&amp;CIK=0001533421&amp;owner=include&amp;count=100"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33313/000110465924089335/xslForm13F_X02/primary_doc.xml" TargetMode="External"/><Relationship Id="rId336" Type="http://schemas.openxmlformats.org/officeDocument/2006/relationships/hyperlink" Target="https://www.sec.gov/Archives/edgar/data/1817652/000181765224000003/xslForm13F_X02/primary_doc.xml" TargetMode="External"/><Relationship Id="rId501" Type="http://schemas.openxmlformats.org/officeDocument/2006/relationships/hyperlink" Target="https://www.sec.gov/cgi-bin/browse-edgar?action=getcompany&amp;CIK=0001907884&amp;owner=include&amp;count=100"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803916/000180391624000004/xslForm13F_X02/primary_doc.xml" TargetMode="External"/><Relationship Id="rId403" Type="http://schemas.openxmlformats.org/officeDocument/2006/relationships/hyperlink" Target="https://www.sec.gov/Archives/edgar/data/1632715/000117266124003374/xslForm13F_X02/primary_doc.xml"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446194/000144619424000006/xslForm13F_X02/primary_doc.xml" TargetMode="External"/><Relationship Id="rId445" Type="http://schemas.openxmlformats.org/officeDocument/2006/relationships/hyperlink" Target="https://www.sec.gov/Archives/edgar/data/1559706/000117266125000960/0001172661-25-000960-index.htm" TargetMode="External"/><Relationship Id="rId487" Type="http://schemas.openxmlformats.org/officeDocument/2006/relationships/hyperlink" Target="https://www.sec.gov/cgi-bin/browse-edgar?action=getcompany&amp;CIK=0001040198&amp;owner=include&amp;count=100" TargetMode="External"/><Relationship Id="rId291" Type="http://schemas.openxmlformats.org/officeDocument/2006/relationships/hyperlink" Target="https://www.sec.gov/Archives/edgar/data/1493215/000149315224019465/xslForm13F_X02/primary_doc.xml" TargetMode="External"/><Relationship Id="rId305" Type="http://schemas.openxmlformats.org/officeDocument/2006/relationships/hyperlink" Target="https://www.sec.gov/Archives/edgar/data/1055951/000117266124002506/xslForm13F_X02/primary_doc.xml" TargetMode="External"/><Relationship Id="rId347" Type="http://schemas.openxmlformats.org/officeDocument/2006/relationships/hyperlink" Target="https://www.sec.gov/Archives/edgar/data/1541617/000154161724000006/xslForm13F_X02/primary_doc.xml" TargetMode="External"/><Relationship Id="rId512" Type="http://schemas.openxmlformats.org/officeDocument/2006/relationships/hyperlink" Target="https://www.sec.gov/Archives/edgar/data/1665241/000108514624005935/0001085146-24-005935-index.ht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2/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3628/xslForm13F_X02/primary_doc.xml" TargetMode="External"/><Relationship Id="rId414" Type="http://schemas.openxmlformats.org/officeDocument/2006/relationships/hyperlink" Target="https://www.sec.gov/Archives/edgar/data/1920938/000192093824000004/xslForm13F_X02/primary_doc.xml" TargetMode="External"/><Relationship Id="rId456" Type="http://schemas.openxmlformats.org/officeDocument/2006/relationships/hyperlink" Target="https://www.sec.gov/Archives/edgar/data/1856083/000185608325000001/0001856083-25-000001-index.htm" TargetMode="External"/><Relationship Id="rId498" Type="http://schemas.openxmlformats.org/officeDocument/2006/relationships/hyperlink" Target="https://www.sec.gov/Archives/edgar/data/1135730/000091957425001429/0000919574-25-001429-index.htm"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061165/000090266424005150/xslForm13F_X02/primary_doc.xml" TargetMode="External"/><Relationship Id="rId316" Type="http://schemas.openxmlformats.org/officeDocument/2006/relationships/hyperlink" Target="https://www.sec.gov/Archives/edgar/data/1224962/000101297524000329/xslForm13F_X02/primary_doc.xml" TargetMode="External"/><Relationship Id="rId523" Type="http://schemas.openxmlformats.org/officeDocument/2006/relationships/hyperlink" Target="https://www.sec.gov/Archives/edgar/data/1350694/000117266124004671/0001172661-24-004671-index.htm"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edgar/browse/?CIK=1484972"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Archives/edgar/data/1510281/000106299324015052/xslForm13F_X02/primary_doc.xml" TargetMode="External"/><Relationship Id="rId467" Type="http://schemas.openxmlformats.org/officeDocument/2006/relationships/hyperlink" Target="https://www.sec.gov/cgi-bin/browse-edgar?action=getcompany&amp;CIK=0001388391&amp;owner=include&amp;count=100" TargetMode="External"/><Relationship Id="rId271" Type="http://schemas.openxmlformats.org/officeDocument/2006/relationships/hyperlink" Target="https://www.sec.gov/Archives/edgar/data/1791786/000101359424000480/xslForm13F_X02/primary_doc.xml"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290162/000095012324008706/xslForm13F_X02/primary_doc.xml" TargetMode="External"/><Relationship Id="rId369" Type="http://schemas.openxmlformats.org/officeDocument/2006/relationships/hyperlink" Target="https://www.sec.gov/Archives/edgar/data/1729829/000172982924000011/xslForm13F_X02/primary_doc.xml"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009207/000110465924061895/0001104659-24-061895-index.htm" TargetMode="External"/><Relationship Id="rId380" Type="http://schemas.openxmlformats.org/officeDocument/2006/relationships/hyperlink" Target="https://www.sec.gov/Archives/edgar/data/1940272/000194026724000001/xslForm13F_X02/primary_doc.xml" TargetMode="External"/><Relationship Id="rId436" Type="http://schemas.openxmlformats.org/officeDocument/2006/relationships/hyperlink" Target="https://www.sec.gov/edgar/browse/?CIK=1454027" TargetMode="External"/><Relationship Id="rId240" Type="http://schemas.openxmlformats.org/officeDocument/2006/relationships/hyperlink" Target="https://www.sec.gov/Archives/edgar/data/1167557/000108514624004009/0001085146-24-004009-index.htm" TargetMode="External"/><Relationship Id="rId478" Type="http://schemas.openxmlformats.org/officeDocument/2006/relationships/hyperlink" Target="https://www.sec.gov/cgi-bin/browse-edgar?action=getcompany&amp;CIK=0001828301&amp;owner=include&amp;count=100"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923093/000095012324008354/0000950123-24-008354-index.htm" TargetMode="External"/><Relationship Id="rId338" Type="http://schemas.openxmlformats.org/officeDocument/2006/relationships/hyperlink" Target="https://www.sec.gov/Archives/edgar/data/1232621/000121465924009328/xslForm13F_X02/primary_doc.xml" TargetMode="External"/><Relationship Id="rId503" Type="http://schemas.openxmlformats.org/officeDocument/2006/relationships/hyperlink" Target="https://www.sec.gov/cgi-bin/browse-edgar?action=getcompany&amp;CIK=0001792126&amp;owner=include&amp;count=100"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Archives/edgar/data/1453072/000117266124003532/0001172661-24-003532-index.htm" TargetMode="External"/><Relationship Id="rId405" Type="http://schemas.openxmlformats.org/officeDocument/2006/relationships/hyperlink" Target="https://www.sec.gov/Archives/edgar/data/1632715/000117266124000834/xslForm13F_X02/primary_doc.xml" TargetMode="External"/><Relationship Id="rId447" Type="http://schemas.openxmlformats.org/officeDocument/2006/relationships/hyperlink" Target="https://www.sec.gov/Archives/edgar/data/1493215/000149315225006608/0001493152-25-006608-index.htm" TargetMode="External"/><Relationship Id="rId251" Type="http://schemas.openxmlformats.org/officeDocument/2006/relationships/hyperlink" Target="https://www.sec.gov/Archives/edgar/data/1103804/000110380424000004/xslForm13F_X02/primary_doc.xml" TargetMode="External"/><Relationship Id="rId489" Type="http://schemas.openxmlformats.org/officeDocument/2006/relationships/hyperlink" Target="https://www.sec.gov/Archives/edgar/data/1587114/000093583625000164/0000935836-25-000164-index.htm"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2/xslForm13F_X02/primary_doc.xml" TargetMode="External"/><Relationship Id="rId307" Type="http://schemas.openxmlformats.org/officeDocument/2006/relationships/hyperlink" Target="https://www.sec.gov/Archives/edgar/data/934639/000094787124000481/xslForm13F_X02/primary_doc.xml" TargetMode="External"/><Relationship Id="rId349" Type="http://schemas.openxmlformats.org/officeDocument/2006/relationships/hyperlink" Target="https://www.sec.gov/edgar/browse/?CIK=1583977" TargetMode="External"/><Relationship Id="rId514" Type="http://schemas.openxmlformats.org/officeDocument/2006/relationships/hyperlink" Target="https://www.sec.gov/Archives/edgar/data/1489933/000117266124005240/0001172661-24-005240-index.ht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edgar/browse/?CIK=872573" TargetMode="External"/><Relationship Id="rId416" Type="http://schemas.openxmlformats.org/officeDocument/2006/relationships/hyperlink" Target="https://www.sec.gov/Archives/edgar/data/1503174/000090266424005141/xslForm13F_X02/primary_doc.xml" TargetMode="External"/><Relationship Id="rId220" Type="http://schemas.openxmlformats.org/officeDocument/2006/relationships/hyperlink" Target="https://www.sec.gov/Archives/edgar/data/1273087/000127308724000084/xslForm13F_X02/primary_doc.xml" TargetMode="External"/><Relationship Id="rId458" Type="http://schemas.openxmlformats.org/officeDocument/2006/relationships/hyperlink" Target="https://www.sec.gov/Archives/edgar/data/1729829/000172982925000045/0001729829-25-000045-index.htm"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393825/000139382524000134/0001393825-24-000134-index.htm" TargetMode="External"/><Relationship Id="rId318" Type="http://schemas.openxmlformats.org/officeDocument/2006/relationships/hyperlink" Target="https://www.sec.gov/Archives/edgar/data/1352851/000110465924089338/xslForm13F_X02/primary_doc.xml" TargetMode="External"/><Relationship Id="rId525" Type="http://schemas.openxmlformats.org/officeDocument/2006/relationships/hyperlink" Target="https://www.sec.gov/Archives/edgar/data/1009207/000110465924119021/0001104659-24-119021-index.htm"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3/xslForm13F_X02/primary_doc.xml" TargetMode="External"/><Relationship Id="rId427" Type="http://schemas.openxmlformats.org/officeDocument/2006/relationships/hyperlink" Target="https://www.sec.gov/edgar/browse/?CIK=1587114" TargetMode="External"/><Relationship Id="rId469" Type="http://schemas.openxmlformats.org/officeDocument/2006/relationships/hyperlink" Target="https://www.sec.gov/Archives/edgar/data/1061768/000106176825000002/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091306/0001104659-23-091306-index.htm" TargetMode="External"/><Relationship Id="rId273" Type="http://schemas.openxmlformats.org/officeDocument/2006/relationships/hyperlink" Target="https://www.sec.gov/Archives/edgar/data/1263508/000110465924061996/xslForm13F_X02/primary_doc.xml" TargetMode="External"/><Relationship Id="rId329" Type="http://schemas.openxmlformats.org/officeDocument/2006/relationships/hyperlink" Target="https://www.sec.gov/Archives/edgar/data/1998597/000090266424005100/xslForm13F_X02/primary_doc.xml" TargetMode="External"/><Relationship Id="rId480" Type="http://schemas.openxmlformats.org/officeDocument/2006/relationships/hyperlink" Target="https://www.sec.gov/cgi-bin/browse-edgar?action=getcompany&amp;CIK=0001940272&amp;owner=include&amp;count=100"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3198/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edgar/browse/?CIK=1831577" TargetMode="External"/><Relationship Id="rId438" Type="http://schemas.openxmlformats.org/officeDocument/2006/relationships/hyperlink" Target="https://www.sec.gov/Archives/edgar/data/1067983/000095012324011775/0000950123-24-011775-index.htm" TargetMode="External"/><Relationship Id="rId242" Type="http://schemas.openxmlformats.org/officeDocument/2006/relationships/hyperlink" Target="https://www.sec.gov/Archives/edgar/data/1318757/000131875724000008/0001318757-24-000008-index.htm" TargetMode="External"/><Relationship Id="rId284" Type="http://schemas.openxmlformats.org/officeDocument/2006/relationships/hyperlink" Target="https://www.sec.gov/Archives/edgar/data/1107310/000108514624003939/xslForm13F_X02/primary_doc.xml" TargetMode="External"/><Relationship Id="rId491" Type="http://schemas.openxmlformats.org/officeDocument/2006/relationships/hyperlink" Target="https://www.sec.gov/cgi-bin/browse-edgar?action=getcompany&amp;CIK=0001549230&amp;owner=include&amp;count=100" TargetMode="External"/><Relationship Id="rId505" Type="http://schemas.openxmlformats.org/officeDocument/2006/relationships/hyperlink" Target="https://www.sec.gov/Archives/edgar/data/1569064/000117266125001039/0001172661-25-001039-index.htm"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2/xslForm13F_X02/primary_doc.xml" TargetMode="External"/><Relationship Id="rId393" Type="http://schemas.openxmlformats.org/officeDocument/2006/relationships/hyperlink" Target="https://www.sec.gov/Archives/edgar/data/1453072/000117266124001424/xslForm13F_X02/primary_doc.xml" TargetMode="External"/><Relationship Id="rId407" Type="http://schemas.openxmlformats.org/officeDocument/2006/relationships/hyperlink" Target="https://www.sec.gov/Archives/edgar/data/1138995/000090514824002216/xslForm13F_X02/primary_doc.xml" TargetMode="External"/><Relationship Id="rId449" Type="http://schemas.openxmlformats.org/officeDocument/2006/relationships/hyperlink" Target="https://www.sec.gov/Archives/edgar/data/1569688/000117266125000950/0001172661-25-000950-index.htm"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2996/xslForm13F_X02/primary_doc.xml" TargetMode="External"/><Relationship Id="rId295" Type="http://schemas.openxmlformats.org/officeDocument/2006/relationships/hyperlink" Target="https://www.sec.gov/Archives/edgar/data/1656456/000165645624000002/xslForm13F_X02/primary_doc.xml" TargetMode="External"/><Relationship Id="rId309" Type="http://schemas.openxmlformats.org/officeDocument/2006/relationships/hyperlink" Target="https://www.sec.gov/Archives/edgar/data/1054587/000095012324005626/xslForm13F_X02/primary_doc.xml" TargetMode="External"/><Relationship Id="rId460" Type="http://schemas.openxmlformats.org/officeDocument/2006/relationships/hyperlink" Target="https://www.sec.gov/cgi-bin/browse-edgar?action=getcompany&amp;CIK=0001491072&amp;owner=include&amp;count=100" TargetMode="External"/><Relationship Id="rId516" Type="http://schemas.openxmlformats.org/officeDocument/2006/relationships/hyperlink" Target="https://www.sec.gov/Archives/edgar/data/898382/000094562124000945/0000945621-24-000945-index.htm"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856083/000185608324000003/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edgar/browse/?CIK=1706766" TargetMode="External"/><Relationship Id="rId418" Type="http://schemas.openxmlformats.org/officeDocument/2006/relationships/hyperlink" Target="https://www.sec.gov/edgar/browse/?CIK=165142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36528/000117266124003511/0001172661-24-003511-index.htm" TargetMode="External"/><Relationship Id="rId471" Type="http://schemas.openxmlformats.org/officeDocument/2006/relationships/hyperlink" Target="https://www.sec.gov/Archives/edgar/data/1350694/000117266125000823/0001172661-25-000823-index.htm"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527" Type="http://schemas.openxmlformats.org/officeDocument/2006/relationships/printerSettings" Target="../printerSettings/printerSettings1.bin"/><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608485/000091957424004539/xslForm13F_X02/primary_doc.xml" TargetMode="External"/><Relationship Id="rId373" Type="http://schemas.openxmlformats.org/officeDocument/2006/relationships/hyperlink" Target="https://www.sec.gov/Archives/edgar/data/1509842/000095012324008739/xslForm13F_X02/primary_doc.xml" TargetMode="External"/><Relationship Id="rId429" Type="http://schemas.openxmlformats.org/officeDocument/2006/relationships/hyperlink" Target="https://www.sec.gov/Archives/edgar/data/1637460/000108514624004000/0001085146-24-004000-index.htm"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37389/000103738924000073/xslForm13F_X02/primary_doc.xml" TargetMode="External"/><Relationship Id="rId440" Type="http://schemas.openxmlformats.org/officeDocument/2006/relationships/hyperlink" Target="https://www.sec.gov/Archives/edgar/data/1423053/000095012324011767/0000950123-24-011767-index.htm" TargetMode="Externa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5/xslForm13F_X02/primary_doc.xml" TargetMode="External"/><Relationship Id="rId300" Type="http://schemas.openxmlformats.org/officeDocument/2006/relationships/hyperlink" Target="https://www.sec.gov/Archives/edgar/data/1009258/000095015924000249/xslForm13F_X02/primary_doc.xml" TargetMode="External"/><Relationship Id="rId482" Type="http://schemas.openxmlformats.org/officeDocument/2006/relationships/hyperlink" Target="https://www.sec.gov/cgi-bin/browse-edgar?action=getcompany&amp;CIK=0001557017&amp;owner=include&amp;count=100"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1428/xslForm13F_X02/primary_doc.xml" TargetMode="External"/><Relationship Id="rId384" Type="http://schemas.openxmlformats.org/officeDocument/2006/relationships/hyperlink" Target="https://www.sec.gov/Archives/edgar/data/1831577/000166773124000224/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44" Type="http://schemas.openxmlformats.org/officeDocument/2006/relationships/hyperlink" Target="https://www.sec.gov/Archives/edgar/data/1478735/000091957424004661/0000919574-24-004661-index.htm" TargetMode="External"/><Relationship Id="rId39" Type="http://schemas.openxmlformats.org/officeDocument/2006/relationships/hyperlink" Target="https://www.sec.gov/edgar/browse/?CIK=1421097" TargetMode="External"/><Relationship Id="rId286" Type="http://schemas.openxmlformats.org/officeDocument/2006/relationships/hyperlink" Target="https://www.sec.gov/Archives/edgar/data/1040273/000108514624004004/xslForm13F_X02/primary_doc.xml" TargetMode="External"/><Relationship Id="rId451" Type="http://schemas.openxmlformats.org/officeDocument/2006/relationships/hyperlink" Target="https://www.sec.gov/Archives/edgar/data/1647251/000164725125000003/0001647251-25-000003-index.htm" TargetMode="External"/><Relationship Id="rId493" Type="http://schemas.openxmlformats.org/officeDocument/2006/relationships/hyperlink" Target="https://www.sec.gov/Archives/edgar/data/927337/000092733725000009/0000927337-25-000009-index.htm" TargetMode="External"/><Relationship Id="rId507" Type="http://schemas.openxmlformats.org/officeDocument/2006/relationships/hyperlink" Target="https://www.sec.gov/Archives/edgar/data/1035674/000101359424000980/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46" Type="http://schemas.openxmlformats.org/officeDocument/2006/relationships/hyperlink" Target="https://www.sec.gov/Archives/edgar/data/1135730/000091957423004562/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225/xslForm13F_X02/primary_doc.xml" TargetMode="External"/><Relationship Id="rId353" Type="http://schemas.openxmlformats.org/officeDocument/2006/relationships/hyperlink" Target="https://www.sec.gov/Archives/edgar/data/1167557/000108514622004118/xslForm13F_X01/primary_doc.xml" TargetMode="External"/><Relationship Id="rId395" Type="http://schemas.openxmlformats.org/officeDocument/2006/relationships/hyperlink" Target="https://www.sec.gov/Archives/edgar/data/1418814/000141881224000017/xslForm13F_X02/primary_doc.xml" TargetMode="External"/><Relationship Id="rId409" Type="http://schemas.openxmlformats.org/officeDocument/2006/relationships/hyperlink" Target="https://www.sec.gov/Archives/edgar/data/1512173/000091957424004559/xslForm13F_X02/primary_doc.xml"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420" Type="http://schemas.openxmlformats.org/officeDocument/2006/relationships/hyperlink" Target="https://www.sec.gov/edgar/browse/?CIK=1569064" TargetMode="External"/><Relationship Id="rId255" Type="http://schemas.openxmlformats.org/officeDocument/2006/relationships/hyperlink" Target="https://www.sec.gov/Archives/edgar/data/1350694/000117266124002257/xslForm13F_X02/primary_doc.xml" TargetMode="External"/><Relationship Id="rId297" Type="http://schemas.openxmlformats.org/officeDocument/2006/relationships/hyperlink" Target="https://www.sec.gov/Archives/edgar/data/1747057/000117266124002322/xslForm13F_X02/primary_doc.xml" TargetMode="External"/><Relationship Id="rId462" Type="http://schemas.openxmlformats.org/officeDocument/2006/relationships/hyperlink" Target="https://www.sec.gov/cgi-bin/browse-edgar?action=getcompany&amp;CIK=0001230239&amp;owner=include&amp;count=100" TargetMode="External"/><Relationship Id="rId518" Type="http://schemas.openxmlformats.org/officeDocument/2006/relationships/hyperlink" Target="https://www.sec.gov/Archives/edgar/data/1067983/000095012325002701/0000950123-25-002701-index.htm" TargetMode="External"/><Relationship Id="rId115" Type="http://schemas.openxmlformats.org/officeDocument/2006/relationships/hyperlink" Target="https://www.sec.gov/Archives/edgar/data/1061165/000090266424001732/xslForm13F_X02/primary_doc.xml" TargetMode="External"/><Relationship Id="rId157" Type="http://schemas.openxmlformats.org/officeDocument/2006/relationships/hyperlink" Target="https://www.sec.gov/Archives/edgar/data/1103804/000110380423000004/xslForm13F_X02/primary_doc.xml" TargetMode="External"/><Relationship Id="rId322" Type="http://schemas.openxmlformats.org/officeDocument/2006/relationships/hyperlink" Target="https://www.sec.gov/Archives/edgar/data/1856083/000185608324000001/xslForm13F_X02/primary_doc.xml" TargetMode="External"/><Relationship Id="rId364" Type="http://schemas.openxmlformats.org/officeDocument/2006/relationships/hyperlink" Target="https://www.sec.gov/edgar/browse/?CIK=1556921" TargetMode="External"/><Relationship Id="rId61" Type="http://schemas.openxmlformats.org/officeDocument/2006/relationships/hyperlink" Target="https://www.sec.gov/edgar/browse/?CIK=1067983&amp;owner=exclude" TargetMode="External"/><Relationship Id="rId199" Type="http://schemas.openxmlformats.org/officeDocument/2006/relationships/hyperlink" Target="https://www.sec.gov/Archives/edgar/data/1319998/00010129752400009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66" Type="http://schemas.openxmlformats.org/officeDocument/2006/relationships/hyperlink" Target="https://www.sec.gov/Archives/edgar/data/1410830/000117266124003343/0001172661-24-003343-index.htm" TargetMode="External"/><Relationship Id="rId431" Type="http://schemas.openxmlformats.org/officeDocument/2006/relationships/hyperlink" Target="https://www.sec.gov/Archives/edgar/data/1647251/000164725124000007/0001647251-24-000007-index.htm" TargetMode="External"/><Relationship Id="rId473" Type="http://schemas.openxmlformats.org/officeDocument/2006/relationships/hyperlink" Target="https://www.sec.gov/Archives/edgar/data/1443689/000144368925000003/0001443689-25-000003-index.htm" TargetMode="External"/><Relationship Id="rId529" Type="http://schemas.openxmlformats.org/officeDocument/2006/relationships/comments" Target="../comments1.xml"/><Relationship Id="rId30" Type="http://schemas.openxmlformats.org/officeDocument/2006/relationships/hyperlink" Target="https://www.sec.gov/edgar/browse/?CIK=1135730" TargetMode="External"/><Relationship Id="rId126" Type="http://schemas.openxmlformats.org/officeDocument/2006/relationships/hyperlink" Target="https://www.sec.gov/Archives/edgar/data/934639/000094787124000140/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33" Type="http://schemas.openxmlformats.org/officeDocument/2006/relationships/hyperlink" Target="https://www.sec.gov/Archives/edgar/data/1306923/000130692324000010/xslForm13F_X02/primary_doc.xml" TargetMode="External"/><Relationship Id="rId72" Type="http://schemas.openxmlformats.org/officeDocument/2006/relationships/hyperlink" Target="https://www.sec.gov/Archives/edgar/data/1346824/000110465922118654/xslForm13F_X01/primary_doc.xml" TargetMode="External"/><Relationship Id="rId375" Type="http://schemas.openxmlformats.org/officeDocument/2006/relationships/hyperlink" Target="https://www.sec.gov/Archives/edgar/data/1595725/000117266124003467/xslForm13F_X02/primary_doc.xml" TargetMode="External"/><Relationship Id="rId3" Type="http://schemas.openxmlformats.org/officeDocument/2006/relationships/hyperlink" Target="https://www.sec.gov/Archives/edgar/data/1037389/000103738922000224/0001037389-22-000224-index.htm" TargetMode="External"/><Relationship Id="rId235" Type="http://schemas.openxmlformats.org/officeDocument/2006/relationships/hyperlink" Target="https://www.sec.gov/Archives/edgar/data/1037389/000103738923000124/xslForm13F_X02/primary_doc.xml" TargetMode="External"/><Relationship Id="rId277" Type="http://schemas.openxmlformats.org/officeDocument/2006/relationships/hyperlink" Target="https://www.sec.gov/Archives/edgar/data/1029160/000090266424003649/xslForm13F_X02/primary_doc.xml" TargetMode="External"/><Relationship Id="rId400" Type="http://schemas.openxmlformats.org/officeDocument/2006/relationships/hyperlink" Target="https://www.sec.gov/Archives/edgar/data/1444043/000165495424006308/xslForm13F_X02/primary_doc.xml" TargetMode="External"/><Relationship Id="rId442" Type="http://schemas.openxmlformats.org/officeDocument/2006/relationships/hyperlink" Target="https://www.sec.gov/Archives/edgar/data/0001318757/000131875724000018/0001318757-24-000018-index.htm" TargetMode="External"/><Relationship Id="rId484" Type="http://schemas.openxmlformats.org/officeDocument/2006/relationships/hyperlink" Target="https://www.sec.gov/Archives/edgar/data/1037389/000103738925000009/0001037389-25-000009-index.htm" TargetMode="External"/><Relationship Id="rId137" Type="http://schemas.openxmlformats.org/officeDocument/2006/relationships/hyperlink" Target="https://www.sec.gov/Archives/edgar/data/1446194/000144619424000002/xslForm13F_X02/primary_doc.xml" TargetMode="External"/><Relationship Id="rId302" Type="http://schemas.openxmlformats.org/officeDocument/2006/relationships/hyperlink" Target="https://www.sec.gov/Archives/edgar/data/1421097/000091957424004698/xslForm13F_X02/primary_doc.xml" TargetMode="External"/><Relationship Id="rId344" Type="http://schemas.openxmlformats.org/officeDocument/2006/relationships/hyperlink" Target="https://www.sec.gov/Archives/edgar/data/1279150/000199937124006136/xslForm13F_X02/primary_doc.xml" TargetMode="External"/><Relationship Id="rId41" Type="http://schemas.openxmlformats.org/officeDocument/2006/relationships/hyperlink" Target="https://www.sec.gov/edgar/browse/?CIK=1263508"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86" Type="http://schemas.openxmlformats.org/officeDocument/2006/relationships/hyperlink" Target="https://www.sec.gov/edgar/browse/?CIK=1595521"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46" Type="http://schemas.openxmlformats.org/officeDocument/2006/relationships/hyperlink" Target="https://www.sec.gov/Archives/edgar/data/1218710/000095012324008707/0000950123-24-008707-index.htm" TargetMode="External"/><Relationship Id="rId288" Type="http://schemas.openxmlformats.org/officeDocument/2006/relationships/hyperlink" Target="https://www.sec.gov/Archives/edgar/data/1346824/000110465924089629/xslForm13F_X02/primary_doc.xml" TargetMode="External"/><Relationship Id="rId411" Type="http://schemas.openxmlformats.org/officeDocument/2006/relationships/hyperlink" Target="https://www.sec.gov/Archives/edgar/data/1389507/000091957424004460/xslForm13F_X02/primary_doc.xml" TargetMode="External"/><Relationship Id="rId453" Type="http://schemas.openxmlformats.org/officeDocument/2006/relationships/hyperlink" Target="https://www.sec.gov/Archives/edgar/data/1503174/000117266125000874/0001172661-25-000874-index.htm" TargetMode="External"/><Relationship Id="rId509" Type="http://schemas.openxmlformats.org/officeDocument/2006/relationships/hyperlink" Target="https://www.sec.gov/Archives/edgar/data/1595888/000159588824000063/0001595888-24-000063-index.html" TargetMode="External"/><Relationship Id="rId106" Type="http://schemas.openxmlformats.org/officeDocument/2006/relationships/hyperlink" Target="https://www.sec.gov/Archives/edgar/data/1273087/000127308724000045/xslForm13F_X02/primary_doc.xml" TargetMode="External"/><Relationship Id="rId313" Type="http://schemas.openxmlformats.org/officeDocument/2006/relationships/hyperlink" Target="https://www.sec.gov/Archives/edgar/data/1061768/000156761924000317/xslForm13F_X02/primary_doc.xml" TargetMode="External"/><Relationship Id="rId495" Type="http://schemas.openxmlformats.org/officeDocument/2006/relationships/hyperlink" Target="https://www.sec.gov/Archives/edgar/data/1421097/000091957425001454/0000919574-25-001454-index.htm" TargetMode="External"/><Relationship Id="rId10" Type="http://schemas.openxmlformats.org/officeDocument/2006/relationships/hyperlink" Target="https://www.sec.gov/Archives/edgar/data/1603466/000156761922020123/0001567619-22-020123-index.htm" TargetMode="External"/><Relationship Id="rId52" Type="http://schemas.openxmlformats.org/officeDocument/2006/relationships/hyperlink" Target="https://www.sec.gov/Archives/edgar/data/1336528/000117266122002568/0001172661-22-002568-index.htm"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355" Type="http://schemas.openxmlformats.org/officeDocument/2006/relationships/hyperlink" Target="https://www.sec.gov/Archives/edgar/data/1167557/000108514624002596/xslForm13F_X02/primary_doc.xml" TargetMode="External"/><Relationship Id="rId397" Type="http://schemas.openxmlformats.org/officeDocument/2006/relationships/hyperlink" Target="https://www.sec.gov/Archives/edgar/data/1418814/000141881224000003/xslForm13F_X02/primary_doc.xml" TargetMode="External"/><Relationship Id="rId520" Type="http://schemas.openxmlformats.org/officeDocument/2006/relationships/hyperlink" Target="https://www.sec.gov/Archives/edgar/data/1273087/000127308725000015/0001273087-25-000015-index.htm" TargetMode="External"/><Relationship Id="rId215" Type="http://schemas.openxmlformats.org/officeDocument/2006/relationships/hyperlink" Target="https://www.sec.gov/Archives/edgar/data/1067983/000095012323010898/xslForm13F_X02/primary_doc.xml" TargetMode="External"/><Relationship Id="rId257" Type="http://schemas.openxmlformats.org/officeDocument/2006/relationships/hyperlink" Target="https://www.sec.gov/Archives/edgar/data/909661/000090883424000135/xslForm13F_X02/primary_doc.xml" TargetMode="External"/><Relationship Id="rId422" Type="http://schemas.openxmlformats.org/officeDocument/2006/relationships/hyperlink" Target="https://www.sec.gov/Archives/edgar/data/1649339/000090514824002196/xslForm13F_X02/primary_doc.xml" TargetMode="External"/><Relationship Id="rId464" Type="http://schemas.openxmlformats.org/officeDocument/2006/relationships/hyperlink" Target="https://www.sec.gov/cgi-bin/browse-edgar?action=getcompany&amp;CIK=0001549553&amp;owner=include&amp;count=100" TargetMode="External"/><Relationship Id="rId299" Type="http://schemas.openxmlformats.org/officeDocument/2006/relationships/hyperlink" Target="https://www.sec.gov/Archives/edgar/data/1387322/000138732224000004/xslForm13F_X02/primary_doc.xml"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66" Type="http://schemas.openxmlformats.org/officeDocument/2006/relationships/hyperlink" Target="https://www.sec.gov/Archives/edgar/data/1556921/000121465924009322/xslForm13F_X02/primary_doc.xml"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Archives/edgar/data/1610880/000090514824002231/0000905148-24-002231-index.htm" TargetMode="External"/><Relationship Id="rId74" Type="http://schemas.openxmlformats.org/officeDocument/2006/relationships/hyperlink" Target="https://www.sec.gov/edgar/browse/?CIK=1443689" TargetMode="External"/><Relationship Id="rId377" Type="http://schemas.openxmlformats.org/officeDocument/2006/relationships/hyperlink" Target="https://www.sec.gov/Archives/edgar/data/1595725/000117266124001078/xslForm13F_X02/primary_doc.xml" TargetMode="External"/><Relationship Id="rId500" Type="http://schemas.openxmlformats.org/officeDocument/2006/relationships/hyperlink" Target="https://www.sec.gov/Archives/edgar/data/1218710/000095012325002486/0000950123-25-002486-index.htm"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FC3F0-2D2A-434F-A18B-E7D5E926ED04}">
  <dimension ref="B4:B7"/>
  <sheetViews>
    <sheetView zoomScale="220" zoomScaleNormal="220" workbookViewId="0">
      <selection activeCell="B6" sqref="B6"/>
    </sheetView>
  </sheetViews>
  <sheetFormatPr defaultRowHeight="12.5" x14ac:dyDescent="0.25"/>
  <cols>
    <col min="2" max="2" width="12.81640625" customWidth="1"/>
  </cols>
  <sheetData>
    <row r="4" spans="2:2" x14ac:dyDescent="0.25">
      <c r="B4" t="s">
        <v>2755</v>
      </c>
    </row>
    <row r="5" spans="2:2" x14ac:dyDescent="0.25">
      <c r="B5" t="s">
        <v>96</v>
      </c>
    </row>
    <row r="6" spans="2:2" x14ac:dyDescent="0.25">
      <c r="B6" t="s">
        <v>2756</v>
      </c>
    </row>
    <row r="7" spans="2:2" x14ac:dyDescent="0.25">
      <c r="B7" t="s">
        <v>660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31"/>
  <sheetViews>
    <sheetView zoomScale="160" zoomScaleNormal="160" workbookViewId="0">
      <pane xSplit="2" ySplit="3" topLeftCell="C4" activePane="bottomRight" state="frozen"/>
      <selection pane="topRight" activeCell="C1" sqref="C1"/>
      <selection pane="bottomLeft" activeCell="A4" sqref="A4"/>
      <selection pane="bottomRight" activeCell="F13" sqref="F13"/>
    </sheetView>
  </sheetViews>
  <sheetFormatPr defaultColWidth="11.453125" defaultRowHeight="12.5" x14ac:dyDescent="0.25"/>
  <cols>
    <col min="1" max="1" width="4.7265625" bestFit="1" customWidth="1"/>
    <col min="2" max="2" width="25.26953125" customWidth="1"/>
    <col min="3" max="3" width="15" customWidth="1"/>
    <col min="4" max="4" width="15.7265625" bestFit="1" customWidth="1"/>
    <col min="5" max="5" width="12.453125" style="6" customWidth="1"/>
  </cols>
  <sheetData>
    <row r="1" spans="1:11" x14ac:dyDescent="0.25">
      <c r="A1" s="2" t="s">
        <v>1155</v>
      </c>
    </row>
    <row r="2" spans="1:11" x14ac:dyDescent="0.25">
      <c r="A2" s="2"/>
    </row>
    <row r="3" spans="1:11" x14ac:dyDescent="0.25">
      <c r="B3" t="s">
        <v>244</v>
      </c>
      <c r="C3" t="s">
        <v>245</v>
      </c>
      <c r="D3" t="s">
        <v>580</v>
      </c>
      <c r="E3" s="6" t="s">
        <v>582</v>
      </c>
      <c r="F3" t="s">
        <v>577</v>
      </c>
      <c r="G3" t="s">
        <v>578</v>
      </c>
      <c r="H3" t="s">
        <v>579</v>
      </c>
    </row>
    <row r="4" spans="1:11" x14ac:dyDescent="0.25">
      <c r="B4" t="s">
        <v>237</v>
      </c>
      <c r="C4" s="11">
        <v>45322</v>
      </c>
      <c r="D4" s="11" t="s">
        <v>581</v>
      </c>
      <c r="E4" s="5">
        <v>140</v>
      </c>
      <c r="G4" t="s">
        <v>583</v>
      </c>
      <c r="H4" t="s">
        <v>584</v>
      </c>
    </row>
    <row r="5" spans="1:11" x14ac:dyDescent="0.25">
      <c r="B5" t="s">
        <v>238</v>
      </c>
      <c r="C5" s="11">
        <v>45314</v>
      </c>
      <c r="D5" s="11" t="s">
        <v>585</v>
      </c>
      <c r="E5" s="5">
        <v>100</v>
      </c>
      <c r="G5" t="s">
        <v>586</v>
      </c>
      <c r="H5" t="s">
        <v>587</v>
      </c>
    </row>
    <row r="6" spans="1:11" s="12" customFormat="1" ht="13" x14ac:dyDescent="0.3">
      <c r="B6" s="12" t="s">
        <v>604</v>
      </c>
      <c r="C6" s="13">
        <v>45208</v>
      </c>
      <c r="D6" s="13" t="s">
        <v>588</v>
      </c>
      <c r="E6" s="16">
        <v>10</v>
      </c>
      <c r="F6" s="12" t="s">
        <v>589</v>
      </c>
      <c r="G6" s="12" t="s">
        <v>102</v>
      </c>
      <c r="H6" s="12" t="s">
        <v>603</v>
      </c>
    </row>
    <row r="7" spans="1:11" x14ac:dyDescent="0.25">
      <c r="B7" t="s">
        <v>239</v>
      </c>
      <c r="C7" s="11">
        <v>45189</v>
      </c>
      <c r="D7" s="11" t="s">
        <v>585</v>
      </c>
      <c r="E7" s="5">
        <v>150</v>
      </c>
      <c r="G7" t="s">
        <v>590</v>
      </c>
      <c r="H7" t="s">
        <v>591</v>
      </c>
    </row>
    <row r="8" spans="1:11" x14ac:dyDescent="0.25">
      <c r="B8" t="s">
        <v>240</v>
      </c>
      <c r="C8" s="11">
        <v>45188</v>
      </c>
      <c r="D8" s="11" t="s">
        <v>233</v>
      </c>
      <c r="E8" s="5">
        <v>238</v>
      </c>
      <c r="G8" t="s">
        <v>592</v>
      </c>
      <c r="H8" t="s">
        <v>594</v>
      </c>
    </row>
    <row r="9" spans="1:11" x14ac:dyDescent="0.25">
      <c r="B9" t="s">
        <v>241</v>
      </c>
      <c r="C9" s="11">
        <v>45141</v>
      </c>
      <c r="D9" s="11" t="s">
        <v>233</v>
      </c>
      <c r="E9" s="5">
        <v>95</v>
      </c>
      <c r="G9" t="s">
        <v>586</v>
      </c>
      <c r="H9" t="s">
        <v>593</v>
      </c>
    </row>
    <row r="10" spans="1:11" x14ac:dyDescent="0.25">
      <c r="B10" t="s">
        <v>242</v>
      </c>
      <c r="C10" s="11">
        <v>45125</v>
      </c>
      <c r="D10" s="11" t="s">
        <v>581</v>
      </c>
      <c r="E10" s="5">
        <v>65</v>
      </c>
      <c r="G10" t="s">
        <v>586</v>
      </c>
      <c r="H10" t="s">
        <v>595</v>
      </c>
    </row>
    <row r="11" spans="1:11" x14ac:dyDescent="0.25">
      <c r="B11" t="s">
        <v>243</v>
      </c>
      <c r="C11" s="11">
        <v>45113</v>
      </c>
      <c r="D11" s="11" t="s">
        <v>596</v>
      </c>
      <c r="E11" s="5">
        <v>20</v>
      </c>
      <c r="G11" t="s">
        <v>592</v>
      </c>
      <c r="H11" t="s">
        <v>597</v>
      </c>
    </row>
    <row r="12" spans="1:11" x14ac:dyDescent="0.25">
      <c r="B12" t="s">
        <v>246</v>
      </c>
      <c r="C12" s="11">
        <v>45071</v>
      </c>
      <c r="D12" s="11" t="s">
        <v>585</v>
      </c>
      <c r="E12" s="5">
        <v>108</v>
      </c>
      <c r="G12" t="s">
        <v>598</v>
      </c>
      <c r="H12" t="s">
        <v>599</v>
      </c>
    </row>
    <row r="13" spans="1:11" x14ac:dyDescent="0.25">
      <c r="B13" t="s">
        <v>247</v>
      </c>
      <c r="C13" s="11">
        <v>45070</v>
      </c>
      <c r="D13" s="11" t="s">
        <v>585</v>
      </c>
      <c r="E13" s="5">
        <v>401</v>
      </c>
      <c r="G13" t="s">
        <v>600</v>
      </c>
      <c r="H13" t="s">
        <v>602</v>
      </c>
      <c r="K13" t="s">
        <v>601</v>
      </c>
    </row>
    <row r="14" spans="1:11" x14ac:dyDescent="0.25">
      <c r="B14" t="s">
        <v>248</v>
      </c>
      <c r="C14" s="11">
        <v>45062</v>
      </c>
      <c r="D14" s="11" t="s">
        <v>606</v>
      </c>
      <c r="E14" s="15" t="s">
        <v>233</v>
      </c>
      <c r="G14" t="s">
        <v>583</v>
      </c>
      <c r="H14" t="s">
        <v>605</v>
      </c>
    </row>
    <row r="15" spans="1:11" x14ac:dyDescent="0.25">
      <c r="B15" t="s">
        <v>249</v>
      </c>
      <c r="C15" s="11">
        <v>45035</v>
      </c>
      <c r="D15" s="11" t="s">
        <v>596</v>
      </c>
      <c r="E15" s="5">
        <v>150</v>
      </c>
      <c r="G15" t="s">
        <v>590</v>
      </c>
      <c r="H15" t="s">
        <v>591</v>
      </c>
    </row>
    <row r="16" spans="1:11" x14ac:dyDescent="0.25">
      <c r="B16" t="s">
        <v>250</v>
      </c>
      <c r="C16" s="11">
        <v>45027</v>
      </c>
      <c r="D16" s="11" t="s">
        <v>596</v>
      </c>
      <c r="E16" s="5">
        <v>75</v>
      </c>
      <c r="G16" t="s">
        <v>586</v>
      </c>
      <c r="H16" t="s">
        <v>607</v>
      </c>
    </row>
    <row r="17" spans="2:8" x14ac:dyDescent="0.25">
      <c r="B17" t="s">
        <v>251</v>
      </c>
      <c r="C17" s="11">
        <v>44978</v>
      </c>
      <c r="D17" s="11" t="s">
        <v>596</v>
      </c>
      <c r="E17" s="15" t="s">
        <v>233</v>
      </c>
      <c r="G17" t="s">
        <v>586</v>
      </c>
      <c r="H17" t="s">
        <v>608</v>
      </c>
    </row>
    <row r="18" spans="2:8" x14ac:dyDescent="0.25">
      <c r="B18" t="s">
        <v>252</v>
      </c>
      <c r="C18" s="11">
        <v>44935</v>
      </c>
      <c r="D18" s="11" t="s">
        <v>585</v>
      </c>
      <c r="E18" s="5">
        <v>230</v>
      </c>
      <c r="G18" t="s">
        <v>609</v>
      </c>
      <c r="H18" t="s">
        <v>610</v>
      </c>
    </row>
    <row r="19" spans="2:8" ht="13" x14ac:dyDescent="0.3">
      <c r="B19" t="s">
        <v>253</v>
      </c>
      <c r="C19" s="11">
        <v>44929</v>
      </c>
      <c r="D19" s="11" t="s">
        <v>611</v>
      </c>
      <c r="E19" s="5">
        <v>250</v>
      </c>
      <c r="F19" s="12" t="s">
        <v>420</v>
      </c>
      <c r="G19" t="s">
        <v>609</v>
      </c>
      <c r="H19" t="s">
        <v>612</v>
      </c>
    </row>
    <row r="20" spans="2:8" x14ac:dyDescent="0.25">
      <c r="B20" t="s">
        <v>613</v>
      </c>
      <c r="C20" s="11">
        <v>44915</v>
      </c>
      <c r="D20" s="11" t="s">
        <v>614</v>
      </c>
      <c r="E20" s="5">
        <v>9</v>
      </c>
      <c r="G20" t="s">
        <v>586</v>
      </c>
      <c r="H20" t="s">
        <v>615</v>
      </c>
    </row>
    <row r="21" spans="2:8" x14ac:dyDescent="0.25">
      <c r="B21" t="s">
        <v>254</v>
      </c>
      <c r="C21" s="11">
        <v>44901</v>
      </c>
      <c r="D21" s="11" t="s">
        <v>233</v>
      </c>
      <c r="E21" s="5">
        <v>700</v>
      </c>
      <c r="G21" t="s">
        <v>616</v>
      </c>
      <c r="H21" t="s">
        <v>617</v>
      </c>
    </row>
    <row r="22" spans="2:8" x14ac:dyDescent="0.25">
      <c r="B22" t="s">
        <v>255</v>
      </c>
      <c r="C22" s="11">
        <v>44887</v>
      </c>
      <c r="D22" s="11" t="s">
        <v>596</v>
      </c>
      <c r="E22" s="5">
        <v>120</v>
      </c>
      <c r="G22" t="s">
        <v>618</v>
      </c>
      <c r="H22" t="s">
        <v>619</v>
      </c>
    </row>
    <row r="23" spans="2:8" x14ac:dyDescent="0.25">
      <c r="B23" t="s">
        <v>256</v>
      </c>
      <c r="C23" s="11">
        <v>44844</v>
      </c>
      <c r="D23" s="11" t="s">
        <v>585</v>
      </c>
      <c r="E23" s="5">
        <v>100</v>
      </c>
      <c r="G23" t="s">
        <v>102</v>
      </c>
      <c r="H23" t="s">
        <v>620</v>
      </c>
    </row>
    <row r="24" spans="2:8" x14ac:dyDescent="0.25">
      <c r="B24" t="s">
        <v>257</v>
      </c>
      <c r="C24" s="11">
        <v>44843</v>
      </c>
      <c r="D24" s="11" t="s">
        <v>585</v>
      </c>
      <c r="E24" s="5">
        <v>100</v>
      </c>
      <c r="G24" t="s">
        <v>621</v>
      </c>
      <c r="H24" t="s">
        <v>622</v>
      </c>
    </row>
    <row r="25" spans="2:8" x14ac:dyDescent="0.25">
      <c r="B25" t="s">
        <v>258</v>
      </c>
      <c r="C25" s="11">
        <v>44810</v>
      </c>
      <c r="D25" s="11" t="s">
        <v>596</v>
      </c>
      <c r="E25" s="5">
        <v>220</v>
      </c>
      <c r="G25" t="s">
        <v>600</v>
      </c>
      <c r="H25" t="s">
        <v>623</v>
      </c>
    </row>
    <row r="26" spans="2:8" x14ac:dyDescent="0.25">
      <c r="B26" t="s">
        <v>259</v>
      </c>
      <c r="C26" s="11">
        <v>44788</v>
      </c>
      <c r="D26" s="11" t="s">
        <v>585</v>
      </c>
      <c r="E26" s="5">
        <v>110</v>
      </c>
      <c r="G26" t="s">
        <v>586</v>
      </c>
      <c r="H26" t="s">
        <v>624</v>
      </c>
    </row>
    <row r="27" spans="2:8" x14ac:dyDescent="0.25">
      <c r="B27" t="s">
        <v>260</v>
      </c>
      <c r="C27" s="11">
        <v>44763</v>
      </c>
      <c r="D27" s="11" t="s">
        <v>626</v>
      </c>
      <c r="E27" s="5">
        <v>400</v>
      </c>
      <c r="G27" t="s">
        <v>586</v>
      </c>
      <c r="H27" t="s">
        <v>625</v>
      </c>
    </row>
    <row r="28" spans="2:8" x14ac:dyDescent="0.25">
      <c r="B28" t="s">
        <v>261</v>
      </c>
      <c r="C28" s="11">
        <v>44762</v>
      </c>
      <c r="D28" s="11" t="s">
        <v>585</v>
      </c>
      <c r="E28" s="5">
        <v>150</v>
      </c>
      <c r="G28" t="s">
        <v>621</v>
      </c>
      <c r="H28" t="s">
        <v>627</v>
      </c>
    </row>
    <row r="29" spans="2:8" x14ac:dyDescent="0.25">
      <c r="B29" t="s">
        <v>262</v>
      </c>
      <c r="C29" s="11">
        <v>44735</v>
      </c>
      <c r="D29" s="11" t="s">
        <v>585</v>
      </c>
      <c r="E29" s="5">
        <v>100</v>
      </c>
      <c r="G29" t="s">
        <v>586</v>
      </c>
      <c r="H29" t="s">
        <v>628</v>
      </c>
    </row>
    <row r="30" spans="2:8" x14ac:dyDescent="0.25">
      <c r="B30" t="s">
        <v>266</v>
      </c>
      <c r="C30" s="11">
        <v>44728</v>
      </c>
      <c r="D30" s="11" t="s">
        <v>596</v>
      </c>
      <c r="E30" s="5">
        <v>150</v>
      </c>
      <c r="G30" t="s">
        <v>586</v>
      </c>
      <c r="H30" t="s">
        <v>629</v>
      </c>
    </row>
    <row r="31" spans="2:8" x14ac:dyDescent="0.25">
      <c r="B31" t="s">
        <v>265</v>
      </c>
      <c r="C31" s="11">
        <v>44727</v>
      </c>
      <c r="D31" s="11" t="s">
        <v>630</v>
      </c>
      <c r="E31" s="5">
        <v>100</v>
      </c>
      <c r="G31" t="s">
        <v>586</v>
      </c>
      <c r="H31" t="s">
        <v>631</v>
      </c>
    </row>
    <row r="32" spans="2:8" x14ac:dyDescent="0.25">
      <c r="B32" t="s">
        <v>264</v>
      </c>
      <c r="C32" s="11">
        <v>44726</v>
      </c>
      <c r="D32" s="11" t="s">
        <v>630</v>
      </c>
      <c r="E32" s="5">
        <v>80</v>
      </c>
      <c r="G32" t="s">
        <v>586</v>
      </c>
      <c r="H32" t="s">
        <v>632</v>
      </c>
    </row>
    <row r="33" spans="2:8" x14ac:dyDescent="0.25">
      <c r="B33" t="s">
        <v>263</v>
      </c>
      <c r="C33" s="11">
        <v>44726</v>
      </c>
      <c r="D33" s="11" t="s">
        <v>630</v>
      </c>
      <c r="E33" s="5">
        <v>200</v>
      </c>
      <c r="G33" t="s">
        <v>586</v>
      </c>
      <c r="H33" t="s">
        <v>633</v>
      </c>
    </row>
    <row r="34" spans="2:8" x14ac:dyDescent="0.25">
      <c r="B34" t="s">
        <v>267</v>
      </c>
      <c r="C34" s="11">
        <v>44720</v>
      </c>
      <c r="D34" s="5" t="s">
        <v>233</v>
      </c>
      <c r="E34" s="5" t="s">
        <v>233</v>
      </c>
      <c r="G34" t="s">
        <v>586</v>
      </c>
      <c r="H34" t="s">
        <v>634</v>
      </c>
    </row>
    <row r="35" spans="2:8" x14ac:dyDescent="0.25">
      <c r="B35" t="s">
        <v>268</v>
      </c>
      <c r="C35" s="11">
        <v>44720</v>
      </c>
      <c r="D35" s="11" t="s">
        <v>233</v>
      </c>
      <c r="E35" s="5">
        <v>2.5</v>
      </c>
      <c r="G35" t="s">
        <v>635</v>
      </c>
    </row>
    <row r="36" spans="2:8" x14ac:dyDescent="0.25">
      <c r="B36" t="s">
        <v>269</v>
      </c>
      <c r="C36" s="11">
        <v>44720</v>
      </c>
      <c r="D36" s="11" t="s">
        <v>233</v>
      </c>
      <c r="E36" s="5">
        <v>405</v>
      </c>
      <c r="G36" t="s">
        <v>586</v>
      </c>
      <c r="H36" t="s">
        <v>636</v>
      </c>
    </row>
    <row r="37" spans="2:8" x14ac:dyDescent="0.25">
      <c r="B37" t="s">
        <v>270</v>
      </c>
      <c r="C37" s="11">
        <v>44719</v>
      </c>
      <c r="D37" s="11" t="s">
        <v>596</v>
      </c>
      <c r="E37" s="5">
        <v>100</v>
      </c>
      <c r="G37" t="s">
        <v>586</v>
      </c>
      <c r="H37" t="s">
        <v>637</v>
      </c>
    </row>
    <row r="38" spans="2:8" x14ac:dyDescent="0.25">
      <c r="B38" t="s">
        <v>271</v>
      </c>
      <c r="C38" s="11">
        <v>44718</v>
      </c>
      <c r="D38" s="11" t="s">
        <v>233</v>
      </c>
      <c r="E38" s="5">
        <v>100</v>
      </c>
      <c r="G38" t="s">
        <v>586</v>
      </c>
      <c r="H38" t="s">
        <v>638</v>
      </c>
    </row>
    <row r="39" spans="2:8" x14ac:dyDescent="0.25">
      <c r="B39" t="s">
        <v>272</v>
      </c>
      <c r="C39" s="11">
        <v>44713</v>
      </c>
      <c r="D39" s="11" t="s">
        <v>630</v>
      </c>
      <c r="E39" s="5">
        <v>100</v>
      </c>
      <c r="G39" t="s">
        <v>635</v>
      </c>
    </row>
    <row r="40" spans="2:8" x14ac:dyDescent="0.25">
      <c r="B40" t="s">
        <v>273</v>
      </c>
      <c r="C40" s="11">
        <v>44712</v>
      </c>
      <c r="D40" s="11" t="s">
        <v>585</v>
      </c>
      <c r="E40" s="5">
        <v>500</v>
      </c>
      <c r="G40" t="s">
        <v>621</v>
      </c>
      <c r="H40" t="s">
        <v>639</v>
      </c>
    </row>
    <row r="41" spans="2:8" x14ac:dyDescent="0.25">
      <c r="B41" t="s">
        <v>274</v>
      </c>
      <c r="C41" s="11">
        <v>44705</v>
      </c>
      <c r="D41" s="11" t="s">
        <v>596</v>
      </c>
      <c r="E41" s="5">
        <v>150</v>
      </c>
      <c r="G41" t="s">
        <v>586</v>
      </c>
      <c r="H41" t="s">
        <v>640</v>
      </c>
    </row>
    <row r="42" spans="2:8" x14ac:dyDescent="0.25">
      <c r="B42" t="s">
        <v>275</v>
      </c>
      <c r="C42" s="11">
        <v>44691</v>
      </c>
      <c r="D42" s="11" t="s">
        <v>630</v>
      </c>
      <c r="E42" s="5">
        <v>300</v>
      </c>
      <c r="G42" t="s">
        <v>621</v>
      </c>
      <c r="H42" t="s">
        <v>641</v>
      </c>
    </row>
    <row r="43" spans="2:8" x14ac:dyDescent="0.25">
      <c r="B43" t="s">
        <v>276</v>
      </c>
      <c r="C43" s="11">
        <v>44686</v>
      </c>
      <c r="D43" s="11" t="s">
        <v>585</v>
      </c>
      <c r="E43" s="5">
        <v>175</v>
      </c>
      <c r="G43" t="s">
        <v>621</v>
      </c>
      <c r="H43" t="s">
        <v>642</v>
      </c>
    </row>
    <row r="44" spans="2:8" x14ac:dyDescent="0.25">
      <c r="B44" t="s">
        <v>277</v>
      </c>
      <c r="C44" s="11">
        <v>44684</v>
      </c>
      <c r="D44" s="11" t="s">
        <v>596</v>
      </c>
      <c r="E44" s="5">
        <v>60</v>
      </c>
      <c r="G44" t="s">
        <v>586</v>
      </c>
      <c r="H44" t="s">
        <v>643</v>
      </c>
    </row>
    <row r="45" spans="2:8" x14ac:dyDescent="0.25">
      <c r="B45" t="s">
        <v>278</v>
      </c>
      <c r="C45" s="11">
        <v>44677</v>
      </c>
      <c r="D45" s="11" t="s">
        <v>630</v>
      </c>
      <c r="E45" s="5">
        <v>80</v>
      </c>
      <c r="G45" t="s">
        <v>102</v>
      </c>
      <c r="H45" t="s">
        <v>644</v>
      </c>
    </row>
    <row r="46" spans="2:8" x14ac:dyDescent="0.25">
      <c r="B46" t="s">
        <v>279</v>
      </c>
      <c r="C46" s="11">
        <v>44673</v>
      </c>
      <c r="D46" s="11" t="s">
        <v>596</v>
      </c>
      <c r="E46" s="5">
        <v>60</v>
      </c>
      <c r="G46" t="s">
        <v>635</v>
      </c>
    </row>
    <row r="47" spans="2:8" x14ac:dyDescent="0.25">
      <c r="B47" t="s">
        <v>280</v>
      </c>
      <c r="C47" s="11">
        <v>44672</v>
      </c>
      <c r="D47" s="11" t="s">
        <v>630</v>
      </c>
      <c r="E47" s="5">
        <v>400</v>
      </c>
      <c r="G47" t="s">
        <v>621</v>
      </c>
      <c r="H47" t="s">
        <v>645</v>
      </c>
    </row>
    <row r="48" spans="2:8" x14ac:dyDescent="0.25">
      <c r="B48" t="s">
        <v>281</v>
      </c>
      <c r="C48" s="11">
        <v>44670</v>
      </c>
      <c r="D48" s="11" t="s">
        <v>630</v>
      </c>
      <c r="E48" s="5">
        <v>300</v>
      </c>
      <c r="G48" t="s">
        <v>600</v>
      </c>
    </row>
    <row r="49" spans="2:5" ht="13" x14ac:dyDescent="0.3">
      <c r="B49" s="12" t="s">
        <v>282</v>
      </c>
      <c r="C49" s="13">
        <v>44663</v>
      </c>
      <c r="D49" s="13"/>
      <c r="E49" s="5">
        <v>125</v>
      </c>
    </row>
    <row r="50" spans="2:5" x14ac:dyDescent="0.25">
      <c r="B50" t="s">
        <v>283</v>
      </c>
      <c r="C50" s="11">
        <v>44663</v>
      </c>
      <c r="D50" s="11"/>
      <c r="E50" s="5">
        <v>70</v>
      </c>
    </row>
    <row r="51" spans="2:5" x14ac:dyDescent="0.25">
      <c r="B51" t="s">
        <v>284</v>
      </c>
      <c r="C51" s="11">
        <v>44662</v>
      </c>
      <c r="D51" s="11"/>
      <c r="E51" s="5">
        <v>185</v>
      </c>
    </row>
    <row r="52" spans="2:5" x14ac:dyDescent="0.25">
      <c r="B52" t="s">
        <v>285</v>
      </c>
      <c r="C52" s="11">
        <v>44658</v>
      </c>
      <c r="D52" s="11"/>
      <c r="E52" s="5">
        <v>150</v>
      </c>
    </row>
    <row r="53" spans="2:5" x14ac:dyDescent="0.25">
      <c r="B53" t="s">
        <v>286</v>
      </c>
      <c r="C53" s="11">
        <v>44658</v>
      </c>
      <c r="D53" s="11"/>
      <c r="E53" s="5">
        <v>240</v>
      </c>
    </row>
    <row r="54" spans="2:5" x14ac:dyDescent="0.25">
      <c r="B54" t="s">
        <v>287</v>
      </c>
      <c r="C54" s="11">
        <v>44657</v>
      </c>
      <c r="D54" s="11"/>
      <c r="E54" s="5">
        <v>110</v>
      </c>
    </row>
    <row r="55" spans="2:5" ht="13" x14ac:dyDescent="0.3">
      <c r="B55" s="12" t="s">
        <v>288</v>
      </c>
      <c r="C55" s="13">
        <v>44656</v>
      </c>
      <c r="D55" s="13"/>
      <c r="E55" s="5">
        <v>150</v>
      </c>
    </row>
    <row r="56" spans="2:5" x14ac:dyDescent="0.25">
      <c r="B56" t="s">
        <v>289</v>
      </c>
      <c r="C56" s="11">
        <v>44656</v>
      </c>
      <c r="D56" s="11"/>
      <c r="E56" s="5">
        <v>300</v>
      </c>
    </row>
    <row r="57" spans="2:5" x14ac:dyDescent="0.25">
      <c r="B57" t="s">
        <v>290</v>
      </c>
      <c r="C57" s="11">
        <v>44650</v>
      </c>
      <c r="D57" s="11"/>
      <c r="E57" s="5">
        <v>100</v>
      </c>
    </row>
    <row r="58" spans="2:5" x14ac:dyDescent="0.25">
      <c r="B58" t="s">
        <v>291</v>
      </c>
      <c r="C58" s="11">
        <v>44644</v>
      </c>
      <c r="D58" s="11"/>
      <c r="E58" s="5">
        <v>65</v>
      </c>
    </row>
    <row r="59" spans="2:5" x14ac:dyDescent="0.25">
      <c r="B59" t="s">
        <v>292</v>
      </c>
      <c r="C59" s="11">
        <v>44642</v>
      </c>
      <c r="D59" s="11"/>
      <c r="E59" s="5">
        <v>150</v>
      </c>
    </row>
    <row r="60" spans="2:5" x14ac:dyDescent="0.25">
      <c r="B60" t="s">
        <v>293</v>
      </c>
      <c r="C60" s="11">
        <v>44641</v>
      </c>
      <c r="D60" s="11"/>
      <c r="E60" s="5">
        <v>115</v>
      </c>
    </row>
    <row r="61" spans="2:5" x14ac:dyDescent="0.25">
      <c r="B61" t="s">
        <v>294</v>
      </c>
      <c r="C61" s="11">
        <v>44641</v>
      </c>
      <c r="D61" s="11"/>
      <c r="E61" s="5">
        <v>40</v>
      </c>
    </row>
    <row r="62" spans="2:5" x14ac:dyDescent="0.25">
      <c r="B62" t="s">
        <v>295</v>
      </c>
      <c r="C62" s="11">
        <v>44630</v>
      </c>
      <c r="D62" s="11"/>
      <c r="E62" s="5">
        <v>240</v>
      </c>
    </row>
    <row r="63" spans="2:5" x14ac:dyDescent="0.25">
      <c r="B63" t="s">
        <v>296</v>
      </c>
      <c r="C63" s="11">
        <v>44627</v>
      </c>
      <c r="D63" s="11"/>
      <c r="E63" s="5">
        <v>250</v>
      </c>
    </row>
    <row r="64" spans="2:5" x14ac:dyDescent="0.25">
      <c r="B64" t="s">
        <v>297</v>
      </c>
      <c r="C64" s="11">
        <v>44621</v>
      </c>
      <c r="D64" s="11"/>
      <c r="E64" s="5" t="s">
        <v>233</v>
      </c>
    </row>
    <row r="65" spans="2:5" x14ac:dyDescent="0.25">
      <c r="B65" t="s">
        <v>298</v>
      </c>
      <c r="C65" s="11">
        <v>44621</v>
      </c>
      <c r="D65" s="11"/>
      <c r="E65" s="5">
        <v>68</v>
      </c>
    </row>
    <row r="66" spans="2:5" x14ac:dyDescent="0.25">
      <c r="B66" t="s">
        <v>299</v>
      </c>
      <c r="C66" s="11">
        <v>44620</v>
      </c>
      <c r="D66" s="11"/>
      <c r="E66" s="5">
        <v>425</v>
      </c>
    </row>
    <row r="67" spans="2:5" x14ac:dyDescent="0.25">
      <c r="B67" t="s">
        <v>300</v>
      </c>
      <c r="C67" s="11">
        <v>44616</v>
      </c>
      <c r="D67" s="11"/>
      <c r="E67" s="5">
        <v>230</v>
      </c>
    </row>
    <row r="68" spans="2:5" x14ac:dyDescent="0.25">
      <c r="B68" t="s">
        <v>301</v>
      </c>
      <c r="C68" s="11">
        <v>44616</v>
      </c>
      <c r="D68" s="11"/>
      <c r="E68" s="5">
        <v>140</v>
      </c>
    </row>
    <row r="69" spans="2:5" x14ac:dyDescent="0.25">
      <c r="B69" t="s">
        <v>302</v>
      </c>
      <c r="C69" s="11">
        <v>44615</v>
      </c>
      <c r="D69" s="11"/>
      <c r="E69" s="5">
        <v>102</v>
      </c>
    </row>
    <row r="70" spans="2:5" x14ac:dyDescent="0.25">
      <c r="B70" t="s">
        <v>303</v>
      </c>
      <c r="C70" s="11">
        <v>44615</v>
      </c>
      <c r="D70" s="11"/>
      <c r="E70" s="5">
        <v>66</v>
      </c>
    </row>
    <row r="71" spans="2:5" x14ac:dyDescent="0.25">
      <c r="B71" t="s">
        <v>304</v>
      </c>
      <c r="C71" s="11">
        <v>44612</v>
      </c>
      <c r="D71" s="11"/>
      <c r="E71" s="5">
        <v>190</v>
      </c>
    </row>
    <row r="72" spans="2:5" x14ac:dyDescent="0.25">
      <c r="B72" t="s">
        <v>305</v>
      </c>
      <c r="C72" s="11">
        <v>44609</v>
      </c>
      <c r="D72" s="11"/>
      <c r="E72" s="5">
        <v>200</v>
      </c>
    </row>
    <row r="73" spans="2:5" x14ac:dyDescent="0.25">
      <c r="B73" t="s">
        <v>306</v>
      </c>
      <c r="C73" s="11">
        <v>44608</v>
      </c>
      <c r="D73" s="11"/>
      <c r="E73" s="5">
        <v>40</v>
      </c>
    </row>
    <row r="74" spans="2:5" x14ac:dyDescent="0.25">
      <c r="B74" t="s">
        <v>307</v>
      </c>
      <c r="C74" s="11">
        <v>44608</v>
      </c>
      <c r="D74" s="11"/>
      <c r="E74" s="5">
        <v>200</v>
      </c>
    </row>
    <row r="75" spans="2:5" x14ac:dyDescent="0.25">
      <c r="B75" t="s">
        <v>308</v>
      </c>
      <c r="C75" s="11">
        <v>44607</v>
      </c>
      <c r="D75" s="11"/>
      <c r="E75" s="5">
        <v>450</v>
      </c>
    </row>
    <row r="76" spans="2:5" x14ac:dyDescent="0.25">
      <c r="B76" t="s">
        <v>309</v>
      </c>
      <c r="C76" s="11">
        <v>44607</v>
      </c>
      <c r="D76" s="11"/>
      <c r="E76" s="5">
        <v>170</v>
      </c>
    </row>
    <row r="77" spans="2:5" x14ac:dyDescent="0.25">
      <c r="B77" t="s">
        <v>310</v>
      </c>
      <c r="C77" s="11">
        <v>44607</v>
      </c>
      <c r="D77" s="11"/>
      <c r="E77" s="5">
        <v>144</v>
      </c>
    </row>
    <row r="78" spans="2:5" x14ac:dyDescent="0.25">
      <c r="B78" t="s">
        <v>311</v>
      </c>
      <c r="C78" s="11">
        <v>44607</v>
      </c>
      <c r="D78" s="11"/>
      <c r="E78" s="5">
        <v>300</v>
      </c>
    </row>
    <row r="79" spans="2:5" x14ac:dyDescent="0.25">
      <c r="B79" t="s">
        <v>312</v>
      </c>
      <c r="C79" s="11">
        <v>44606</v>
      </c>
      <c r="D79" s="11"/>
      <c r="E79" s="5">
        <v>70</v>
      </c>
    </row>
    <row r="80" spans="2:5" x14ac:dyDescent="0.25">
      <c r="B80" t="s">
        <v>313</v>
      </c>
      <c r="C80" s="11">
        <v>44606</v>
      </c>
      <c r="D80" s="11"/>
      <c r="E80" s="5">
        <v>100</v>
      </c>
    </row>
    <row r="81" spans="2:5" x14ac:dyDescent="0.25">
      <c r="B81" t="s">
        <v>314</v>
      </c>
      <c r="C81" s="11">
        <v>44602</v>
      </c>
      <c r="D81" s="11"/>
      <c r="E81" s="5">
        <v>80</v>
      </c>
    </row>
    <row r="82" spans="2:5" x14ac:dyDescent="0.25">
      <c r="B82" t="s">
        <v>315</v>
      </c>
      <c r="C82" s="11">
        <v>44601</v>
      </c>
      <c r="D82" s="11"/>
      <c r="E82" s="5">
        <v>140</v>
      </c>
    </row>
    <row r="83" spans="2:5" x14ac:dyDescent="0.25">
      <c r="B83" t="s">
        <v>316</v>
      </c>
      <c r="C83" s="11">
        <v>44600</v>
      </c>
      <c r="D83" s="11"/>
      <c r="E83" s="5">
        <v>80</v>
      </c>
    </row>
    <row r="84" spans="2:5" x14ac:dyDescent="0.25">
      <c r="B84" t="s">
        <v>317</v>
      </c>
      <c r="C84" s="11">
        <v>44599</v>
      </c>
      <c r="D84" s="11"/>
      <c r="E84" s="5">
        <v>226</v>
      </c>
    </row>
    <row r="85" spans="2:5" ht="13" x14ac:dyDescent="0.3">
      <c r="B85" s="12" t="s">
        <v>318</v>
      </c>
      <c r="C85" s="13">
        <v>44599</v>
      </c>
      <c r="D85" s="13"/>
      <c r="E85" s="16">
        <v>935</v>
      </c>
    </row>
    <row r="86" spans="2:5" x14ac:dyDescent="0.25">
      <c r="B86" t="s">
        <v>319</v>
      </c>
      <c r="C86" s="11">
        <v>44599</v>
      </c>
      <c r="D86" s="11"/>
      <c r="E86" s="5">
        <v>450</v>
      </c>
    </row>
    <row r="87" spans="2:5" x14ac:dyDescent="0.25">
      <c r="B87" t="s">
        <v>320</v>
      </c>
      <c r="C87" s="11">
        <v>44599</v>
      </c>
      <c r="D87" s="11"/>
      <c r="E87" s="5">
        <v>70</v>
      </c>
    </row>
    <row r="88" spans="2:5" x14ac:dyDescent="0.25">
      <c r="B88" t="s">
        <v>321</v>
      </c>
      <c r="C88" s="11">
        <v>44599</v>
      </c>
      <c r="D88" s="11"/>
      <c r="E88" s="5">
        <v>110</v>
      </c>
    </row>
    <row r="89" spans="2:5" x14ac:dyDescent="0.25">
      <c r="B89" t="s">
        <v>320</v>
      </c>
      <c r="C89" s="11">
        <v>44599</v>
      </c>
      <c r="D89" s="11"/>
      <c r="E89" s="5">
        <v>200</v>
      </c>
    </row>
    <row r="90" spans="2:5" x14ac:dyDescent="0.25">
      <c r="B90" t="s">
        <v>322</v>
      </c>
      <c r="C90" s="11">
        <v>44595</v>
      </c>
      <c r="D90" s="11"/>
      <c r="E90" s="5">
        <v>150</v>
      </c>
    </row>
    <row r="91" spans="2:5" x14ac:dyDescent="0.25">
      <c r="B91" t="s">
        <v>323</v>
      </c>
      <c r="C91" s="11">
        <v>44595</v>
      </c>
      <c r="D91" s="11"/>
      <c r="E91" s="5">
        <v>115</v>
      </c>
    </row>
    <row r="92" spans="2:5" x14ac:dyDescent="0.25">
      <c r="B92" t="s">
        <v>243</v>
      </c>
      <c r="C92" s="11">
        <v>44591</v>
      </c>
      <c r="D92" s="11"/>
      <c r="E92" s="5">
        <v>37</v>
      </c>
    </row>
    <row r="93" spans="2:5" x14ac:dyDescent="0.25">
      <c r="B93" t="s">
        <v>324</v>
      </c>
      <c r="C93" s="11">
        <v>44588</v>
      </c>
      <c r="D93" s="11"/>
      <c r="E93" s="5">
        <v>130</v>
      </c>
    </row>
    <row r="94" spans="2:5" x14ac:dyDescent="0.25">
      <c r="B94" t="s">
        <v>325</v>
      </c>
      <c r="C94" s="11">
        <v>44588</v>
      </c>
      <c r="D94" s="11"/>
      <c r="E94" s="5">
        <v>200</v>
      </c>
    </row>
    <row r="95" spans="2:5" x14ac:dyDescent="0.25">
      <c r="B95" t="s">
        <v>326</v>
      </c>
      <c r="C95" s="11">
        <v>44587</v>
      </c>
      <c r="D95" s="11"/>
      <c r="E95" s="5">
        <v>207</v>
      </c>
    </row>
    <row r="96" spans="2:5" x14ac:dyDescent="0.25">
      <c r="B96" t="s">
        <v>327</v>
      </c>
      <c r="C96" s="11">
        <v>44587</v>
      </c>
      <c r="D96" s="11"/>
      <c r="E96" s="5">
        <v>70</v>
      </c>
    </row>
    <row r="97" spans="2:6" x14ac:dyDescent="0.25">
      <c r="B97" t="s">
        <v>328</v>
      </c>
      <c r="C97" s="11">
        <v>44587</v>
      </c>
      <c r="D97" s="11"/>
      <c r="E97" s="5">
        <v>103</v>
      </c>
    </row>
    <row r="98" spans="2:6" x14ac:dyDescent="0.25">
      <c r="B98" t="s">
        <v>329</v>
      </c>
      <c r="C98" s="11">
        <v>44587</v>
      </c>
      <c r="D98" s="11"/>
      <c r="E98" s="5">
        <v>200</v>
      </c>
    </row>
    <row r="99" spans="2:6" ht="13" x14ac:dyDescent="0.3">
      <c r="B99" s="12" t="s">
        <v>330</v>
      </c>
      <c r="C99" s="13">
        <v>44587</v>
      </c>
      <c r="D99" s="13"/>
      <c r="E99" s="16">
        <v>400</v>
      </c>
      <c r="F99" s="12" t="s">
        <v>420</v>
      </c>
    </row>
    <row r="100" spans="2:6" x14ac:dyDescent="0.25">
      <c r="B100" t="s">
        <v>331</v>
      </c>
      <c r="C100" s="11">
        <v>44586</v>
      </c>
      <c r="D100" s="11"/>
      <c r="E100" s="5">
        <v>400</v>
      </c>
    </row>
    <row r="101" spans="2:6" x14ac:dyDescent="0.25">
      <c r="B101" t="s">
        <v>332</v>
      </c>
      <c r="C101" s="11">
        <v>44586</v>
      </c>
      <c r="D101" s="11"/>
      <c r="E101" s="5">
        <v>260</v>
      </c>
    </row>
    <row r="102" spans="2:6" x14ac:dyDescent="0.25">
      <c r="B102" t="s">
        <v>333</v>
      </c>
      <c r="C102" s="11">
        <v>44586</v>
      </c>
      <c r="D102" s="11"/>
      <c r="E102" s="5">
        <v>140</v>
      </c>
    </row>
    <row r="103" spans="2:6" x14ac:dyDescent="0.25">
      <c r="B103" t="s">
        <v>334</v>
      </c>
      <c r="C103" s="11">
        <v>44581</v>
      </c>
      <c r="D103" s="11"/>
      <c r="E103" s="5">
        <v>150</v>
      </c>
    </row>
    <row r="104" spans="2:6" x14ac:dyDescent="0.25">
      <c r="B104" t="s">
        <v>335</v>
      </c>
      <c r="C104" s="11">
        <v>44581</v>
      </c>
      <c r="D104" s="11"/>
      <c r="E104" s="5">
        <v>200</v>
      </c>
    </row>
    <row r="105" spans="2:6" x14ac:dyDescent="0.25">
      <c r="B105" s="11" t="s">
        <v>336</v>
      </c>
      <c r="C105" s="11">
        <v>44580</v>
      </c>
      <c r="D105" s="11"/>
      <c r="E105" s="5">
        <v>75</v>
      </c>
    </row>
    <row r="106" spans="2:6" x14ac:dyDescent="0.25">
      <c r="B106" t="s">
        <v>337</v>
      </c>
      <c r="C106" s="11">
        <v>44580</v>
      </c>
      <c r="D106" s="11"/>
      <c r="E106" s="5">
        <v>100</v>
      </c>
    </row>
    <row r="107" spans="2:6" x14ac:dyDescent="0.25">
      <c r="B107" t="s">
        <v>338</v>
      </c>
      <c r="C107" s="11">
        <v>44573</v>
      </c>
      <c r="D107" s="11"/>
      <c r="E107" s="5">
        <v>125</v>
      </c>
    </row>
    <row r="108" spans="2:6" x14ac:dyDescent="0.25">
      <c r="B108" t="s">
        <v>241</v>
      </c>
      <c r="C108" s="11">
        <v>44572</v>
      </c>
      <c r="D108" s="11"/>
      <c r="E108" s="5">
        <v>300</v>
      </c>
    </row>
    <row r="109" spans="2:6" x14ac:dyDescent="0.25">
      <c r="B109" t="s">
        <v>339</v>
      </c>
      <c r="C109" s="11">
        <v>44572</v>
      </c>
      <c r="D109" s="11"/>
      <c r="E109" s="5">
        <v>200</v>
      </c>
    </row>
    <row r="110" spans="2:6" x14ac:dyDescent="0.25">
      <c r="B110" t="s">
        <v>246</v>
      </c>
      <c r="C110" s="11">
        <v>44571</v>
      </c>
      <c r="D110" s="11"/>
      <c r="E110" s="5">
        <v>90</v>
      </c>
    </row>
    <row r="111" spans="2:6" x14ac:dyDescent="0.25">
      <c r="B111" t="s">
        <v>300</v>
      </c>
      <c r="C111" s="11">
        <v>44567</v>
      </c>
      <c r="D111" s="11"/>
      <c r="E111" s="5">
        <v>74</v>
      </c>
    </row>
    <row r="112" spans="2:6" x14ac:dyDescent="0.25">
      <c r="B112" t="s">
        <v>340</v>
      </c>
      <c r="C112" s="11">
        <v>44567</v>
      </c>
      <c r="D112" s="11"/>
      <c r="E112" s="5">
        <v>110</v>
      </c>
    </row>
    <row r="113" spans="2:6" x14ac:dyDescent="0.25">
      <c r="B113" s="11" t="s">
        <v>341</v>
      </c>
      <c r="C113" s="11">
        <v>44558</v>
      </c>
      <c r="D113" s="11"/>
      <c r="E113" s="5">
        <v>110</v>
      </c>
    </row>
    <row r="114" spans="2:6" x14ac:dyDescent="0.25">
      <c r="B114" t="s">
        <v>342</v>
      </c>
      <c r="C114" s="11">
        <v>44550</v>
      </c>
      <c r="D114" s="11"/>
      <c r="E114" s="5">
        <v>140</v>
      </c>
    </row>
    <row r="115" spans="2:6" x14ac:dyDescent="0.25">
      <c r="B115" t="s">
        <v>342</v>
      </c>
      <c r="C115" s="11">
        <v>44550</v>
      </c>
      <c r="D115" s="11"/>
      <c r="E115" s="5">
        <v>185</v>
      </c>
    </row>
    <row r="116" spans="2:6" x14ac:dyDescent="0.25">
      <c r="B116" t="s">
        <v>343</v>
      </c>
      <c r="C116" s="11">
        <v>44550</v>
      </c>
      <c r="D116" s="11"/>
      <c r="E116" s="5">
        <v>228</v>
      </c>
    </row>
    <row r="117" spans="2:6" x14ac:dyDescent="0.25">
      <c r="B117" t="s">
        <v>344</v>
      </c>
      <c r="C117" s="11">
        <v>44547</v>
      </c>
      <c r="D117" s="11"/>
      <c r="E117" s="5">
        <v>37</v>
      </c>
    </row>
    <row r="118" spans="2:6" x14ac:dyDescent="0.25">
      <c r="B118" t="s">
        <v>345</v>
      </c>
      <c r="C118" s="11">
        <v>44546</v>
      </c>
      <c r="D118" s="11"/>
      <c r="E118" s="5" t="s">
        <v>233</v>
      </c>
    </row>
    <row r="119" spans="2:6" x14ac:dyDescent="0.25">
      <c r="B119" t="s">
        <v>346</v>
      </c>
      <c r="C119" s="11">
        <v>44545</v>
      </c>
      <c r="D119" s="11"/>
      <c r="E119" s="5">
        <v>100</v>
      </c>
    </row>
    <row r="120" spans="2:6" x14ac:dyDescent="0.25">
      <c r="B120" t="s">
        <v>347</v>
      </c>
      <c r="C120" s="11">
        <v>44545</v>
      </c>
      <c r="D120" s="11"/>
      <c r="E120" s="5">
        <v>60</v>
      </c>
    </row>
    <row r="121" spans="2:6" x14ac:dyDescent="0.25">
      <c r="B121" t="s">
        <v>348</v>
      </c>
      <c r="C121" s="11">
        <v>44539</v>
      </c>
      <c r="D121" s="11"/>
      <c r="E121" s="5">
        <v>19</v>
      </c>
    </row>
    <row r="122" spans="2:6" x14ac:dyDescent="0.25">
      <c r="B122" t="s">
        <v>349</v>
      </c>
      <c r="C122" s="11">
        <v>44539</v>
      </c>
      <c r="D122" s="11"/>
      <c r="E122" s="5">
        <v>228</v>
      </c>
    </row>
    <row r="123" spans="2:6" x14ac:dyDescent="0.25">
      <c r="B123" t="s">
        <v>350</v>
      </c>
      <c r="C123" s="11">
        <v>44538</v>
      </c>
      <c r="D123" s="11"/>
      <c r="E123" s="5">
        <v>300</v>
      </c>
    </row>
    <row r="124" spans="2:6" x14ac:dyDescent="0.25">
      <c r="B124" t="s">
        <v>351</v>
      </c>
      <c r="C124" s="11">
        <v>44538</v>
      </c>
      <c r="D124" s="11"/>
      <c r="E124" s="5">
        <v>400</v>
      </c>
    </row>
    <row r="125" spans="2:6" x14ac:dyDescent="0.25">
      <c r="B125" t="s">
        <v>352</v>
      </c>
      <c r="C125" s="11">
        <v>44536</v>
      </c>
      <c r="D125" s="11"/>
      <c r="E125" s="5">
        <v>125</v>
      </c>
      <c r="F125" t="s">
        <v>420</v>
      </c>
    </row>
    <row r="126" spans="2:6" x14ac:dyDescent="0.25">
      <c r="B126" t="s">
        <v>353</v>
      </c>
      <c r="C126" s="11">
        <v>44535</v>
      </c>
      <c r="D126" s="11"/>
      <c r="E126" s="5">
        <v>50</v>
      </c>
    </row>
    <row r="127" spans="2:6" ht="13" x14ac:dyDescent="0.3">
      <c r="B127" s="12" t="s">
        <v>354</v>
      </c>
      <c r="C127" s="13">
        <v>44532</v>
      </c>
      <c r="D127" s="13"/>
      <c r="E127" s="5">
        <v>50</v>
      </c>
    </row>
    <row r="128" spans="2:6" x14ac:dyDescent="0.25">
      <c r="B128" t="s">
        <v>355</v>
      </c>
      <c r="C128" s="11">
        <v>44531</v>
      </c>
      <c r="D128" s="11"/>
      <c r="E128" s="5">
        <v>500</v>
      </c>
    </row>
    <row r="129" spans="2:5" x14ac:dyDescent="0.25">
      <c r="B129" t="s">
        <v>356</v>
      </c>
      <c r="C129" s="11">
        <v>44531</v>
      </c>
      <c r="D129" s="11"/>
      <c r="E129" s="5">
        <v>29</v>
      </c>
    </row>
    <row r="130" spans="2:5" x14ac:dyDescent="0.25">
      <c r="B130" t="s">
        <v>357</v>
      </c>
      <c r="C130" s="11">
        <v>44530</v>
      </c>
      <c r="D130" s="11"/>
      <c r="E130" s="5">
        <v>75</v>
      </c>
    </row>
    <row r="131" spans="2:5" x14ac:dyDescent="0.25">
      <c r="B131" t="s">
        <v>358</v>
      </c>
      <c r="C131" s="11">
        <v>44529</v>
      </c>
      <c r="D131" s="11"/>
      <c r="E131" s="5">
        <v>300</v>
      </c>
    </row>
    <row r="132" spans="2:5" x14ac:dyDescent="0.25">
      <c r="B132" t="s">
        <v>359</v>
      </c>
      <c r="C132" s="11">
        <v>44522</v>
      </c>
      <c r="D132" s="11"/>
      <c r="E132" s="5">
        <v>300</v>
      </c>
    </row>
    <row r="133" spans="2:5" x14ac:dyDescent="0.25">
      <c r="B133" t="s">
        <v>360</v>
      </c>
      <c r="C133" s="11">
        <v>44511</v>
      </c>
      <c r="D133" s="11"/>
      <c r="E133" s="5" t="s">
        <v>233</v>
      </c>
    </row>
    <row r="134" spans="2:5" x14ac:dyDescent="0.25">
      <c r="B134" t="s">
        <v>361</v>
      </c>
      <c r="C134" s="11">
        <v>44510</v>
      </c>
      <c r="D134" s="11"/>
      <c r="E134" s="5">
        <v>150</v>
      </c>
    </row>
    <row r="135" spans="2:5" x14ac:dyDescent="0.25">
      <c r="B135" t="s">
        <v>362</v>
      </c>
      <c r="C135" s="11">
        <v>44509</v>
      </c>
      <c r="D135" s="11"/>
      <c r="E135" s="5">
        <v>105</v>
      </c>
    </row>
    <row r="136" spans="2:5" x14ac:dyDescent="0.25">
      <c r="B136" t="s">
        <v>363</v>
      </c>
      <c r="C136" s="11">
        <v>44509</v>
      </c>
      <c r="D136" s="11"/>
      <c r="E136" s="5">
        <v>50</v>
      </c>
    </row>
    <row r="137" spans="2:5" x14ac:dyDescent="0.25">
      <c r="B137" t="s">
        <v>364</v>
      </c>
      <c r="C137" s="11">
        <v>44509</v>
      </c>
      <c r="D137" s="11"/>
      <c r="E137" s="5">
        <v>200</v>
      </c>
    </row>
    <row r="138" spans="2:5" x14ac:dyDescent="0.25">
      <c r="B138" t="s">
        <v>365</v>
      </c>
      <c r="C138" s="11">
        <v>44504</v>
      </c>
      <c r="D138" s="11"/>
      <c r="E138" s="5">
        <v>150</v>
      </c>
    </row>
    <row r="139" spans="2:5" x14ac:dyDescent="0.25">
      <c r="B139" t="s">
        <v>265</v>
      </c>
      <c r="C139" s="11">
        <v>44504</v>
      </c>
      <c r="D139" s="11"/>
      <c r="E139" s="5">
        <v>85</v>
      </c>
    </row>
    <row r="140" spans="2:5" x14ac:dyDescent="0.25">
      <c r="B140" t="s">
        <v>366</v>
      </c>
      <c r="C140" s="11">
        <v>44503</v>
      </c>
      <c r="D140" s="11"/>
      <c r="E140" s="5">
        <v>150</v>
      </c>
    </row>
    <row r="141" spans="2:5" x14ac:dyDescent="0.25">
      <c r="B141" t="s">
        <v>367</v>
      </c>
      <c r="C141" s="11">
        <v>44502</v>
      </c>
      <c r="D141" s="11"/>
      <c r="E141" s="5">
        <v>75</v>
      </c>
    </row>
    <row r="142" spans="2:5" x14ac:dyDescent="0.25">
      <c r="B142" s="11" t="s">
        <v>368</v>
      </c>
      <c r="C142" s="11">
        <v>44502</v>
      </c>
      <c r="D142" s="11"/>
      <c r="E142" s="5">
        <v>600</v>
      </c>
    </row>
    <row r="143" spans="2:5" x14ac:dyDescent="0.25">
      <c r="B143" t="s">
        <v>369</v>
      </c>
      <c r="C143" s="11">
        <v>44501</v>
      </c>
      <c r="D143" s="11"/>
      <c r="E143" s="5">
        <v>700</v>
      </c>
    </row>
    <row r="144" spans="2:5" x14ac:dyDescent="0.25">
      <c r="B144" t="s">
        <v>370</v>
      </c>
      <c r="C144" s="11">
        <v>44497</v>
      </c>
      <c r="D144" s="11"/>
      <c r="E144" s="5">
        <v>68</v>
      </c>
    </row>
    <row r="145" spans="2:5" x14ac:dyDescent="0.25">
      <c r="B145" t="s">
        <v>371</v>
      </c>
      <c r="C145" s="11">
        <v>44497</v>
      </c>
      <c r="D145" s="11"/>
      <c r="E145" s="5">
        <v>312</v>
      </c>
    </row>
    <row r="146" spans="2:5" x14ac:dyDescent="0.25">
      <c r="B146" t="s">
        <v>372</v>
      </c>
      <c r="C146" s="11">
        <v>44496</v>
      </c>
      <c r="D146" s="11"/>
      <c r="E146" s="5">
        <v>25</v>
      </c>
    </row>
    <row r="147" spans="2:5" x14ac:dyDescent="0.25">
      <c r="B147" t="s">
        <v>248</v>
      </c>
      <c r="C147" s="11">
        <v>44494</v>
      </c>
      <c r="D147" s="11"/>
      <c r="E147" s="5">
        <v>175</v>
      </c>
    </row>
    <row r="148" spans="2:5" x14ac:dyDescent="0.25">
      <c r="B148" t="s">
        <v>373</v>
      </c>
      <c r="C148" s="11">
        <v>44490</v>
      </c>
      <c r="D148" s="11"/>
      <c r="E148" s="5">
        <v>100</v>
      </c>
    </row>
    <row r="149" spans="2:5" x14ac:dyDescent="0.25">
      <c r="B149" t="s">
        <v>374</v>
      </c>
      <c r="C149" s="11">
        <v>44490</v>
      </c>
      <c r="D149" s="11"/>
      <c r="E149" s="5">
        <v>200</v>
      </c>
    </row>
    <row r="150" spans="2:5" x14ac:dyDescent="0.25">
      <c r="B150" t="s">
        <v>375</v>
      </c>
      <c r="C150" s="11">
        <v>44489</v>
      </c>
      <c r="D150" s="11"/>
      <c r="E150" s="5">
        <v>215</v>
      </c>
    </row>
    <row r="151" spans="2:5" x14ac:dyDescent="0.25">
      <c r="B151" t="s">
        <v>376</v>
      </c>
      <c r="C151" s="11">
        <v>44487</v>
      </c>
      <c r="D151" s="11"/>
      <c r="E151" s="5">
        <v>230</v>
      </c>
    </row>
    <row r="152" spans="2:5" x14ac:dyDescent="0.25">
      <c r="B152" t="s">
        <v>252</v>
      </c>
      <c r="C152" s="11">
        <v>44486</v>
      </c>
      <c r="D152" s="11"/>
      <c r="E152" s="5">
        <v>150</v>
      </c>
    </row>
    <row r="153" spans="2:5" x14ac:dyDescent="0.25">
      <c r="B153" t="s">
        <v>377</v>
      </c>
      <c r="C153" s="11">
        <v>44482</v>
      </c>
      <c r="D153" s="11"/>
      <c r="E153" s="5">
        <v>400</v>
      </c>
    </row>
    <row r="154" spans="2:5" x14ac:dyDescent="0.25">
      <c r="B154" t="s">
        <v>378</v>
      </c>
      <c r="C154" s="11">
        <v>44481</v>
      </c>
      <c r="D154" s="11"/>
      <c r="E154" s="5">
        <v>300</v>
      </c>
    </row>
    <row r="155" spans="2:5" x14ac:dyDescent="0.25">
      <c r="B155" t="s">
        <v>379</v>
      </c>
      <c r="C155" s="11">
        <v>44480</v>
      </c>
      <c r="D155" s="11"/>
      <c r="E155" s="5">
        <v>60</v>
      </c>
    </row>
    <row r="156" spans="2:5" x14ac:dyDescent="0.25">
      <c r="B156" t="s">
        <v>380</v>
      </c>
      <c r="C156" s="11">
        <v>44477</v>
      </c>
      <c r="D156" s="11"/>
      <c r="E156" s="5">
        <v>1200</v>
      </c>
    </row>
    <row r="157" spans="2:5" x14ac:dyDescent="0.25">
      <c r="B157" t="s">
        <v>298</v>
      </c>
      <c r="C157" s="11">
        <v>44476</v>
      </c>
      <c r="D157" s="11"/>
      <c r="E157" s="5">
        <v>50</v>
      </c>
    </row>
    <row r="158" spans="2:5" x14ac:dyDescent="0.25">
      <c r="B158" t="s">
        <v>381</v>
      </c>
      <c r="C158" s="11">
        <v>44476</v>
      </c>
      <c r="D158" s="11"/>
      <c r="E158" s="5">
        <v>400</v>
      </c>
    </row>
    <row r="159" spans="2:5" x14ac:dyDescent="0.25">
      <c r="B159" t="s">
        <v>382</v>
      </c>
      <c r="C159" s="11">
        <v>44475</v>
      </c>
      <c r="D159" s="11"/>
      <c r="E159" s="5">
        <v>219</v>
      </c>
    </row>
    <row r="160" spans="2:5" x14ac:dyDescent="0.25">
      <c r="B160" t="s">
        <v>237</v>
      </c>
      <c r="C160" s="11">
        <v>44475</v>
      </c>
      <c r="D160" s="11"/>
      <c r="E160" s="5">
        <v>130</v>
      </c>
    </row>
    <row r="161" spans="2:5" x14ac:dyDescent="0.25">
      <c r="B161" t="s">
        <v>383</v>
      </c>
      <c r="C161" s="11">
        <v>44470</v>
      </c>
      <c r="D161" s="11"/>
      <c r="E161" s="5">
        <v>75</v>
      </c>
    </row>
    <row r="162" spans="2:5" x14ac:dyDescent="0.25">
      <c r="B162" t="s">
        <v>384</v>
      </c>
      <c r="C162" s="11">
        <v>44469</v>
      </c>
      <c r="D162" s="11"/>
      <c r="E162" s="5">
        <v>570</v>
      </c>
    </row>
    <row r="163" spans="2:5" ht="13" x14ac:dyDescent="0.3">
      <c r="B163" s="12" t="s">
        <v>385</v>
      </c>
      <c r="C163" s="13">
        <v>44469</v>
      </c>
      <c r="D163" s="13"/>
      <c r="E163" s="16">
        <v>115</v>
      </c>
    </row>
    <row r="164" spans="2:5" x14ac:dyDescent="0.25">
      <c r="B164" t="s">
        <v>342</v>
      </c>
      <c r="C164" s="11">
        <v>44469</v>
      </c>
      <c r="D164" s="11"/>
      <c r="E164" s="5">
        <v>200</v>
      </c>
    </row>
    <row r="165" spans="2:5" x14ac:dyDescent="0.25">
      <c r="B165" t="s">
        <v>386</v>
      </c>
      <c r="C165" s="11">
        <v>44468</v>
      </c>
      <c r="D165" s="11"/>
      <c r="E165" s="5">
        <v>200</v>
      </c>
    </row>
    <row r="166" spans="2:5" x14ac:dyDescent="0.25">
      <c r="B166" t="s">
        <v>387</v>
      </c>
      <c r="C166" s="11">
        <v>44462</v>
      </c>
      <c r="D166" s="11"/>
      <c r="E166" s="5">
        <v>200</v>
      </c>
    </row>
    <row r="167" spans="2:5" x14ac:dyDescent="0.25">
      <c r="B167" t="s">
        <v>388</v>
      </c>
      <c r="C167" s="11">
        <v>44461</v>
      </c>
      <c r="D167" s="11"/>
      <c r="E167" s="5">
        <v>100</v>
      </c>
    </row>
    <row r="168" spans="2:5" x14ac:dyDescent="0.25">
      <c r="B168" t="s">
        <v>389</v>
      </c>
      <c r="C168" s="11">
        <v>44461</v>
      </c>
      <c r="D168" s="11"/>
      <c r="E168" s="5">
        <v>178</v>
      </c>
    </row>
    <row r="169" spans="2:5" x14ac:dyDescent="0.25">
      <c r="B169" t="s">
        <v>390</v>
      </c>
      <c r="C169" s="11">
        <v>44461</v>
      </c>
      <c r="D169" s="11"/>
      <c r="E169" s="5">
        <v>61</v>
      </c>
    </row>
    <row r="170" spans="2:5" x14ac:dyDescent="0.25">
      <c r="B170" t="s">
        <v>391</v>
      </c>
      <c r="C170" s="11">
        <v>44461</v>
      </c>
      <c r="D170" s="11"/>
      <c r="E170" s="5">
        <v>400</v>
      </c>
    </row>
    <row r="171" spans="2:5" x14ac:dyDescent="0.25">
      <c r="B171" t="s">
        <v>326</v>
      </c>
      <c r="C171" s="11">
        <v>44460</v>
      </c>
      <c r="D171" s="11"/>
      <c r="E171" s="5">
        <v>155</v>
      </c>
    </row>
    <row r="172" spans="2:5" x14ac:dyDescent="0.25">
      <c r="B172" t="s">
        <v>343</v>
      </c>
      <c r="C172" s="11">
        <v>44459</v>
      </c>
      <c r="D172" s="11"/>
      <c r="E172" s="5">
        <v>340</v>
      </c>
    </row>
    <row r="173" spans="2:5" x14ac:dyDescent="0.25">
      <c r="B173" t="s">
        <v>392</v>
      </c>
      <c r="C173" s="11">
        <v>44454</v>
      </c>
      <c r="D173" s="11"/>
      <c r="E173" s="5">
        <v>177</v>
      </c>
    </row>
    <row r="174" spans="2:5" x14ac:dyDescent="0.25">
      <c r="B174" t="s">
        <v>393</v>
      </c>
      <c r="C174" s="11">
        <v>44454</v>
      </c>
      <c r="D174" s="11"/>
      <c r="E174" s="5">
        <v>125</v>
      </c>
    </row>
    <row r="175" spans="2:5" x14ac:dyDescent="0.25">
      <c r="B175" t="s">
        <v>394</v>
      </c>
      <c r="C175" s="11">
        <v>44454</v>
      </c>
      <c r="D175" s="11"/>
      <c r="E175" s="5">
        <v>200</v>
      </c>
    </row>
    <row r="176" spans="2:5" x14ac:dyDescent="0.25">
      <c r="B176" t="s">
        <v>395</v>
      </c>
      <c r="C176" s="11">
        <v>44453</v>
      </c>
      <c r="D176" s="11"/>
      <c r="E176" s="5">
        <v>100</v>
      </c>
    </row>
    <row r="177" spans="2:5" x14ac:dyDescent="0.25">
      <c r="B177" t="s">
        <v>396</v>
      </c>
      <c r="C177" s="11">
        <v>44453</v>
      </c>
      <c r="D177" s="11"/>
      <c r="E177" s="5">
        <v>125</v>
      </c>
    </row>
    <row r="178" spans="2:5" x14ac:dyDescent="0.25">
      <c r="B178" t="s">
        <v>397</v>
      </c>
      <c r="C178" s="11">
        <v>44453</v>
      </c>
      <c r="D178" s="11"/>
      <c r="E178" s="5">
        <v>225</v>
      </c>
    </row>
    <row r="179" spans="2:5" x14ac:dyDescent="0.25">
      <c r="B179" t="s">
        <v>398</v>
      </c>
      <c r="C179" s="11">
        <v>44453</v>
      </c>
      <c r="D179" s="11"/>
      <c r="E179" s="5">
        <v>100</v>
      </c>
    </row>
    <row r="180" spans="2:5" x14ac:dyDescent="0.25">
      <c r="B180" t="s">
        <v>399</v>
      </c>
      <c r="C180" s="11">
        <v>44452</v>
      </c>
      <c r="D180" s="11"/>
      <c r="E180" s="5">
        <v>140</v>
      </c>
    </row>
    <row r="181" spans="2:5" x14ac:dyDescent="0.25">
      <c r="B181" t="s">
        <v>400</v>
      </c>
      <c r="C181" s="11">
        <v>44448</v>
      </c>
      <c r="D181" s="11"/>
      <c r="E181" s="5">
        <v>220</v>
      </c>
    </row>
    <row r="182" spans="2:5" x14ac:dyDescent="0.25">
      <c r="B182" t="s">
        <v>401</v>
      </c>
      <c r="C182" s="11">
        <v>44441</v>
      </c>
      <c r="D182" s="11"/>
      <c r="E182" s="5">
        <v>100</v>
      </c>
    </row>
    <row r="183" spans="2:5" x14ac:dyDescent="0.25">
      <c r="B183" t="s">
        <v>402</v>
      </c>
      <c r="C183" s="11">
        <v>44439</v>
      </c>
      <c r="D183" s="11"/>
      <c r="E183" s="5">
        <v>75</v>
      </c>
    </row>
    <row r="184" spans="2:5" x14ac:dyDescent="0.25">
      <c r="B184" t="s">
        <v>403</v>
      </c>
      <c r="C184" s="11">
        <v>44438</v>
      </c>
      <c r="D184" s="11"/>
      <c r="E184" s="5">
        <v>200</v>
      </c>
    </row>
    <row r="185" spans="2:5" x14ac:dyDescent="0.25">
      <c r="B185" t="s">
        <v>404</v>
      </c>
      <c r="C185" s="11">
        <v>44435</v>
      </c>
      <c r="D185" s="11"/>
      <c r="E185" s="5">
        <v>122</v>
      </c>
    </row>
    <row r="186" spans="2:5" x14ac:dyDescent="0.25">
      <c r="B186" t="s">
        <v>405</v>
      </c>
      <c r="C186" s="11">
        <v>44434</v>
      </c>
      <c r="D186" s="11"/>
      <c r="E186" s="5">
        <v>130</v>
      </c>
    </row>
    <row r="187" spans="2:5" x14ac:dyDescent="0.25">
      <c r="B187" t="s">
        <v>406</v>
      </c>
      <c r="C187" s="11">
        <v>44433</v>
      </c>
      <c r="D187" s="11"/>
      <c r="E187" s="5">
        <v>100</v>
      </c>
    </row>
    <row r="188" spans="2:5" x14ac:dyDescent="0.25">
      <c r="B188" t="s">
        <v>407</v>
      </c>
      <c r="C188" s="11">
        <v>44431</v>
      </c>
      <c r="D188" s="11"/>
      <c r="E188" s="5">
        <v>400</v>
      </c>
    </row>
    <row r="189" spans="2:5" x14ac:dyDescent="0.25">
      <c r="B189" t="s">
        <v>408</v>
      </c>
      <c r="C189" s="11">
        <v>44428</v>
      </c>
      <c r="D189" s="11"/>
      <c r="E189" s="5">
        <v>450</v>
      </c>
    </row>
    <row r="190" spans="2:5" x14ac:dyDescent="0.25">
      <c r="B190" t="s">
        <v>358</v>
      </c>
      <c r="C190" s="11">
        <v>44427</v>
      </c>
      <c r="D190" s="11"/>
      <c r="E190" s="5">
        <v>1000</v>
      </c>
    </row>
    <row r="191" spans="2:5" x14ac:dyDescent="0.25">
      <c r="B191" t="s">
        <v>409</v>
      </c>
      <c r="C191" s="11">
        <v>44425</v>
      </c>
      <c r="D191" s="11"/>
      <c r="E191" s="5">
        <v>160</v>
      </c>
    </row>
    <row r="192" spans="2:5" x14ac:dyDescent="0.25">
      <c r="B192" t="s">
        <v>410</v>
      </c>
      <c r="C192" s="11">
        <v>44424</v>
      </c>
      <c r="D192" s="11"/>
      <c r="E192" s="5">
        <v>220</v>
      </c>
    </row>
    <row r="193" spans="2:5" x14ac:dyDescent="0.25">
      <c r="B193" t="s">
        <v>411</v>
      </c>
      <c r="C193" s="11">
        <v>44424</v>
      </c>
      <c r="D193" s="11"/>
      <c r="E193" s="5">
        <v>120</v>
      </c>
    </row>
    <row r="194" spans="2:5" x14ac:dyDescent="0.25">
      <c r="B194" t="s">
        <v>412</v>
      </c>
      <c r="C194" s="11">
        <v>44421</v>
      </c>
      <c r="D194" s="11"/>
      <c r="E194" s="5">
        <v>750</v>
      </c>
    </row>
    <row r="195" spans="2:5" x14ac:dyDescent="0.25">
      <c r="B195" t="s">
        <v>413</v>
      </c>
      <c r="C195" s="11">
        <v>44420</v>
      </c>
      <c r="D195" s="11"/>
      <c r="E195" s="5">
        <v>430</v>
      </c>
    </row>
    <row r="196" spans="2:5" x14ac:dyDescent="0.25">
      <c r="B196" t="s">
        <v>254</v>
      </c>
      <c r="C196" s="11">
        <v>44418</v>
      </c>
      <c r="D196" s="11"/>
      <c r="E196" s="5">
        <v>325</v>
      </c>
    </row>
    <row r="197" spans="2:5" x14ac:dyDescent="0.25">
      <c r="B197" t="s">
        <v>414</v>
      </c>
      <c r="C197" s="11">
        <v>44417</v>
      </c>
      <c r="D197" s="11"/>
      <c r="E197" s="5">
        <v>1500</v>
      </c>
    </row>
    <row r="198" spans="2:5" x14ac:dyDescent="0.25">
      <c r="B198" t="s">
        <v>415</v>
      </c>
      <c r="C198" s="11">
        <v>44413</v>
      </c>
      <c r="D198" s="11"/>
      <c r="E198" s="5">
        <v>100</v>
      </c>
    </row>
    <row r="199" spans="2:5" x14ac:dyDescent="0.25">
      <c r="B199" t="s">
        <v>416</v>
      </c>
      <c r="C199" s="11">
        <v>44412</v>
      </c>
      <c r="D199" s="11"/>
      <c r="E199" s="5">
        <v>200</v>
      </c>
    </row>
    <row r="200" spans="2:5" x14ac:dyDescent="0.25">
      <c r="B200" t="s">
        <v>417</v>
      </c>
      <c r="C200" s="11">
        <v>44409</v>
      </c>
      <c r="D200" s="11"/>
      <c r="E200" s="5">
        <v>440</v>
      </c>
    </row>
    <row r="201" spans="2:5" x14ac:dyDescent="0.25">
      <c r="B201" t="s">
        <v>342</v>
      </c>
      <c r="C201" s="11">
        <v>44408</v>
      </c>
      <c r="D201" s="11"/>
      <c r="E201" s="5">
        <v>160</v>
      </c>
    </row>
    <row r="202" spans="2:5" x14ac:dyDescent="0.25">
      <c r="B202" t="s">
        <v>418</v>
      </c>
      <c r="C202" s="11">
        <v>44407</v>
      </c>
      <c r="D202" s="11"/>
      <c r="E202" s="5">
        <v>1000</v>
      </c>
    </row>
    <row r="203" spans="2:5" x14ac:dyDescent="0.25">
      <c r="B203" t="s">
        <v>419</v>
      </c>
      <c r="C203" s="11">
        <v>44407</v>
      </c>
      <c r="D203" s="11"/>
      <c r="E203" s="5">
        <v>250</v>
      </c>
    </row>
    <row r="204" spans="2:5" x14ac:dyDescent="0.25">
      <c r="B204" t="s">
        <v>421</v>
      </c>
      <c r="C204" s="11">
        <v>44405</v>
      </c>
      <c r="D204" s="11"/>
      <c r="E204" s="5">
        <v>180</v>
      </c>
    </row>
    <row r="205" spans="2:5" x14ac:dyDescent="0.25">
      <c r="B205" t="s">
        <v>422</v>
      </c>
      <c r="C205" s="11">
        <v>44405</v>
      </c>
      <c r="D205" s="11"/>
      <c r="E205" s="5">
        <v>105</v>
      </c>
    </row>
    <row r="206" spans="2:5" x14ac:dyDescent="0.25">
      <c r="B206" t="s">
        <v>423</v>
      </c>
      <c r="C206" s="11">
        <v>44404</v>
      </c>
      <c r="D206" s="11"/>
      <c r="E206" s="5">
        <v>200</v>
      </c>
    </row>
    <row r="207" spans="2:5" x14ac:dyDescent="0.25">
      <c r="B207" t="s">
        <v>424</v>
      </c>
      <c r="C207" s="11">
        <v>44403</v>
      </c>
      <c r="D207" s="11"/>
      <c r="E207" s="5">
        <v>75</v>
      </c>
    </row>
    <row r="208" spans="2:5" x14ac:dyDescent="0.25">
      <c r="B208" t="s">
        <v>425</v>
      </c>
      <c r="C208" s="11">
        <v>44398</v>
      </c>
      <c r="D208" s="11"/>
      <c r="E208" s="5">
        <v>100</v>
      </c>
    </row>
    <row r="209" spans="2:6" x14ac:dyDescent="0.25">
      <c r="B209" t="s">
        <v>426</v>
      </c>
      <c r="C209" s="11">
        <v>44398</v>
      </c>
      <c r="D209" s="11"/>
      <c r="E209" s="5">
        <v>35</v>
      </c>
    </row>
    <row r="210" spans="2:6" ht="13" x14ac:dyDescent="0.3">
      <c r="B210" s="12" t="s">
        <v>330</v>
      </c>
      <c r="C210" s="13">
        <v>44397</v>
      </c>
      <c r="D210" s="13"/>
      <c r="E210" s="16">
        <v>1000</v>
      </c>
      <c r="F210" s="12" t="s">
        <v>420</v>
      </c>
    </row>
    <row r="211" spans="2:6" x14ac:dyDescent="0.25">
      <c r="B211" t="s">
        <v>271</v>
      </c>
      <c r="C211" s="11">
        <v>44396</v>
      </c>
      <c r="D211" s="11"/>
      <c r="E211" s="5">
        <v>200</v>
      </c>
    </row>
    <row r="212" spans="2:6" x14ac:dyDescent="0.25">
      <c r="B212" t="s">
        <v>341</v>
      </c>
      <c r="C212" s="11">
        <v>44395</v>
      </c>
      <c r="D212" s="11"/>
      <c r="E212" s="5">
        <v>75</v>
      </c>
    </row>
    <row r="213" spans="2:6" x14ac:dyDescent="0.25">
      <c r="B213" t="s">
        <v>427</v>
      </c>
      <c r="C213" s="11">
        <v>44392</v>
      </c>
      <c r="D213" s="11"/>
      <c r="E213" s="5">
        <v>150</v>
      </c>
    </row>
    <row r="214" spans="2:6" x14ac:dyDescent="0.25">
      <c r="B214" t="s">
        <v>428</v>
      </c>
      <c r="C214" s="11">
        <v>44392</v>
      </c>
      <c r="D214" s="11"/>
      <c r="E214" s="5">
        <v>800</v>
      </c>
    </row>
    <row r="215" spans="2:6" x14ac:dyDescent="0.25">
      <c r="B215" t="s">
        <v>429</v>
      </c>
      <c r="C215" s="11">
        <v>44392</v>
      </c>
      <c r="D215" s="11"/>
      <c r="E215" s="5">
        <v>1700</v>
      </c>
    </row>
    <row r="216" spans="2:6" x14ac:dyDescent="0.25">
      <c r="B216" t="s">
        <v>430</v>
      </c>
      <c r="C216" s="11">
        <v>44391</v>
      </c>
      <c r="D216" s="11"/>
      <c r="E216" s="5">
        <v>150</v>
      </c>
    </row>
    <row r="217" spans="2:6" x14ac:dyDescent="0.25">
      <c r="B217" t="s">
        <v>431</v>
      </c>
      <c r="C217" s="11">
        <v>44391</v>
      </c>
      <c r="D217" s="11"/>
      <c r="E217" s="5">
        <v>275</v>
      </c>
    </row>
    <row r="218" spans="2:6" x14ac:dyDescent="0.25">
      <c r="B218" t="s">
        <v>432</v>
      </c>
      <c r="C218" s="11">
        <v>44390</v>
      </c>
      <c r="D218" s="11"/>
      <c r="E218" s="5">
        <v>100</v>
      </c>
    </row>
    <row r="219" spans="2:6" x14ac:dyDescent="0.25">
      <c r="B219" t="s">
        <v>433</v>
      </c>
      <c r="C219" s="11">
        <v>44389</v>
      </c>
      <c r="D219" s="11"/>
      <c r="E219" s="5">
        <v>3600</v>
      </c>
    </row>
    <row r="220" spans="2:6" x14ac:dyDescent="0.25">
      <c r="B220" t="s">
        <v>434</v>
      </c>
      <c r="C220" s="11">
        <v>44389</v>
      </c>
      <c r="D220" s="11"/>
      <c r="E220" s="5">
        <v>450</v>
      </c>
    </row>
    <row r="221" spans="2:6" x14ac:dyDescent="0.25">
      <c r="B221" t="s">
        <v>435</v>
      </c>
      <c r="C221" s="11">
        <v>44385</v>
      </c>
      <c r="D221" s="11"/>
      <c r="E221" s="5">
        <v>215</v>
      </c>
    </row>
    <row r="222" spans="2:6" x14ac:dyDescent="0.25">
      <c r="B222" t="s">
        <v>436</v>
      </c>
      <c r="C222" s="11">
        <v>44384</v>
      </c>
      <c r="D222" s="11"/>
      <c r="E222" s="5">
        <v>75</v>
      </c>
    </row>
    <row r="223" spans="2:6" x14ac:dyDescent="0.25">
      <c r="B223" t="s">
        <v>437</v>
      </c>
      <c r="C223" s="11">
        <v>44384</v>
      </c>
      <c r="D223" s="11"/>
      <c r="E223" s="5">
        <v>100</v>
      </c>
    </row>
    <row r="224" spans="2:6" x14ac:dyDescent="0.25">
      <c r="B224" t="s">
        <v>438</v>
      </c>
      <c r="C224" s="11">
        <v>44384</v>
      </c>
      <c r="D224" s="11"/>
      <c r="E224" s="5">
        <v>235</v>
      </c>
    </row>
    <row r="225" spans="2:5" x14ac:dyDescent="0.25">
      <c r="B225" t="s">
        <v>439</v>
      </c>
      <c r="C225" s="11">
        <v>44382</v>
      </c>
      <c r="D225" s="11"/>
      <c r="E225" s="5">
        <v>115</v>
      </c>
    </row>
    <row r="226" spans="2:5" x14ac:dyDescent="0.25">
      <c r="B226" t="s">
        <v>275</v>
      </c>
      <c r="C226" s="11">
        <v>44378</v>
      </c>
      <c r="D226" s="11"/>
      <c r="E226" s="5">
        <v>415</v>
      </c>
    </row>
    <row r="227" spans="2:5" x14ac:dyDescent="0.25">
      <c r="B227" t="s">
        <v>440</v>
      </c>
      <c r="C227" s="11">
        <v>44377</v>
      </c>
      <c r="D227" s="11"/>
      <c r="E227" s="5">
        <v>40</v>
      </c>
    </row>
    <row r="228" spans="2:5" x14ac:dyDescent="0.25">
      <c r="B228" t="s">
        <v>441</v>
      </c>
      <c r="C228" s="11">
        <v>44376</v>
      </c>
      <c r="D228" s="11"/>
      <c r="E228" s="5">
        <v>220</v>
      </c>
    </row>
    <row r="229" spans="2:5" x14ac:dyDescent="0.25">
      <c r="B229" t="s">
        <v>239</v>
      </c>
      <c r="C229" s="11">
        <v>44375</v>
      </c>
      <c r="D229" s="11"/>
      <c r="E229" s="5">
        <v>450</v>
      </c>
    </row>
    <row r="230" spans="2:5" x14ac:dyDescent="0.25">
      <c r="B230" t="s">
        <v>241</v>
      </c>
      <c r="C230" s="11">
        <v>44369</v>
      </c>
      <c r="D230" s="11"/>
      <c r="E230" s="5">
        <v>210</v>
      </c>
    </row>
    <row r="231" spans="2:5" x14ac:dyDescent="0.25">
      <c r="B231" t="s">
        <v>296</v>
      </c>
      <c r="C231" s="11">
        <v>44368</v>
      </c>
      <c r="D231" s="11"/>
      <c r="E231" s="5">
        <v>210</v>
      </c>
    </row>
    <row r="232" spans="2:5" ht="13" x14ac:dyDescent="0.3">
      <c r="B232" s="12" t="s">
        <v>442</v>
      </c>
      <c r="C232" s="13">
        <v>44363</v>
      </c>
      <c r="D232" s="13"/>
      <c r="E232" s="16">
        <v>140</v>
      </c>
    </row>
    <row r="233" spans="2:5" x14ac:dyDescent="0.25">
      <c r="B233" t="s">
        <v>443</v>
      </c>
      <c r="C233" s="11">
        <v>44362</v>
      </c>
      <c r="D233" s="11"/>
      <c r="E233" s="5">
        <v>360</v>
      </c>
    </row>
    <row r="234" spans="2:5" x14ac:dyDescent="0.25">
      <c r="B234" t="s">
        <v>444</v>
      </c>
      <c r="C234" s="11">
        <v>44362</v>
      </c>
      <c r="D234" s="11"/>
      <c r="E234" s="5">
        <v>210</v>
      </c>
    </row>
    <row r="235" spans="2:5" x14ac:dyDescent="0.25">
      <c r="B235" t="s">
        <v>445</v>
      </c>
      <c r="C235" s="11">
        <v>44362</v>
      </c>
      <c r="D235" s="11"/>
      <c r="E235" s="5">
        <v>170</v>
      </c>
    </row>
    <row r="236" spans="2:5" x14ac:dyDescent="0.25">
      <c r="B236" t="s">
        <v>446</v>
      </c>
      <c r="C236" s="11">
        <v>44357</v>
      </c>
      <c r="D236" s="11"/>
      <c r="E236" s="5">
        <v>300</v>
      </c>
    </row>
    <row r="237" spans="2:5" ht="13" x14ac:dyDescent="0.3">
      <c r="B237" s="12" t="s">
        <v>447</v>
      </c>
      <c r="C237" s="13">
        <v>44357</v>
      </c>
      <c r="D237" s="13"/>
      <c r="E237" s="16">
        <v>220</v>
      </c>
    </row>
    <row r="238" spans="2:5" x14ac:dyDescent="0.25">
      <c r="B238" t="s">
        <v>448</v>
      </c>
      <c r="C238" s="11">
        <v>44357</v>
      </c>
      <c r="D238" s="11"/>
      <c r="E238" s="5">
        <v>639</v>
      </c>
    </row>
    <row r="239" spans="2:5" x14ac:dyDescent="0.25">
      <c r="B239" t="s">
        <v>449</v>
      </c>
      <c r="C239" s="11">
        <v>44355</v>
      </c>
      <c r="D239" s="11"/>
      <c r="E239" s="5">
        <v>90</v>
      </c>
    </row>
    <row r="240" spans="2:5" x14ac:dyDescent="0.25">
      <c r="B240" t="s">
        <v>450</v>
      </c>
      <c r="C240" s="11">
        <v>44354</v>
      </c>
      <c r="D240" s="11"/>
      <c r="E240" s="5">
        <v>400</v>
      </c>
    </row>
    <row r="241" spans="2:5" x14ac:dyDescent="0.25">
      <c r="B241" t="s">
        <v>451</v>
      </c>
      <c r="C241" s="11">
        <v>44351</v>
      </c>
      <c r="D241" s="11"/>
      <c r="E241" s="5" t="s">
        <v>233</v>
      </c>
    </row>
    <row r="242" spans="2:5" x14ac:dyDescent="0.25">
      <c r="B242" t="s">
        <v>452</v>
      </c>
      <c r="C242" s="11">
        <v>44351</v>
      </c>
      <c r="D242" s="11"/>
      <c r="E242" s="5">
        <v>350</v>
      </c>
    </row>
    <row r="243" spans="2:5" x14ac:dyDescent="0.25">
      <c r="B243" t="s">
        <v>453</v>
      </c>
      <c r="C243" s="11">
        <v>44342</v>
      </c>
      <c r="D243" s="11"/>
      <c r="E243" s="5">
        <v>775</v>
      </c>
    </row>
    <row r="244" spans="2:5" x14ac:dyDescent="0.25">
      <c r="B244" t="s">
        <v>260</v>
      </c>
      <c r="C244" s="11">
        <v>44341</v>
      </c>
      <c r="D244" s="11"/>
      <c r="E244" s="5">
        <v>500</v>
      </c>
    </row>
    <row r="245" spans="2:5" x14ac:dyDescent="0.25">
      <c r="B245" t="s">
        <v>454</v>
      </c>
      <c r="C245" s="11">
        <v>44340</v>
      </c>
      <c r="D245" s="11"/>
      <c r="E245" s="5">
        <v>250</v>
      </c>
    </row>
    <row r="246" spans="2:5" x14ac:dyDescent="0.25">
      <c r="B246" t="s">
        <v>455</v>
      </c>
      <c r="C246" s="11">
        <v>44340</v>
      </c>
      <c r="D246" s="11"/>
      <c r="E246" s="5">
        <v>175</v>
      </c>
    </row>
    <row r="247" spans="2:5" x14ac:dyDescent="0.25">
      <c r="B247" t="s">
        <v>456</v>
      </c>
      <c r="C247" s="11">
        <v>44335</v>
      </c>
      <c r="D247" s="11"/>
      <c r="E247" s="5">
        <v>150</v>
      </c>
    </row>
    <row r="248" spans="2:5" x14ac:dyDescent="0.25">
      <c r="B248" t="s">
        <v>457</v>
      </c>
      <c r="C248" s="11">
        <v>44334</v>
      </c>
      <c r="D248" s="11"/>
      <c r="E248" s="5">
        <v>260</v>
      </c>
    </row>
    <row r="249" spans="2:5" x14ac:dyDescent="0.25">
      <c r="B249" t="s">
        <v>458</v>
      </c>
      <c r="C249" s="11">
        <v>44328</v>
      </c>
      <c r="D249" s="11"/>
      <c r="E249" s="5">
        <v>330</v>
      </c>
    </row>
    <row r="250" spans="2:5" x14ac:dyDescent="0.25">
      <c r="B250" t="s">
        <v>459</v>
      </c>
      <c r="C250" s="11">
        <v>44328</v>
      </c>
      <c r="D250" s="11"/>
      <c r="E250" s="5" t="s">
        <v>233</v>
      </c>
    </row>
    <row r="251" spans="2:5" x14ac:dyDescent="0.25">
      <c r="B251" t="s">
        <v>460</v>
      </c>
      <c r="C251" s="11">
        <v>44327</v>
      </c>
      <c r="D251" s="11"/>
      <c r="E251" s="5">
        <v>260</v>
      </c>
    </row>
    <row r="252" spans="2:5" x14ac:dyDescent="0.25">
      <c r="B252" t="s">
        <v>461</v>
      </c>
      <c r="C252" s="11">
        <v>44327</v>
      </c>
      <c r="D252" s="11"/>
      <c r="E252" s="5">
        <v>70</v>
      </c>
    </row>
    <row r="253" spans="2:5" x14ac:dyDescent="0.25">
      <c r="B253" t="s">
        <v>462</v>
      </c>
      <c r="C253" s="11">
        <v>44327</v>
      </c>
      <c r="D253" s="11"/>
      <c r="E253" s="5">
        <v>1000</v>
      </c>
    </row>
    <row r="254" spans="2:5" x14ac:dyDescent="0.25">
      <c r="B254" t="s">
        <v>463</v>
      </c>
      <c r="C254" s="11">
        <v>44320</v>
      </c>
      <c r="D254" s="11"/>
      <c r="E254" s="5">
        <v>75</v>
      </c>
    </row>
    <row r="255" spans="2:5" x14ac:dyDescent="0.25">
      <c r="B255" t="s">
        <v>464</v>
      </c>
      <c r="C255" s="11">
        <v>44320</v>
      </c>
      <c r="D255" s="11"/>
      <c r="E255" s="5">
        <v>280</v>
      </c>
    </row>
    <row r="256" spans="2:5" x14ac:dyDescent="0.25">
      <c r="B256" t="s">
        <v>465</v>
      </c>
      <c r="C256" s="11">
        <v>44306</v>
      </c>
      <c r="D256" s="11"/>
      <c r="E256" s="5">
        <v>225</v>
      </c>
    </row>
    <row r="257" spans="2:5" x14ac:dyDescent="0.25">
      <c r="B257" t="s">
        <v>466</v>
      </c>
      <c r="C257" s="11">
        <v>44302</v>
      </c>
      <c r="D257" s="11"/>
      <c r="E257" s="5">
        <v>80</v>
      </c>
    </row>
    <row r="258" spans="2:5" x14ac:dyDescent="0.25">
      <c r="B258" t="s">
        <v>467</v>
      </c>
      <c r="C258" s="11">
        <v>44299</v>
      </c>
      <c r="D258" s="11"/>
      <c r="E258" s="5">
        <v>189</v>
      </c>
    </row>
    <row r="259" spans="2:5" x14ac:dyDescent="0.25">
      <c r="B259" t="s">
        <v>468</v>
      </c>
      <c r="C259" s="11">
        <v>44299</v>
      </c>
      <c r="D259" s="11"/>
      <c r="E259" s="5">
        <v>220</v>
      </c>
    </row>
    <row r="260" spans="2:5" ht="13" x14ac:dyDescent="0.3">
      <c r="B260" s="12" t="s">
        <v>469</v>
      </c>
      <c r="C260" s="13">
        <v>44299</v>
      </c>
      <c r="D260" s="13"/>
      <c r="E260" s="16">
        <v>676</v>
      </c>
    </row>
    <row r="261" spans="2:5" x14ac:dyDescent="0.25">
      <c r="B261" t="s">
        <v>470</v>
      </c>
      <c r="C261" s="11">
        <v>44296</v>
      </c>
      <c r="D261" s="11"/>
      <c r="E261" s="5">
        <v>30</v>
      </c>
    </row>
    <row r="262" spans="2:5" x14ac:dyDescent="0.25">
      <c r="B262" t="s">
        <v>471</v>
      </c>
      <c r="C262" s="11">
        <v>44294</v>
      </c>
      <c r="D262" s="11"/>
      <c r="E262" s="5">
        <v>500</v>
      </c>
    </row>
    <row r="263" spans="2:5" x14ac:dyDescent="0.25">
      <c r="B263" t="s">
        <v>472</v>
      </c>
      <c r="C263" s="11">
        <v>44294</v>
      </c>
      <c r="D263" s="11"/>
      <c r="E263" s="5">
        <v>160</v>
      </c>
    </row>
    <row r="264" spans="2:5" x14ac:dyDescent="0.25">
      <c r="B264" t="s">
        <v>473</v>
      </c>
      <c r="C264" s="11">
        <v>44294</v>
      </c>
      <c r="D264" s="11"/>
      <c r="E264" s="5">
        <v>223</v>
      </c>
    </row>
    <row r="265" spans="2:5" x14ac:dyDescent="0.25">
      <c r="B265" t="s">
        <v>474</v>
      </c>
      <c r="C265" s="11">
        <v>44293</v>
      </c>
      <c r="D265" s="11"/>
      <c r="E265" s="5">
        <v>640</v>
      </c>
    </row>
    <row r="266" spans="2:5" x14ac:dyDescent="0.25">
      <c r="B266" t="s">
        <v>475</v>
      </c>
      <c r="C266" s="11">
        <v>44293</v>
      </c>
      <c r="D266" s="11"/>
      <c r="E266" s="5">
        <v>110</v>
      </c>
    </row>
    <row r="267" spans="2:5" x14ac:dyDescent="0.25">
      <c r="B267" t="s">
        <v>476</v>
      </c>
      <c r="C267" s="11">
        <v>44293</v>
      </c>
      <c r="D267" s="11"/>
      <c r="E267" s="5">
        <v>150</v>
      </c>
    </row>
    <row r="268" spans="2:5" x14ac:dyDescent="0.25">
      <c r="B268" s="11" t="s">
        <v>477</v>
      </c>
      <c r="C268" s="11">
        <v>44292</v>
      </c>
      <c r="D268" s="11"/>
      <c r="E268" s="5">
        <v>210</v>
      </c>
    </row>
    <row r="269" spans="2:5" x14ac:dyDescent="0.25">
      <c r="B269" t="s">
        <v>478</v>
      </c>
      <c r="C269" s="11">
        <v>44292</v>
      </c>
      <c r="D269" s="11"/>
      <c r="E269" s="5">
        <v>100</v>
      </c>
    </row>
    <row r="270" spans="2:5" x14ac:dyDescent="0.25">
      <c r="B270" t="s">
        <v>384</v>
      </c>
      <c r="C270" s="11">
        <v>44291</v>
      </c>
      <c r="D270" s="11"/>
      <c r="E270" s="5">
        <v>300</v>
      </c>
    </row>
    <row r="271" spans="2:5" x14ac:dyDescent="0.25">
      <c r="B271" t="s">
        <v>479</v>
      </c>
      <c r="C271" s="11">
        <v>44286</v>
      </c>
      <c r="D271" s="11"/>
      <c r="E271" s="5">
        <v>110</v>
      </c>
    </row>
    <row r="272" spans="2:5" x14ac:dyDescent="0.25">
      <c r="B272" t="s">
        <v>286</v>
      </c>
      <c r="C272" s="11">
        <v>44286</v>
      </c>
      <c r="D272" s="11"/>
      <c r="E272" s="5">
        <v>210</v>
      </c>
    </row>
    <row r="273" spans="2:5" x14ac:dyDescent="0.25">
      <c r="B273" t="s">
        <v>480</v>
      </c>
      <c r="C273" s="11">
        <v>44285</v>
      </c>
      <c r="D273" s="11"/>
      <c r="E273" s="5">
        <v>100</v>
      </c>
    </row>
    <row r="274" spans="2:5" x14ac:dyDescent="0.25">
      <c r="B274" t="s">
        <v>418</v>
      </c>
      <c r="C274" s="11">
        <v>44278</v>
      </c>
      <c r="D274" s="11"/>
      <c r="E274" s="5">
        <v>1200</v>
      </c>
    </row>
    <row r="275" spans="2:5" x14ac:dyDescent="0.25">
      <c r="B275" t="s">
        <v>481</v>
      </c>
      <c r="C275" s="11">
        <v>44271</v>
      </c>
      <c r="D275" s="11"/>
      <c r="E275" s="5">
        <v>300</v>
      </c>
    </row>
    <row r="276" spans="2:5" x14ac:dyDescent="0.25">
      <c r="B276" t="s">
        <v>482</v>
      </c>
      <c r="C276" s="11">
        <v>44270</v>
      </c>
      <c r="D276" s="11"/>
      <c r="E276" s="5">
        <v>400</v>
      </c>
    </row>
    <row r="277" spans="2:5" x14ac:dyDescent="0.25">
      <c r="B277" t="s">
        <v>247</v>
      </c>
      <c r="C277" s="11">
        <v>44270</v>
      </c>
      <c r="D277" s="11"/>
      <c r="E277" s="5">
        <v>525</v>
      </c>
    </row>
    <row r="278" spans="2:5" x14ac:dyDescent="0.25">
      <c r="B278" t="s">
        <v>483</v>
      </c>
      <c r="C278" s="11">
        <v>44267</v>
      </c>
      <c r="D278" s="11"/>
      <c r="E278" s="5">
        <v>204</v>
      </c>
    </row>
    <row r="279" spans="2:5" x14ac:dyDescent="0.25">
      <c r="B279" t="s">
        <v>484</v>
      </c>
      <c r="C279" s="11">
        <v>44266</v>
      </c>
      <c r="D279" s="11"/>
      <c r="E279" s="5">
        <v>225</v>
      </c>
    </row>
    <row r="280" spans="2:5" x14ac:dyDescent="0.25">
      <c r="B280" t="s">
        <v>483</v>
      </c>
      <c r="C280" s="11">
        <v>44266</v>
      </c>
      <c r="D280" s="11"/>
      <c r="E280" s="5">
        <v>200</v>
      </c>
    </row>
    <row r="281" spans="2:5" x14ac:dyDescent="0.25">
      <c r="B281" t="s">
        <v>355</v>
      </c>
      <c r="C281" s="11">
        <v>44264</v>
      </c>
      <c r="D281" s="11"/>
      <c r="E281" s="5">
        <v>110</v>
      </c>
    </row>
    <row r="282" spans="2:5" x14ac:dyDescent="0.25">
      <c r="B282" t="s">
        <v>485</v>
      </c>
      <c r="C282" s="11">
        <v>44251</v>
      </c>
      <c r="D282" s="11"/>
      <c r="E282" s="5">
        <v>135</v>
      </c>
    </row>
    <row r="283" spans="2:5" x14ac:dyDescent="0.25">
      <c r="B283" t="s">
        <v>486</v>
      </c>
      <c r="C283" s="11">
        <v>44244</v>
      </c>
      <c r="D283" s="11"/>
      <c r="E283" s="5">
        <v>150</v>
      </c>
    </row>
    <row r="284" spans="2:5" x14ac:dyDescent="0.25">
      <c r="B284" t="s">
        <v>487</v>
      </c>
      <c r="C284" s="11">
        <v>44222</v>
      </c>
      <c r="D284" s="11"/>
      <c r="E284" s="5">
        <v>200</v>
      </c>
    </row>
    <row r="285" spans="2:5" x14ac:dyDescent="0.25">
      <c r="B285" t="s">
        <v>488</v>
      </c>
      <c r="C285" s="11">
        <v>44217</v>
      </c>
      <c r="D285" s="11"/>
      <c r="E285" s="5">
        <v>140</v>
      </c>
    </row>
    <row r="286" spans="2:5" x14ac:dyDescent="0.25">
      <c r="B286" t="s">
        <v>281</v>
      </c>
      <c r="C286" s="11">
        <v>44208</v>
      </c>
      <c r="D286" s="11"/>
      <c r="E286" s="5">
        <v>230</v>
      </c>
    </row>
    <row r="287" spans="2:5" x14ac:dyDescent="0.25">
      <c r="B287" t="s">
        <v>489</v>
      </c>
      <c r="C287" s="11">
        <v>44206</v>
      </c>
      <c r="D287" s="11"/>
      <c r="E287" s="5">
        <v>360</v>
      </c>
    </row>
    <row r="288" spans="2:5" x14ac:dyDescent="0.25">
      <c r="B288" t="s">
        <v>490</v>
      </c>
      <c r="C288" s="11">
        <v>44193</v>
      </c>
      <c r="D288" s="11"/>
      <c r="E288" s="5">
        <v>1600</v>
      </c>
    </row>
    <row r="289" spans="2:6" x14ac:dyDescent="0.25">
      <c r="B289" t="s">
        <v>332</v>
      </c>
      <c r="C289" s="11">
        <v>44183</v>
      </c>
      <c r="D289" s="11"/>
      <c r="E289" s="5">
        <v>225</v>
      </c>
    </row>
    <row r="290" spans="2:6" ht="13" x14ac:dyDescent="0.3">
      <c r="B290" s="12" t="s">
        <v>352</v>
      </c>
      <c r="C290" s="13">
        <v>44173</v>
      </c>
      <c r="D290" s="13"/>
      <c r="E290" s="16">
        <v>80</v>
      </c>
      <c r="F290" s="12" t="s">
        <v>420</v>
      </c>
    </row>
    <row r="291" spans="2:6" x14ac:dyDescent="0.25">
      <c r="B291" t="s">
        <v>375</v>
      </c>
      <c r="C291" s="11">
        <v>44166</v>
      </c>
      <c r="D291" s="11"/>
      <c r="E291" s="5">
        <v>114</v>
      </c>
    </row>
    <row r="292" spans="2:6" x14ac:dyDescent="0.25">
      <c r="B292" t="s">
        <v>491</v>
      </c>
      <c r="C292" s="11">
        <v>44159</v>
      </c>
      <c r="D292" s="11"/>
      <c r="E292" s="5">
        <v>1700</v>
      </c>
    </row>
    <row r="293" spans="2:6" x14ac:dyDescent="0.25">
      <c r="B293" t="s">
        <v>415</v>
      </c>
      <c r="C293" s="11">
        <v>44161</v>
      </c>
      <c r="D293" s="11"/>
      <c r="E293" s="5">
        <v>100</v>
      </c>
    </row>
    <row r="294" spans="2:6" x14ac:dyDescent="0.25">
      <c r="B294" t="s">
        <v>492</v>
      </c>
      <c r="C294" s="11">
        <v>44151</v>
      </c>
      <c r="D294" s="11"/>
      <c r="E294" s="5">
        <v>171.42857142857142</v>
      </c>
    </row>
    <row r="295" spans="2:6" x14ac:dyDescent="0.25">
      <c r="B295" t="s">
        <v>493</v>
      </c>
      <c r="C295" s="11">
        <v>44148</v>
      </c>
      <c r="D295" s="11"/>
      <c r="E295" s="5">
        <v>55</v>
      </c>
    </row>
    <row r="296" spans="2:6" x14ac:dyDescent="0.25">
      <c r="B296" t="s">
        <v>248</v>
      </c>
      <c r="C296" s="11">
        <v>44145</v>
      </c>
      <c r="D296" s="11"/>
      <c r="E296" s="5">
        <v>250</v>
      </c>
    </row>
    <row r="297" spans="2:6" x14ac:dyDescent="0.25">
      <c r="B297" t="s">
        <v>368</v>
      </c>
      <c r="C297" s="11">
        <v>44144</v>
      </c>
      <c r="D297" s="11"/>
      <c r="E297" s="5">
        <v>500</v>
      </c>
    </row>
    <row r="298" spans="2:6" x14ac:dyDescent="0.25">
      <c r="B298" t="s">
        <v>494</v>
      </c>
      <c r="C298" s="11">
        <v>44141</v>
      </c>
      <c r="D298" s="11"/>
      <c r="E298" s="5">
        <v>180</v>
      </c>
    </row>
    <row r="299" spans="2:6" x14ac:dyDescent="0.25">
      <c r="B299" t="s">
        <v>495</v>
      </c>
      <c r="C299" s="11">
        <v>44133</v>
      </c>
      <c r="D299" s="11"/>
      <c r="E299" s="5">
        <v>120</v>
      </c>
    </row>
    <row r="300" spans="2:6" x14ac:dyDescent="0.25">
      <c r="B300" t="s">
        <v>403</v>
      </c>
      <c r="C300" s="11">
        <v>44132</v>
      </c>
      <c r="D300" s="11"/>
      <c r="E300" s="5">
        <v>100</v>
      </c>
    </row>
    <row r="301" spans="2:6" x14ac:dyDescent="0.25">
      <c r="B301" t="s">
        <v>496</v>
      </c>
      <c r="C301" s="11">
        <v>44131</v>
      </c>
      <c r="D301" s="11"/>
      <c r="E301" s="5">
        <v>120</v>
      </c>
    </row>
    <row r="302" spans="2:6" x14ac:dyDescent="0.25">
      <c r="B302" t="s">
        <v>497</v>
      </c>
      <c r="C302" s="11">
        <v>44118</v>
      </c>
      <c r="D302" s="11"/>
      <c r="E302" s="5">
        <v>140</v>
      </c>
    </row>
    <row r="303" spans="2:6" x14ac:dyDescent="0.25">
      <c r="B303" t="s">
        <v>331</v>
      </c>
      <c r="C303" s="11">
        <v>44118</v>
      </c>
      <c r="D303" s="11"/>
      <c r="E303" s="5">
        <v>140</v>
      </c>
    </row>
    <row r="304" spans="2:6" x14ac:dyDescent="0.25">
      <c r="B304" t="s">
        <v>418</v>
      </c>
      <c r="C304" s="11">
        <v>44112</v>
      </c>
      <c r="D304" s="11"/>
      <c r="E304" s="5">
        <v>378</v>
      </c>
    </row>
    <row r="305" spans="2:5" x14ac:dyDescent="0.25">
      <c r="B305" s="11" t="s">
        <v>498</v>
      </c>
      <c r="C305" s="11">
        <v>44105</v>
      </c>
      <c r="D305" s="11"/>
      <c r="E305" s="5">
        <v>400</v>
      </c>
    </row>
    <row r="306" spans="2:5" x14ac:dyDescent="0.25">
      <c r="B306" t="s">
        <v>499</v>
      </c>
      <c r="C306" s="11">
        <v>44102</v>
      </c>
      <c r="D306" s="11"/>
      <c r="E306" s="5">
        <v>68</v>
      </c>
    </row>
    <row r="307" spans="2:5" x14ac:dyDescent="0.25">
      <c r="B307" t="s">
        <v>500</v>
      </c>
      <c r="C307" s="11">
        <v>44102</v>
      </c>
      <c r="D307" s="11"/>
      <c r="E307" s="5">
        <v>319</v>
      </c>
    </row>
    <row r="308" spans="2:5" x14ac:dyDescent="0.25">
      <c r="B308" t="s">
        <v>501</v>
      </c>
      <c r="C308" s="11">
        <v>44082</v>
      </c>
      <c r="D308" s="11"/>
      <c r="E308" s="5">
        <v>300</v>
      </c>
    </row>
    <row r="309" spans="2:5" x14ac:dyDescent="0.25">
      <c r="B309" t="s">
        <v>502</v>
      </c>
      <c r="C309" s="11">
        <v>44077</v>
      </c>
      <c r="D309" s="11"/>
      <c r="E309" s="5">
        <v>100</v>
      </c>
    </row>
    <row r="310" spans="2:5" x14ac:dyDescent="0.25">
      <c r="B310" t="s">
        <v>417</v>
      </c>
      <c r="C310" s="11">
        <v>44076</v>
      </c>
      <c r="D310" s="11"/>
      <c r="E310" s="5">
        <v>150</v>
      </c>
    </row>
    <row r="311" spans="2:5" x14ac:dyDescent="0.25">
      <c r="B311" t="s">
        <v>503</v>
      </c>
      <c r="C311" s="11">
        <v>44042</v>
      </c>
      <c r="D311" s="11"/>
      <c r="E311" s="5">
        <v>260</v>
      </c>
    </row>
    <row r="312" spans="2:5" x14ac:dyDescent="0.25">
      <c r="B312" t="s">
        <v>504</v>
      </c>
      <c r="C312" s="11">
        <v>44034</v>
      </c>
      <c r="D312" s="11"/>
      <c r="E312" s="5">
        <v>135</v>
      </c>
    </row>
    <row r="313" spans="2:5" x14ac:dyDescent="0.25">
      <c r="B313" t="s">
        <v>505</v>
      </c>
      <c r="C313" s="11">
        <v>44019</v>
      </c>
      <c r="D313" s="11"/>
      <c r="E313" s="5">
        <f>50+80</f>
        <v>130</v>
      </c>
    </row>
    <row r="314" spans="2:5" x14ac:dyDescent="0.25">
      <c r="B314" t="s">
        <v>490</v>
      </c>
      <c r="C314" s="11">
        <v>44011</v>
      </c>
      <c r="D314" s="11"/>
      <c r="E314" s="5">
        <v>750</v>
      </c>
    </row>
    <row r="315" spans="2:5" x14ac:dyDescent="0.25">
      <c r="B315" t="s">
        <v>506</v>
      </c>
      <c r="C315" s="11">
        <v>43980</v>
      </c>
      <c r="D315" s="11"/>
      <c r="E315" s="5">
        <v>500</v>
      </c>
    </row>
    <row r="316" spans="2:5" x14ac:dyDescent="0.25">
      <c r="B316" t="s">
        <v>446</v>
      </c>
      <c r="C316" s="11">
        <v>43957</v>
      </c>
      <c r="D316" s="11"/>
      <c r="E316" s="5">
        <v>200</v>
      </c>
    </row>
    <row r="317" spans="2:5" x14ac:dyDescent="0.25">
      <c r="B317" t="s">
        <v>507</v>
      </c>
      <c r="C317" s="11">
        <v>43948</v>
      </c>
      <c r="D317" s="11"/>
      <c r="E317" s="5">
        <v>36</v>
      </c>
    </row>
    <row r="318" spans="2:5" x14ac:dyDescent="0.25">
      <c r="B318" t="s">
        <v>508</v>
      </c>
      <c r="C318" s="11">
        <v>43930</v>
      </c>
      <c r="D318" s="11"/>
      <c r="E318" s="5">
        <v>250</v>
      </c>
    </row>
    <row r="319" spans="2:5" x14ac:dyDescent="0.25">
      <c r="B319" t="s">
        <v>509</v>
      </c>
      <c r="C319" s="11">
        <v>43895</v>
      </c>
      <c r="D319" s="11"/>
      <c r="E319" s="5">
        <v>2400</v>
      </c>
    </row>
    <row r="320" spans="2:5" x14ac:dyDescent="0.25">
      <c r="B320" t="s">
        <v>510</v>
      </c>
      <c r="C320" s="11">
        <v>43895</v>
      </c>
      <c r="D320" s="11"/>
      <c r="E320" s="5">
        <f>500+500</f>
        <v>1000</v>
      </c>
    </row>
    <row r="321" spans="2:5" x14ac:dyDescent="0.25">
      <c r="B321" t="s">
        <v>511</v>
      </c>
      <c r="C321" s="11">
        <v>43885</v>
      </c>
      <c r="D321" s="11"/>
      <c r="E321" s="5">
        <v>100</v>
      </c>
    </row>
    <row r="322" spans="2:5" x14ac:dyDescent="0.25">
      <c r="B322" t="s">
        <v>512</v>
      </c>
      <c r="C322" s="11">
        <v>43885</v>
      </c>
      <c r="D322" s="11"/>
      <c r="E322" s="5">
        <v>165</v>
      </c>
    </row>
    <row r="323" spans="2:5" x14ac:dyDescent="0.25">
      <c r="B323" t="s">
        <v>513</v>
      </c>
      <c r="C323" s="11">
        <v>43868</v>
      </c>
      <c r="D323" s="11"/>
      <c r="E323" s="5">
        <v>150</v>
      </c>
    </row>
    <row r="324" spans="2:5" x14ac:dyDescent="0.25">
      <c r="B324" t="s">
        <v>325</v>
      </c>
      <c r="C324" s="11">
        <v>43860</v>
      </c>
      <c r="D324" s="11"/>
      <c r="E324" s="5">
        <v>250</v>
      </c>
    </row>
    <row r="325" spans="2:5" x14ac:dyDescent="0.25">
      <c r="B325" t="s">
        <v>280</v>
      </c>
      <c r="C325" s="11">
        <v>43852</v>
      </c>
      <c r="D325" s="11"/>
      <c r="E325" s="5">
        <v>161</v>
      </c>
    </row>
    <row r="326" spans="2:5" x14ac:dyDescent="0.25">
      <c r="B326" t="s">
        <v>514</v>
      </c>
      <c r="C326" s="11">
        <v>43851</v>
      </c>
      <c r="D326" s="11"/>
      <c r="E326" s="5">
        <v>263</v>
      </c>
    </row>
    <row r="327" spans="2:5" x14ac:dyDescent="0.25">
      <c r="B327" t="s">
        <v>515</v>
      </c>
      <c r="C327" s="11">
        <v>43819</v>
      </c>
      <c r="D327" s="11"/>
      <c r="E327" s="5">
        <v>275</v>
      </c>
    </row>
    <row r="328" spans="2:5" x14ac:dyDescent="0.25">
      <c r="B328" t="s">
        <v>516</v>
      </c>
      <c r="C328" s="11">
        <v>43794</v>
      </c>
      <c r="D328" s="11"/>
      <c r="E328" s="5">
        <v>1000</v>
      </c>
    </row>
    <row r="329" spans="2:5" x14ac:dyDescent="0.25">
      <c r="B329" t="s">
        <v>517</v>
      </c>
      <c r="C329" s="11">
        <v>43791</v>
      </c>
      <c r="D329" s="11"/>
      <c r="E329" s="5">
        <v>290</v>
      </c>
    </row>
    <row r="330" spans="2:5" x14ac:dyDescent="0.25">
      <c r="B330" t="s">
        <v>518</v>
      </c>
      <c r="C330" s="11">
        <v>43779</v>
      </c>
      <c r="D330" s="11"/>
      <c r="E330" s="5">
        <v>15</v>
      </c>
    </row>
    <row r="331" spans="2:5" x14ac:dyDescent="0.25">
      <c r="B331" t="s">
        <v>519</v>
      </c>
      <c r="C331" s="11">
        <v>43766</v>
      </c>
      <c r="D331" s="11"/>
      <c r="E331" s="5">
        <v>655</v>
      </c>
    </row>
    <row r="332" spans="2:5" x14ac:dyDescent="0.25">
      <c r="B332" t="s">
        <v>493</v>
      </c>
      <c r="C332" s="11">
        <v>43696</v>
      </c>
      <c r="D332" s="11"/>
      <c r="E332" s="5">
        <v>70</v>
      </c>
    </row>
    <row r="333" spans="2:5" x14ac:dyDescent="0.25">
      <c r="B333" t="s">
        <v>406</v>
      </c>
      <c r="C333" s="11">
        <v>43691</v>
      </c>
      <c r="D333" s="11"/>
      <c r="E333" s="5">
        <v>110</v>
      </c>
    </row>
    <row r="334" spans="2:5" x14ac:dyDescent="0.25">
      <c r="B334" t="s">
        <v>418</v>
      </c>
      <c r="C334" s="11">
        <v>43685</v>
      </c>
      <c r="D334" s="11"/>
      <c r="E334" s="5">
        <v>750</v>
      </c>
    </row>
    <row r="335" spans="2:5" x14ac:dyDescent="0.25">
      <c r="B335" t="s">
        <v>521</v>
      </c>
      <c r="C335" s="11">
        <v>43684</v>
      </c>
      <c r="D335" s="11"/>
      <c r="E335" s="5">
        <v>200</v>
      </c>
    </row>
    <row r="336" spans="2:5" x14ac:dyDescent="0.25">
      <c r="B336" t="s">
        <v>522</v>
      </c>
      <c r="C336" s="11">
        <v>43676</v>
      </c>
      <c r="D336" s="11"/>
      <c r="E336" s="5">
        <v>370</v>
      </c>
    </row>
    <row r="337" spans="2:5" x14ac:dyDescent="0.25">
      <c r="B337" t="s">
        <v>419</v>
      </c>
      <c r="C337" s="11">
        <v>43671</v>
      </c>
      <c r="D337" s="11"/>
      <c r="E337" s="5">
        <v>300</v>
      </c>
    </row>
    <row r="338" spans="2:5" x14ac:dyDescent="0.25">
      <c r="B338" t="s">
        <v>332</v>
      </c>
      <c r="C338" s="11">
        <v>43656</v>
      </c>
      <c r="D338" s="11"/>
      <c r="E338" s="5">
        <v>231</v>
      </c>
    </row>
    <row r="339" spans="2:5" x14ac:dyDescent="0.25">
      <c r="B339" t="s">
        <v>523</v>
      </c>
      <c r="C339" s="11">
        <v>43643</v>
      </c>
      <c r="D339" s="11"/>
      <c r="E339" s="5">
        <v>200</v>
      </c>
    </row>
    <row r="340" spans="2:5" x14ac:dyDescent="0.25">
      <c r="B340" t="s">
        <v>464</v>
      </c>
      <c r="C340" s="11">
        <v>43633</v>
      </c>
      <c r="D340" s="11"/>
      <c r="E340" s="5">
        <v>210</v>
      </c>
    </row>
    <row r="341" spans="2:5" x14ac:dyDescent="0.25">
      <c r="B341" t="s">
        <v>441</v>
      </c>
      <c r="C341" s="11">
        <v>43628</v>
      </c>
      <c r="D341" s="11"/>
      <c r="E341" s="5">
        <v>300</v>
      </c>
    </row>
    <row r="342" spans="2:5" x14ac:dyDescent="0.25">
      <c r="B342" t="s">
        <v>524</v>
      </c>
      <c r="C342" s="11">
        <v>43609</v>
      </c>
      <c r="D342" s="11"/>
      <c r="E342" s="5">
        <v>600</v>
      </c>
    </row>
    <row r="343" spans="2:5" x14ac:dyDescent="0.25">
      <c r="B343" t="s">
        <v>495</v>
      </c>
      <c r="C343" s="11">
        <v>43601</v>
      </c>
      <c r="D343" s="11"/>
      <c r="E343" s="5">
        <v>484</v>
      </c>
    </row>
    <row r="344" spans="2:5" x14ac:dyDescent="0.25">
      <c r="B344" t="s">
        <v>493</v>
      </c>
      <c r="C344" s="11">
        <v>43600</v>
      </c>
      <c r="D344" s="11"/>
      <c r="E344" s="5">
        <v>220</v>
      </c>
    </row>
    <row r="345" spans="2:5" x14ac:dyDescent="0.25">
      <c r="B345" t="s">
        <v>519</v>
      </c>
      <c r="C345" s="11">
        <v>43598</v>
      </c>
      <c r="D345" s="11"/>
      <c r="E345" s="5">
        <v>800</v>
      </c>
    </row>
    <row r="346" spans="2:5" x14ac:dyDescent="0.25">
      <c r="B346" t="s">
        <v>520</v>
      </c>
      <c r="C346" s="11">
        <v>43592</v>
      </c>
      <c r="D346" s="11"/>
      <c r="E346" s="5">
        <v>1200</v>
      </c>
    </row>
    <row r="347" spans="2:5" x14ac:dyDescent="0.25">
      <c r="B347" t="s">
        <v>525</v>
      </c>
      <c r="C347" s="11">
        <v>43585</v>
      </c>
      <c r="D347" s="11"/>
      <c r="E347" s="5">
        <v>1000</v>
      </c>
    </row>
    <row r="348" spans="2:5" x14ac:dyDescent="0.25">
      <c r="B348" t="s">
        <v>526</v>
      </c>
      <c r="C348" s="11">
        <v>43574</v>
      </c>
      <c r="D348" s="11"/>
      <c r="E348" s="5">
        <v>1000</v>
      </c>
    </row>
    <row r="349" spans="2:5" x14ac:dyDescent="0.25">
      <c r="B349" t="s">
        <v>487</v>
      </c>
      <c r="C349" s="11">
        <v>43564</v>
      </c>
      <c r="D349" s="11"/>
      <c r="E349" s="5">
        <v>225</v>
      </c>
    </row>
    <row r="350" spans="2:5" x14ac:dyDescent="0.25">
      <c r="B350" t="s">
        <v>527</v>
      </c>
      <c r="C350" s="11">
        <v>43548</v>
      </c>
      <c r="D350" s="11"/>
      <c r="E350" s="5">
        <v>413</v>
      </c>
    </row>
    <row r="351" spans="2:5" x14ac:dyDescent="0.25">
      <c r="B351" t="s">
        <v>528</v>
      </c>
      <c r="C351" s="11">
        <v>43544</v>
      </c>
      <c r="D351" s="11"/>
      <c r="E351" s="5">
        <v>300</v>
      </c>
    </row>
    <row r="352" spans="2:5" x14ac:dyDescent="0.25">
      <c r="B352" t="s">
        <v>529</v>
      </c>
      <c r="C352" s="11">
        <v>43530</v>
      </c>
      <c r="D352" s="11"/>
      <c r="E352" s="5">
        <v>1500</v>
      </c>
    </row>
    <row r="353" spans="2:6" x14ac:dyDescent="0.25">
      <c r="B353" t="s">
        <v>530</v>
      </c>
      <c r="C353" s="11">
        <v>43530</v>
      </c>
      <c r="D353" s="11"/>
      <c r="E353" s="5">
        <v>1700</v>
      </c>
    </row>
    <row r="354" spans="2:6" x14ac:dyDescent="0.25">
      <c r="B354" t="s">
        <v>446</v>
      </c>
      <c r="C354" s="11">
        <v>43524</v>
      </c>
      <c r="D354" s="11"/>
      <c r="E354" s="5">
        <v>1500</v>
      </c>
    </row>
    <row r="355" spans="2:6" x14ac:dyDescent="0.25">
      <c r="B355" s="11" t="s">
        <v>318</v>
      </c>
      <c r="C355" s="11">
        <v>43517</v>
      </c>
      <c r="D355" s="11"/>
      <c r="E355" s="5">
        <v>1000</v>
      </c>
    </row>
    <row r="356" spans="2:6" x14ac:dyDescent="0.25">
      <c r="B356" t="s">
        <v>524</v>
      </c>
      <c r="C356" s="11">
        <v>43517</v>
      </c>
      <c r="D356" s="11"/>
      <c r="E356" s="5">
        <v>400</v>
      </c>
    </row>
    <row r="357" spans="2:6" x14ac:dyDescent="0.25">
      <c r="B357" t="s">
        <v>368</v>
      </c>
      <c r="C357" s="11">
        <v>43507</v>
      </c>
      <c r="D357" s="11"/>
      <c r="E357" s="5">
        <v>940</v>
      </c>
    </row>
    <row r="358" spans="2:6" x14ac:dyDescent="0.25">
      <c r="B358" t="s">
        <v>531</v>
      </c>
      <c r="C358" s="11">
        <v>43504</v>
      </c>
      <c r="D358" s="11"/>
      <c r="E358" s="5">
        <v>440</v>
      </c>
    </row>
    <row r="359" spans="2:6" x14ac:dyDescent="0.25">
      <c r="B359" t="s">
        <v>532</v>
      </c>
      <c r="C359" s="11">
        <v>43497</v>
      </c>
      <c r="D359" s="11"/>
      <c r="E359" s="5">
        <v>200</v>
      </c>
    </row>
    <row r="360" spans="2:6" x14ac:dyDescent="0.25">
      <c r="B360" t="s">
        <v>513</v>
      </c>
      <c r="C360" s="11">
        <v>43487</v>
      </c>
      <c r="D360" s="11"/>
      <c r="E360" s="5">
        <v>150</v>
      </c>
    </row>
    <row r="361" spans="2:6" x14ac:dyDescent="0.25">
      <c r="B361" t="s">
        <v>488</v>
      </c>
      <c r="C361" s="11">
        <v>43487</v>
      </c>
      <c r="D361" s="11"/>
      <c r="E361" s="5">
        <v>100</v>
      </c>
    </row>
    <row r="362" spans="2:6" x14ac:dyDescent="0.25">
      <c r="B362" t="s">
        <v>533</v>
      </c>
      <c r="C362" s="11">
        <v>43497</v>
      </c>
      <c r="D362" s="11"/>
      <c r="E362" s="5">
        <v>328</v>
      </c>
      <c r="F362" t="s">
        <v>534</v>
      </c>
    </row>
    <row r="363" spans="2:6" x14ac:dyDescent="0.25">
      <c r="B363" t="s">
        <v>535</v>
      </c>
      <c r="C363" s="11">
        <v>43454</v>
      </c>
      <c r="D363" s="11"/>
      <c r="E363" s="5">
        <v>400</v>
      </c>
    </row>
    <row r="364" spans="2:6" x14ac:dyDescent="0.25">
      <c r="B364" t="s">
        <v>536</v>
      </c>
      <c r="C364" s="11">
        <v>43454</v>
      </c>
      <c r="D364" s="11"/>
      <c r="E364" s="5">
        <v>385</v>
      </c>
    </row>
    <row r="365" spans="2:6" x14ac:dyDescent="0.25">
      <c r="B365" t="s">
        <v>537</v>
      </c>
      <c r="C365" s="11">
        <v>43453</v>
      </c>
      <c r="D365" s="11"/>
      <c r="E365" s="5">
        <v>500</v>
      </c>
    </row>
    <row r="366" spans="2:6" x14ac:dyDescent="0.25">
      <c r="B366" t="s">
        <v>501</v>
      </c>
      <c r="C366" s="11">
        <v>43447</v>
      </c>
      <c r="D366" s="11"/>
      <c r="E366" s="5">
        <v>400</v>
      </c>
    </row>
    <row r="367" spans="2:6" x14ac:dyDescent="0.25">
      <c r="B367" t="s">
        <v>538</v>
      </c>
      <c r="C367" s="11">
        <v>43438</v>
      </c>
      <c r="D367" s="11"/>
      <c r="E367" s="5">
        <v>800</v>
      </c>
    </row>
    <row r="368" spans="2:6" x14ac:dyDescent="0.25">
      <c r="B368" t="s">
        <v>539</v>
      </c>
      <c r="C368" s="11">
        <v>43437</v>
      </c>
      <c r="D368" s="11"/>
      <c r="E368" s="5" t="s">
        <v>233</v>
      </c>
    </row>
    <row r="369" spans="2:6" x14ac:dyDescent="0.25">
      <c r="B369" t="s">
        <v>540</v>
      </c>
      <c r="C369" s="11">
        <v>43425</v>
      </c>
      <c r="D369" s="11"/>
      <c r="E369" s="5">
        <v>1100</v>
      </c>
    </row>
    <row r="370" spans="2:6" x14ac:dyDescent="0.25">
      <c r="B370" t="s">
        <v>541</v>
      </c>
      <c r="C370" s="11">
        <v>43424</v>
      </c>
      <c r="D370" s="11"/>
      <c r="E370" s="5">
        <v>2000</v>
      </c>
    </row>
    <row r="371" spans="2:6" x14ac:dyDescent="0.25">
      <c r="B371" t="s">
        <v>517</v>
      </c>
      <c r="C371" s="11">
        <v>43419</v>
      </c>
      <c r="D371" s="11"/>
      <c r="E371" s="5">
        <v>300</v>
      </c>
    </row>
    <row r="372" spans="2:6" x14ac:dyDescent="0.25">
      <c r="B372" t="s">
        <v>542</v>
      </c>
      <c r="C372" s="11">
        <v>43417</v>
      </c>
      <c r="D372" s="11"/>
      <c r="E372" s="5">
        <v>200</v>
      </c>
    </row>
    <row r="373" spans="2:6" x14ac:dyDescent="0.25">
      <c r="B373" t="s">
        <v>543</v>
      </c>
      <c r="C373" s="11">
        <v>43412</v>
      </c>
      <c r="D373" s="11"/>
      <c r="E373" s="5">
        <v>4000</v>
      </c>
    </row>
    <row r="374" spans="2:6" x14ac:dyDescent="0.25">
      <c r="B374" t="s">
        <v>544</v>
      </c>
      <c r="C374" s="11">
        <v>43409</v>
      </c>
      <c r="D374" s="11"/>
      <c r="E374" s="5">
        <v>1100</v>
      </c>
    </row>
    <row r="375" spans="2:6" x14ac:dyDescent="0.25">
      <c r="B375" t="s">
        <v>545</v>
      </c>
      <c r="C375" s="11">
        <v>43406</v>
      </c>
      <c r="D375" s="11"/>
      <c r="E375" s="5">
        <v>375</v>
      </c>
    </row>
    <row r="376" spans="2:6" x14ac:dyDescent="0.25">
      <c r="B376" t="s">
        <v>546</v>
      </c>
      <c r="C376" s="11">
        <v>43398</v>
      </c>
      <c r="D376" s="11"/>
      <c r="E376" s="5">
        <v>3000</v>
      </c>
    </row>
    <row r="377" spans="2:6" x14ac:dyDescent="0.25">
      <c r="B377" t="s">
        <v>547</v>
      </c>
      <c r="C377" s="11">
        <v>43389</v>
      </c>
      <c r="D377" s="11"/>
      <c r="E377" s="5">
        <v>111</v>
      </c>
    </row>
    <row r="378" spans="2:6" x14ac:dyDescent="0.25">
      <c r="B378" t="s">
        <v>528</v>
      </c>
      <c r="C378" s="11">
        <v>43370</v>
      </c>
      <c r="D378" s="11"/>
      <c r="E378" s="5">
        <v>400</v>
      </c>
    </row>
    <row r="379" spans="2:6" x14ac:dyDescent="0.25">
      <c r="B379" t="s">
        <v>522</v>
      </c>
      <c r="C379" s="11">
        <v>43370</v>
      </c>
      <c r="D379" s="11"/>
      <c r="E379" s="5">
        <v>400</v>
      </c>
    </row>
    <row r="380" spans="2:6" x14ac:dyDescent="0.25">
      <c r="B380" t="s">
        <v>483</v>
      </c>
      <c r="C380" s="11">
        <v>43368</v>
      </c>
      <c r="D380" s="11"/>
      <c r="E380" s="5">
        <v>800</v>
      </c>
    </row>
    <row r="381" spans="2:6" x14ac:dyDescent="0.25">
      <c r="B381" t="s">
        <v>548</v>
      </c>
      <c r="C381" s="11">
        <v>43353</v>
      </c>
      <c r="D381" s="11"/>
      <c r="E381" s="5">
        <v>1000</v>
      </c>
      <c r="F381" t="s">
        <v>549</v>
      </c>
    </row>
    <row r="382" spans="2:6" x14ac:dyDescent="0.25">
      <c r="B382" s="11" t="s">
        <v>550</v>
      </c>
      <c r="C382" s="11">
        <v>43333</v>
      </c>
      <c r="D382" s="11"/>
      <c r="E382" s="5">
        <v>427</v>
      </c>
      <c r="F382" t="s">
        <v>551</v>
      </c>
    </row>
    <row r="383" spans="2:6" x14ac:dyDescent="0.25">
      <c r="B383" t="s">
        <v>497</v>
      </c>
      <c r="C383" s="11">
        <v>43333</v>
      </c>
      <c r="D383" s="11"/>
      <c r="E383" s="5">
        <v>300</v>
      </c>
    </row>
    <row r="384" spans="2:6" x14ac:dyDescent="0.25">
      <c r="B384" t="s">
        <v>552</v>
      </c>
      <c r="C384" s="11">
        <v>43332</v>
      </c>
      <c r="D384" s="11"/>
      <c r="E384" s="5" t="s">
        <v>233</v>
      </c>
    </row>
    <row r="385" spans="2:6" x14ac:dyDescent="0.25">
      <c r="B385" s="11" t="s">
        <v>553</v>
      </c>
      <c r="C385" s="11">
        <v>43312</v>
      </c>
      <c r="D385" s="11"/>
      <c r="E385" s="5">
        <v>240</v>
      </c>
    </row>
    <row r="386" spans="2:6" x14ac:dyDescent="0.25">
      <c r="B386" t="s">
        <v>554</v>
      </c>
      <c r="C386" s="11">
        <v>43307</v>
      </c>
      <c r="D386" s="11"/>
      <c r="E386" s="5">
        <v>500</v>
      </c>
    </row>
    <row r="387" spans="2:6" x14ac:dyDescent="0.25">
      <c r="B387" t="s">
        <v>555</v>
      </c>
      <c r="C387" s="11">
        <v>43299</v>
      </c>
      <c r="D387" s="11"/>
      <c r="E387" s="5">
        <v>121</v>
      </c>
    </row>
    <row r="388" spans="2:6" x14ac:dyDescent="0.25">
      <c r="B388" t="s">
        <v>508</v>
      </c>
      <c r="C388" s="11">
        <v>43262</v>
      </c>
      <c r="D388" s="11"/>
      <c r="E388" s="5">
        <v>250</v>
      </c>
    </row>
    <row r="389" spans="2:6" x14ac:dyDescent="0.25">
      <c r="B389" t="s">
        <v>556</v>
      </c>
      <c r="C389" s="11">
        <v>43253</v>
      </c>
      <c r="D389" s="11"/>
      <c r="E389" s="5">
        <v>445</v>
      </c>
    </row>
    <row r="390" spans="2:6" x14ac:dyDescent="0.25">
      <c r="B390" t="s">
        <v>520</v>
      </c>
      <c r="C390" s="11">
        <v>43251</v>
      </c>
      <c r="D390" s="11"/>
      <c r="E390" s="5">
        <v>2000</v>
      </c>
    </row>
    <row r="391" spans="2:6" x14ac:dyDescent="0.25">
      <c r="B391" t="s">
        <v>505</v>
      </c>
      <c r="C391" s="11">
        <v>43221</v>
      </c>
      <c r="D391" s="11"/>
      <c r="E391" s="5">
        <v>200</v>
      </c>
    </row>
    <row r="392" spans="2:6" x14ac:dyDescent="0.25">
      <c r="B392" t="s">
        <v>557</v>
      </c>
      <c r="C392" s="11">
        <v>43220</v>
      </c>
      <c r="D392" s="11"/>
      <c r="E392" s="5">
        <v>40.5</v>
      </c>
    </row>
    <row r="393" spans="2:6" x14ac:dyDescent="0.25">
      <c r="B393" t="s">
        <v>558</v>
      </c>
      <c r="C393" s="11">
        <v>43216</v>
      </c>
      <c r="D393" s="11"/>
      <c r="E393" s="5">
        <v>50</v>
      </c>
      <c r="F393" t="s">
        <v>549</v>
      </c>
    </row>
    <row r="394" spans="2:6" x14ac:dyDescent="0.25">
      <c r="B394" t="s">
        <v>491</v>
      </c>
      <c r="C394" s="11">
        <v>43214</v>
      </c>
      <c r="D394" s="11"/>
      <c r="E394" s="5">
        <v>1900</v>
      </c>
    </row>
    <row r="395" spans="2:6" x14ac:dyDescent="0.25">
      <c r="B395" t="s">
        <v>493</v>
      </c>
      <c r="C395" s="11">
        <v>43175</v>
      </c>
      <c r="D395" s="11"/>
      <c r="E395" s="5">
        <v>40</v>
      </c>
    </row>
    <row r="396" spans="2:6" x14ac:dyDescent="0.25">
      <c r="B396" t="s">
        <v>524</v>
      </c>
      <c r="C396" s="11">
        <v>43160</v>
      </c>
      <c r="D396" s="11"/>
      <c r="E396" s="5">
        <v>535</v>
      </c>
      <c r="F396" t="s">
        <v>549</v>
      </c>
    </row>
    <row r="397" spans="2:6" x14ac:dyDescent="0.25">
      <c r="B397" t="s">
        <v>559</v>
      </c>
      <c r="C397" s="11">
        <v>43134</v>
      </c>
      <c r="D397" s="11"/>
      <c r="E397" s="5">
        <v>1200</v>
      </c>
    </row>
    <row r="398" spans="2:6" x14ac:dyDescent="0.25">
      <c r="B398" t="s">
        <v>560</v>
      </c>
      <c r="C398" s="11">
        <v>43133</v>
      </c>
      <c r="D398" s="11"/>
      <c r="E398" s="5">
        <v>650</v>
      </c>
    </row>
    <row r="399" spans="2:6" x14ac:dyDescent="0.25">
      <c r="B399" t="s">
        <v>561</v>
      </c>
      <c r="C399" s="11">
        <v>43130</v>
      </c>
      <c r="D399" s="11"/>
      <c r="E399" s="5">
        <v>300</v>
      </c>
    </row>
    <row r="400" spans="2:6" x14ac:dyDescent="0.25">
      <c r="B400" t="s">
        <v>562</v>
      </c>
      <c r="C400" s="11">
        <v>43124</v>
      </c>
      <c r="D400" s="11"/>
      <c r="E400" s="5">
        <v>865</v>
      </c>
    </row>
    <row r="401" spans="2:6" x14ac:dyDescent="0.25">
      <c r="B401" t="s">
        <v>503</v>
      </c>
      <c r="C401" s="11">
        <v>43115</v>
      </c>
      <c r="D401" s="11"/>
      <c r="E401" s="5">
        <v>470</v>
      </c>
    </row>
    <row r="402" spans="2:6" x14ac:dyDescent="0.25">
      <c r="B402" t="s">
        <v>563</v>
      </c>
      <c r="C402" s="11">
        <v>43097</v>
      </c>
      <c r="D402" s="11"/>
      <c r="E402" s="5">
        <f>7700+1300</f>
        <v>9000</v>
      </c>
      <c r="F402" t="s">
        <v>549</v>
      </c>
    </row>
    <row r="403" spans="2:6" x14ac:dyDescent="0.25">
      <c r="B403" t="s">
        <v>522</v>
      </c>
      <c r="C403" s="11">
        <v>43076</v>
      </c>
      <c r="D403" s="11"/>
      <c r="E403" s="5">
        <v>400</v>
      </c>
    </row>
    <row r="404" spans="2:6" x14ac:dyDescent="0.25">
      <c r="B404" t="s">
        <v>564</v>
      </c>
      <c r="C404" s="11">
        <v>43018</v>
      </c>
      <c r="D404" s="11"/>
      <c r="E404" s="5">
        <v>93</v>
      </c>
    </row>
    <row r="405" spans="2:6" x14ac:dyDescent="0.25">
      <c r="B405" t="s">
        <v>565</v>
      </c>
      <c r="C405" s="11">
        <v>43018</v>
      </c>
      <c r="D405" s="11"/>
      <c r="E405" s="5">
        <v>164</v>
      </c>
    </row>
    <row r="406" spans="2:6" x14ac:dyDescent="0.25">
      <c r="B406" t="s">
        <v>566</v>
      </c>
      <c r="C406" s="11">
        <v>43010</v>
      </c>
      <c r="D406" s="11"/>
      <c r="E406" s="5">
        <v>1100</v>
      </c>
    </row>
    <row r="407" spans="2:6" x14ac:dyDescent="0.25">
      <c r="B407" t="s">
        <v>567</v>
      </c>
      <c r="C407" s="11">
        <v>43009</v>
      </c>
      <c r="D407" s="11"/>
      <c r="E407" s="5">
        <v>400</v>
      </c>
    </row>
    <row r="408" spans="2:6" x14ac:dyDescent="0.25">
      <c r="B408" t="s">
        <v>550</v>
      </c>
      <c r="C408" s="11">
        <v>42995</v>
      </c>
      <c r="D408" s="11"/>
      <c r="E408" s="5">
        <v>412.7</v>
      </c>
      <c r="F408" t="s">
        <v>551</v>
      </c>
    </row>
    <row r="409" spans="2:6" x14ac:dyDescent="0.25">
      <c r="B409" t="s">
        <v>483</v>
      </c>
      <c r="C409" s="11">
        <v>42985</v>
      </c>
      <c r="D409" s="11"/>
      <c r="E409" s="5">
        <v>260</v>
      </c>
    </row>
    <row r="410" spans="2:6" x14ac:dyDescent="0.25">
      <c r="B410" t="s">
        <v>254</v>
      </c>
      <c r="C410" s="11">
        <v>42984</v>
      </c>
      <c r="D410" s="11"/>
      <c r="E410" s="5">
        <v>1000</v>
      </c>
    </row>
    <row r="411" spans="2:6" ht="13" x14ac:dyDescent="0.3">
      <c r="B411" s="12" t="s">
        <v>253</v>
      </c>
      <c r="C411" s="13">
        <v>42972</v>
      </c>
      <c r="D411" s="13"/>
      <c r="E411" s="16">
        <v>4400</v>
      </c>
      <c r="F411" s="12" t="s">
        <v>420</v>
      </c>
    </row>
    <row r="412" spans="2:6" x14ac:dyDescent="0.25">
      <c r="B412" t="s">
        <v>433</v>
      </c>
      <c r="C412" s="11">
        <v>42957</v>
      </c>
      <c r="D412" s="11"/>
      <c r="E412" s="5">
        <f>1500+1000</f>
        <v>2500</v>
      </c>
      <c r="F412" t="s">
        <v>549</v>
      </c>
    </row>
    <row r="413" spans="2:6" x14ac:dyDescent="0.25">
      <c r="B413" t="s">
        <v>542</v>
      </c>
      <c r="C413" s="11">
        <v>42956</v>
      </c>
      <c r="D413" s="11"/>
      <c r="E413" s="5">
        <v>1100</v>
      </c>
      <c r="F413" t="s">
        <v>549</v>
      </c>
    </row>
    <row r="414" spans="2:6" x14ac:dyDescent="0.25">
      <c r="B414" t="s">
        <v>568</v>
      </c>
      <c r="C414" s="11">
        <v>42950</v>
      </c>
      <c r="D414" s="11"/>
      <c r="E414" s="5">
        <v>250</v>
      </c>
    </row>
    <row r="415" spans="2:6" x14ac:dyDescent="0.25">
      <c r="B415" t="s">
        <v>554</v>
      </c>
      <c r="C415" s="11">
        <v>42943</v>
      </c>
      <c r="D415" s="11"/>
      <c r="E415" s="5">
        <v>500</v>
      </c>
    </row>
    <row r="416" spans="2:6" x14ac:dyDescent="0.25">
      <c r="B416" t="s">
        <v>529</v>
      </c>
      <c r="C416" s="11">
        <v>42940</v>
      </c>
      <c r="D416" s="11"/>
      <c r="E416" s="5">
        <v>2000</v>
      </c>
    </row>
    <row r="417" spans="2:6" x14ac:dyDescent="0.25">
      <c r="B417" t="s">
        <v>331</v>
      </c>
      <c r="C417" s="11">
        <v>42935</v>
      </c>
      <c r="D417" s="11"/>
      <c r="E417" s="5">
        <v>200</v>
      </c>
    </row>
    <row r="418" spans="2:6" x14ac:dyDescent="0.25">
      <c r="B418" t="s">
        <v>569</v>
      </c>
      <c r="C418" s="11">
        <v>42935</v>
      </c>
      <c r="D418" s="11"/>
      <c r="E418" s="5">
        <v>159</v>
      </c>
    </row>
    <row r="419" spans="2:6" x14ac:dyDescent="0.25">
      <c r="B419" t="s">
        <v>507</v>
      </c>
      <c r="C419" s="11">
        <v>42935</v>
      </c>
      <c r="D419" s="11"/>
      <c r="E419" s="5">
        <v>114</v>
      </c>
    </row>
    <row r="420" spans="2:6" x14ac:dyDescent="0.25">
      <c r="B420" t="s">
        <v>570</v>
      </c>
      <c r="C420" s="11">
        <v>42886</v>
      </c>
      <c r="D420" s="11"/>
      <c r="E420" s="15" t="s">
        <v>233</v>
      </c>
    </row>
    <row r="421" spans="2:6" x14ac:dyDescent="0.25">
      <c r="B421" t="s">
        <v>571</v>
      </c>
      <c r="C421" s="11">
        <v>42879</v>
      </c>
      <c r="D421" s="11"/>
      <c r="E421" s="5">
        <v>4000</v>
      </c>
    </row>
    <row r="422" spans="2:6" x14ac:dyDescent="0.25">
      <c r="B422" s="14" t="s">
        <v>572</v>
      </c>
      <c r="C422" s="11">
        <v>42879</v>
      </c>
      <c r="D422" s="11"/>
      <c r="E422" s="5">
        <v>100</v>
      </c>
    </row>
    <row r="423" spans="2:6" x14ac:dyDescent="0.25">
      <c r="B423" t="s">
        <v>573</v>
      </c>
      <c r="C423" s="11">
        <v>42866</v>
      </c>
      <c r="D423" s="11"/>
      <c r="E423" s="5">
        <v>502</v>
      </c>
    </row>
    <row r="424" spans="2:6" x14ac:dyDescent="0.25">
      <c r="B424" t="s">
        <v>574</v>
      </c>
      <c r="C424" s="11">
        <v>42866</v>
      </c>
      <c r="D424" s="11"/>
      <c r="E424" s="5">
        <v>360</v>
      </c>
      <c r="F424" t="s">
        <v>549</v>
      </c>
    </row>
    <row r="425" spans="2:6" x14ac:dyDescent="0.25">
      <c r="B425" t="s">
        <v>566</v>
      </c>
      <c r="C425" s="11">
        <v>42792</v>
      </c>
      <c r="D425" s="11"/>
      <c r="E425" s="5">
        <v>330</v>
      </c>
    </row>
    <row r="426" spans="2:6" x14ac:dyDescent="0.25">
      <c r="B426" t="s">
        <v>575</v>
      </c>
      <c r="C426" s="11">
        <v>42790</v>
      </c>
      <c r="D426" s="11"/>
      <c r="E426" s="5">
        <v>100</v>
      </c>
    </row>
    <row r="427" spans="2:6" x14ac:dyDescent="0.25">
      <c r="B427" t="s">
        <v>533</v>
      </c>
      <c r="C427" s="11">
        <v>42741</v>
      </c>
      <c r="D427" s="11"/>
      <c r="E427" s="5">
        <v>150</v>
      </c>
      <c r="F427" t="s">
        <v>549</v>
      </c>
    </row>
    <row r="428" spans="2:6" x14ac:dyDescent="0.25">
      <c r="B428" t="s">
        <v>575</v>
      </c>
      <c r="C428" s="11">
        <v>42491</v>
      </c>
      <c r="D428" s="11"/>
      <c r="E428" s="5">
        <v>30</v>
      </c>
    </row>
    <row r="429" spans="2:6" x14ac:dyDescent="0.25">
      <c r="B429" t="s">
        <v>558</v>
      </c>
      <c r="C429" s="11">
        <v>42417</v>
      </c>
      <c r="D429" s="11"/>
      <c r="E429" s="5">
        <v>75</v>
      </c>
    </row>
    <row r="430" spans="2:6" x14ac:dyDescent="0.25">
      <c r="B430" t="s">
        <v>493</v>
      </c>
      <c r="C430" s="11">
        <v>42334</v>
      </c>
      <c r="D430" s="11"/>
      <c r="E430" s="5">
        <v>120</v>
      </c>
    </row>
    <row r="431" spans="2:6" x14ac:dyDescent="0.25">
      <c r="B431" t="s">
        <v>576</v>
      </c>
      <c r="C431" s="11">
        <v>40707</v>
      </c>
      <c r="D431" s="11"/>
      <c r="E431" s="5">
        <v>30</v>
      </c>
    </row>
  </sheetData>
  <hyperlinks>
    <hyperlink ref="A1" location="VC!A1" display="Main" xr:uid="{D9ED3F5B-2669-4E92-9387-EA8D217131B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67BB4-9E2D-4CCD-B53F-2C824B2416E0}">
  <dimension ref="A1:E85"/>
  <sheetViews>
    <sheetView zoomScale="190" zoomScaleNormal="190" workbookViewId="0">
      <pane xSplit="2" ySplit="2" topLeftCell="C60" activePane="bottomRight" state="frozen"/>
      <selection pane="topRight" activeCell="C1" sqref="C1"/>
      <selection pane="bottomLeft" activeCell="A3" sqref="A3"/>
      <selection pane="bottomRight"/>
    </sheetView>
  </sheetViews>
  <sheetFormatPr defaultRowHeight="12.5" x14ac:dyDescent="0.25"/>
  <cols>
    <col min="1" max="1" width="5" bestFit="1" customWidth="1"/>
    <col min="2" max="2" width="17.54296875" customWidth="1"/>
  </cols>
  <sheetData>
    <row r="1" spans="1:5" x14ac:dyDescent="0.25">
      <c r="A1" t="s">
        <v>75</v>
      </c>
      <c r="D1">
        <f>SUM(D3:D99)</f>
        <v>12549</v>
      </c>
      <c r="E1">
        <f>SUM(E3:E99)</f>
        <v>1700690</v>
      </c>
    </row>
    <row r="2" spans="1:5" x14ac:dyDescent="0.25">
      <c r="B2" t="s">
        <v>0</v>
      </c>
      <c r="C2" t="s">
        <v>2744</v>
      </c>
      <c r="D2" t="s">
        <v>2745</v>
      </c>
      <c r="E2" t="s">
        <v>1223</v>
      </c>
    </row>
    <row r="3" spans="1:5" x14ac:dyDescent="0.25">
      <c r="B3" t="s">
        <v>2687</v>
      </c>
      <c r="E3">
        <v>350000</v>
      </c>
    </row>
    <row r="4" spans="1:5" x14ac:dyDescent="0.25">
      <c r="B4" t="s">
        <v>546</v>
      </c>
      <c r="E4">
        <v>300000</v>
      </c>
    </row>
    <row r="5" spans="1:5" x14ac:dyDescent="0.25">
      <c r="B5" t="s">
        <v>2688</v>
      </c>
      <c r="E5">
        <v>240000</v>
      </c>
    </row>
    <row r="6" spans="1:5" x14ac:dyDescent="0.25">
      <c r="B6" t="s">
        <v>2692</v>
      </c>
      <c r="E6">
        <v>75000</v>
      </c>
    </row>
    <row r="7" spans="1:5" x14ac:dyDescent="0.25">
      <c r="B7" t="s">
        <v>818</v>
      </c>
      <c r="E7">
        <v>70000</v>
      </c>
    </row>
    <row r="8" spans="1:5" x14ac:dyDescent="0.25">
      <c r="B8" t="s">
        <v>2696</v>
      </c>
      <c r="E8">
        <v>66000</v>
      </c>
    </row>
    <row r="9" spans="1:5" x14ac:dyDescent="0.25">
      <c r="B9" t="s">
        <v>2689</v>
      </c>
      <c r="E9">
        <v>62000</v>
      </c>
    </row>
    <row r="10" spans="1:5" x14ac:dyDescent="0.25">
      <c r="B10" t="s">
        <v>2690</v>
      </c>
      <c r="E10">
        <v>61500</v>
      </c>
    </row>
    <row r="11" spans="1:5" x14ac:dyDescent="0.25">
      <c r="B11" t="s">
        <v>448</v>
      </c>
      <c r="E11">
        <v>46500</v>
      </c>
    </row>
    <row r="12" spans="1:5" x14ac:dyDescent="0.25">
      <c r="B12" t="s">
        <v>2693</v>
      </c>
      <c r="E12">
        <v>45000</v>
      </c>
    </row>
    <row r="13" spans="1:5" x14ac:dyDescent="0.25">
      <c r="B13" t="s">
        <v>2699</v>
      </c>
      <c r="E13">
        <v>40000</v>
      </c>
    </row>
    <row r="14" spans="1:5" x14ac:dyDescent="0.25">
      <c r="B14" t="s">
        <v>2717</v>
      </c>
      <c r="C14" t="s">
        <v>596</v>
      </c>
      <c r="D14">
        <v>675</v>
      </c>
      <c r="E14">
        <v>39500</v>
      </c>
    </row>
    <row r="15" spans="1:5" x14ac:dyDescent="0.25">
      <c r="B15" t="s">
        <v>2691</v>
      </c>
      <c r="E15">
        <v>35000</v>
      </c>
    </row>
    <row r="16" spans="1:5" x14ac:dyDescent="0.25">
      <c r="B16" t="s">
        <v>2694</v>
      </c>
      <c r="E16">
        <v>31500</v>
      </c>
    </row>
    <row r="17" spans="2:5" x14ac:dyDescent="0.25">
      <c r="B17" t="s">
        <v>520</v>
      </c>
      <c r="E17">
        <v>30000</v>
      </c>
    </row>
    <row r="18" spans="2:5" x14ac:dyDescent="0.25">
      <c r="B18" t="s">
        <v>2698</v>
      </c>
      <c r="E18">
        <v>28000</v>
      </c>
    </row>
    <row r="19" spans="2:5" x14ac:dyDescent="0.25">
      <c r="B19" t="s">
        <v>2695</v>
      </c>
      <c r="E19">
        <v>15200</v>
      </c>
    </row>
    <row r="20" spans="2:5" x14ac:dyDescent="0.25">
      <c r="B20" t="s">
        <v>2716</v>
      </c>
      <c r="C20" t="s">
        <v>626</v>
      </c>
      <c r="D20">
        <v>1000</v>
      </c>
      <c r="E20">
        <v>14000</v>
      </c>
    </row>
    <row r="21" spans="2:5" x14ac:dyDescent="0.25">
      <c r="B21" t="s">
        <v>2702</v>
      </c>
      <c r="E21">
        <v>12000</v>
      </c>
    </row>
    <row r="22" spans="2:5" x14ac:dyDescent="0.25">
      <c r="B22" t="s">
        <v>2703</v>
      </c>
      <c r="E22">
        <v>13500</v>
      </c>
    </row>
    <row r="23" spans="2:5" x14ac:dyDescent="0.25">
      <c r="B23" t="s">
        <v>749</v>
      </c>
      <c r="E23">
        <v>13000</v>
      </c>
    </row>
    <row r="24" spans="2:5" x14ac:dyDescent="0.25">
      <c r="B24" t="s">
        <v>2700</v>
      </c>
      <c r="E24">
        <v>12500</v>
      </c>
    </row>
    <row r="25" spans="2:5" x14ac:dyDescent="0.25">
      <c r="B25" t="s">
        <v>2712</v>
      </c>
      <c r="E25">
        <v>10000</v>
      </c>
    </row>
    <row r="26" spans="2:5" x14ac:dyDescent="0.25">
      <c r="B26" t="s">
        <v>380</v>
      </c>
      <c r="E26">
        <v>12900</v>
      </c>
    </row>
    <row r="27" spans="2:5" x14ac:dyDescent="0.25">
      <c r="B27" t="s">
        <v>2707</v>
      </c>
      <c r="C27" t="s">
        <v>585</v>
      </c>
      <c r="D27">
        <v>1000</v>
      </c>
      <c r="E27">
        <v>9400</v>
      </c>
    </row>
    <row r="28" spans="2:5" x14ac:dyDescent="0.25">
      <c r="B28" t="s">
        <v>2718</v>
      </c>
      <c r="C28" t="s">
        <v>626</v>
      </c>
      <c r="D28">
        <v>800</v>
      </c>
      <c r="E28">
        <v>7000</v>
      </c>
    </row>
    <row r="29" spans="2:5" x14ac:dyDescent="0.25">
      <c r="B29" t="s">
        <v>418</v>
      </c>
      <c r="E29">
        <v>6600</v>
      </c>
    </row>
    <row r="30" spans="2:5" x14ac:dyDescent="0.25">
      <c r="B30" t="s">
        <v>260</v>
      </c>
      <c r="C30" t="s">
        <v>626</v>
      </c>
      <c r="D30">
        <v>400</v>
      </c>
      <c r="E30">
        <v>5600</v>
      </c>
    </row>
    <row r="31" spans="2:5" x14ac:dyDescent="0.25">
      <c r="B31" t="s">
        <v>412</v>
      </c>
      <c r="E31">
        <v>5340</v>
      </c>
    </row>
    <row r="32" spans="2:5" x14ac:dyDescent="0.25">
      <c r="B32" t="s">
        <v>2710</v>
      </c>
      <c r="E32">
        <v>5000</v>
      </c>
    </row>
    <row r="33" spans="2:5" x14ac:dyDescent="0.25">
      <c r="B33" t="s">
        <v>2714</v>
      </c>
      <c r="E33">
        <v>5000</v>
      </c>
    </row>
    <row r="34" spans="2:5" x14ac:dyDescent="0.25">
      <c r="B34" t="s">
        <v>2715</v>
      </c>
      <c r="E34">
        <v>5000</v>
      </c>
    </row>
    <row r="35" spans="2:5" x14ac:dyDescent="0.25">
      <c r="B35" t="s">
        <v>483</v>
      </c>
      <c r="E35">
        <v>3800</v>
      </c>
    </row>
    <row r="36" spans="2:5" x14ac:dyDescent="0.25">
      <c r="B36" t="s">
        <v>318</v>
      </c>
      <c r="E36">
        <v>1600</v>
      </c>
    </row>
    <row r="37" spans="2:5" x14ac:dyDescent="0.25">
      <c r="B37" t="s">
        <v>2701</v>
      </c>
    </row>
    <row r="38" spans="2:5" x14ac:dyDescent="0.25">
      <c r="B38" t="s">
        <v>2704</v>
      </c>
      <c r="E38">
        <v>3300</v>
      </c>
    </row>
    <row r="39" spans="2:5" x14ac:dyDescent="0.25">
      <c r="B39" t="s">
        <v>2705</v>
      </c>
      <c r="E39">
        <v>3500</v>
      </c>
    </row>
    <row r="40" spans="2:5" x14ac:dyDescent="0.25">
      <c r="B40" t="s">
        <v>2706</v>
      </c>
      <c r="E40">
        <v>4000</v>
      </c>
    </row>
    <row r="41" spans="2:5" x14ac:dyDescent="0.25">
      <c r="B41" t="s">
        <v>2708</v>
      </c>
      <c r="C41" t="s">
        <v>581</v>
      </c>
      <c r="D41">
        <v>768</v>
      </c>
      <c r="E41">
        <v>2500</v>
      </c>
    </row>
    <row r="42" spans="2:5" x14ac:dyDescent="0.25">
      <c r="B42" t="s">
        <v>2709</v>
      </c>
      <c r="E42">
        <v>450</v>
      </c>
    </row>
    <row r="43" spans="2:5" x14ac:dyDescent="0.25">
      <c r="B43" t="s">
        <v>2711</v>
      </c>
    </row>
    <row r="44" spans="2:5" x14ac:dyDescent="0.25">
      <c r="B44" t="s">
        <v>2713</v>
      </c>
      <c r="E44">
        <v>2000</v>
      </c>
    </row>
    <row r="45" spans="2:5" x14ac:dyDescent="0.25">
      <c r="B45" t="s">
        <v>2719</v>
      </c>
      <c r="C45" t="s">
        <v>626</v>
      </c>
      <c r="D45">
        <v>650</v>
      </c>
      <c r="E45">
        <v>4000</v>
      </c>
    </row>
    <row r="46" spans="2:5" x14ac:dyDescent="0.25">
      <c r="B46" t="s">
        <v>2720</v>
      </c>
      <c r="C46" t="s">
        <v>585</v>
      </c>
      <c r="D46">
        <v>480</v>
      </c>
      <c r="E46">
        <v>2500</v>
      </c>
    </row>
    <row r="47" spans="2:5" x14ac:dyDescent="0.25">
      <c r="B47" t="s">
        <v>2721</v>
      </c>
      <c r="E47">
        <v>1000</v>
      </c>
    </row>
    <row r="48" spans="2:5" x14ac:dyDescent="0.25">
      <c r="B48" t="s">
        <v>2722</v>
      </c>
      <c r="C48" t="s">
        <v>626</v>
      </c>
      <c r="D48">
        <v>240</v>
      </c>
    </row>
    <row r="49" spans="2:4" x14ac:dyDescent="0.25">
      <c r="B49" t="s">
        <v>2723</v>
      </c>
    </row>
    <row r="50" spans="2:4" x14ac:dyDescent="0.25">
      <c r="B50" t="s">
        <v>2724</v>
      </c>
    </row>
    <row r="51" spans="2:4" x14ac:dyDescent="0.25">
      <c r="B51" t="s">
        <v>2725</v>
      </c>
      <c r="C51" t="s">
        <v>596</v>
      </c>
      <c r="D51">
        <v>468</v>
      </c>
    </row>
    <row r="52" spans="2:4" x14ac:dyDescent="0.25">
      <c r="B52" t="s">
        <v>2726</v>
      </c>
      <c r="C52" t="s">
        <v>2727</v>
      </c>
      <c r="D52">
        <v>500</v>
      </c>
    </row>
    <row r="53" spans="2:4" x14ac:dyDescent="0.25">
      <c r="B53" t="s">
        <v>2728</v>
      </c>
      <c r="C53" t="s">
        <v>585</v>
      </c>
      <c r="D53">
        <v>350</v>
      </c>
    </row>
    <row r="54" spans="2:4" x14ac:dyDescent="0.25">
      <c r="B54" t="s">
        <v>2729</v>
      </c>
      <c r="C54" t="s">
        <v>585</v>
      </c>
      <c r="D54">
        <v>400</v>
      </c>
    </row>
    <row r="55" spans="2:4" x14ac:dyDescent="0.25">
      <c r="B55" t="s">
        <v>2695</v>
      </c>
    </row>
    <row r="56" spans="2:4" x14ac:dyDescent="0.25">
      <c r="B56" t="s">
        <v>2730</v>
      </c>
    </row>
    <row r="57" spans="2:4" x14ac:dyDescent="0.25">
      <c r="B57" t="s">
        <v>2731</v>
      </c>
    </row>
    <row r="58" spans="2:4" x14ac:dyDescent="0.25">
      <c r="B58" t="s">
        <v>2732</v>
      </c>
      <c r="C58" t="s">
        <v>630</v>
      </c>
      <c r="D58">
        <v>620</v>
      </c>
    </row>
    <row r="59" spans="2:4" x14ac:dyDescent="0.25">
      <c r="B59" t="s">
        <v>1232</v>
      </c>
    </row>
    <row r="60" spans="2:4" x14ac:dyDescent="0.25">
      <c r="B60" t="s">
        <v>2733</v>
      </c>
      <c r="C60" t="s">
        <v>585</v>
      </c>
      <c r="D60">
        <v>270</v>
      </c>
    </row>
    <row r="61" spans="2:4" x14ac:dyDescent="0.25">
      <c r="B61" t="s">
        <v>2734</v>
      </c>
      <c r="C61" t="s">
        <v>585</v>
      </c>
      <c r="D61">
        <v>300</v>
      </c>
    </row>
    <row r="62" spans="2:4" x14ac:dyDescent="0.25">
      <c r="B62" t="s">
        <v>2735</v>
      </c>
    </row>
    <row r="63" spans="2:4" x14ac:dyDescent="0.25">
      <c r="B63" t="s">
        <v>2736</v>
      </c>
    </row>
    <row r="64" spans="2:4" x14ac:dyDescent="0.25">
      <c r="B64" t="s">
        <v>2737</v>
      </c>
      <c r="C64" t="s">
        <v>585</v>
      </c>
      <c r="D64">
        <v>500</v>
      </c>
    </row>
    <row r="65" spans="2:4" x14ac:dyDescent="0.25">
      <c r="B65" t="s">
        <v>482</v>
      </c>
      <c r="C65" t="s">
        <v>630</v>
      </c>
      <c r="D65">
        <v>400</v>
      </c>
    </row>
    <row r="66" spans="2:4" x14ac:dyDescent="0.25">
      <c r="B66" t="s">
        <v>2738</v>
      </c>
      <c r="C66" t="s">
        <v>626</v>
      </c>
      <c r="D66">
        <v>278</v>
      </c>
    </row>
    <row r="67" spans="2:4" x14ac:dyDescent="0.25">
      <c r="B67" t="s">
        <v>258</v>
      </c>
      <c r="C67" t="s">
        <v>630</v>
      </c>
      <c r="D67">
        <v>325</v>
      </c>
    </row>
    <row r="68" spans="2:4" x14ac:dyDescent="0.25">
      <c r="B68" t="s">
        <v>768</v>
      </c>
      <c r="C68" t="s">
        <v>581</v>
      </c>
      <c r="D68">
        <v>260</v>
      </c>
    </row>
    <row r="69" spans="2:4" x14ac:dyDescent="0.25">
      <c r="B69" t="s">
        <v>2739</v>
      </c>
      <c r="C69" t="s">
        <v>581</v>
      </c>
      <c r="D69">
        <v>110</v>
      </c>
    </row>
    <row r="70" spans="2:4" x14ac:dyDescent="0.25">
      <c r="B70" t="s">
        <v>2740</v>
      </c>
      <c r="C70" t="s">
        <v>581</v>
      </c>
      <c r="D70">
        <v>250</v>
      </c>
    </row>
    <row r="71" spans="2:4" x14ac:dyDescent="0.25">
      <c r="B71" t="s">
        <v>2741</v>
      </c>
      <c r="C71" t="s">
        <v>630</v>
      </c>
      <c r="D71">
        <v>400</v>
      </c>
    </row>
    <row r="72" spans="2:4" x14ac:dyDescent="0.25">
      <c r="B72" t="s">
        <v>2742</v>
      </c>
    </row>
    <row r="73" spans="2:4" x14ac:dyDescent="0.25">
      <c r="B73" t="s">
        <v>2743</v>
      </c>
      <c r="C73" t="s">
        <v>596</v>
      </c>
      <c r="D73">
        <v>305</v>
      </c>
    </row>
    <row r="74" spans="2:4" x14ac:dyDescent="0.25">
      <c r="B74" t="s">
        <v>2697</v>
      </c>
    </row>
    <row r="75" spans="2:4" x14ac:dyDescent="0.25">
      <c r="B75" t="s">
        <v>2746</v>
      </c>
      <c r="C75" t="s">
        <v>630</v>
      </c>
      <c r="D75">
        <v>400</v>
      </c>
    </row>
    <row r="76" spans="2:4" x14ac:dyDescent="0.25">
      <c r="B76" t="s">
        <v>764</v>
      </c>
      <c r="C76" t="s">
        <v>588</v>
      </c>
      <c r="D76">
        <v>400</v>
      </c>
    </row>
    <row r="77" spans="2:4" x14ac:dyDescent="0.25">
      <c r="B77" t="s">
        <v>2747</v>
      </c>
    </row>
    <row r="78" spans="2:4" x14ac:dyDescent="0.25">
      <c r="B78" t="s">
        <v>2748</v>
      </c>
    </row>
    <row r="79" spans="2:4" x14ac:dyDescent="0.25">
      <c r="B79" t="s">
        <v>2749</v>
      </c>
    </row>
    <row r="80" spans="2:4" x14ac:dyDescent="0.25">
      <c r="B80" t="s">
        <v>2750</v>
      </c>
    </row>
    <row r="81" spans="2:2" x14ac:dyDescent="0.25">
      <c r="B81" t="s">
        <v>2751</v>
      </c>
    </row>
    <row r="82" spans="2:2" x14ac:dyDescent="0.25">
      <c r="B82" t="s">
        <v>2752</v>
      </c>
    </row>
    <row r="83" spans="2:2" x14ac:dyDescent="0.25">
      <c r="B83" t="s">
        <v>783</v>
      </c>
    </row>
    <row r="84" spans="2:2" x14ac:dyDescent="0.25">
      <c r="B84" t="s">
        <v>2753</v>
      </c>
    </row>
    <row r="85" spans="2:2" x14ac:dyDescent="0.25">
      <c r="B85" t="s">
        <v>2754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7265625" defaultRowHeight="12.5" x14ac:dyDescent="0.25"/>
  <cols>
    <col min="1" max="1" width="5" bestFit="1" customWidth="1"/>
    <col min="2" max="2" width="20" bestFit="1" customWidth="1"/>
    <col min="3" max="3" width="12.453125" bestFit="1" customWidth="1"/>
    <col min="4" max="4" width="12.7265625" customWidth="1"/>
  </cols>
  <sheetData>
    <row r="1" spans="1:10" x14ac:dyDescent="0.25">
      <c r="A1" t="s">
        <v>75</v>
      </c>
    </row>
    <row r="2" spans="1:10" x14ac:dyDescent="0.25">
      <c r="B2" t="s">
        <v>244</v>
      </c>
      <c r="C2" t="s">
        <v>245</v>
      </c>
      <c r="D2" t="s">
        <v>580</v>
      </c>
      <c r="E2" s="6" t="s">
        <v>582</v>
      </c>
      <c r="F2" t="s">
        <v>577</v>
      </c>
      <c r="G2" t="s">
        <v>578</v>
      </c>
      <c r="H2" t="s">
        <v>579</v>
      </c>
      <c r="J2" t="s">
        <v>748</v>
      </c>
    </row>
    <row r="3" spans="1:10" x14ac:dyDescent="0.25">
      <c r="B3" t="s">
        <v>749</v>
      </c>
      <c r="C3" s="11">
        <v>45399</v>
      </c>
      <c r="D3" t="s">
        <v>750</v>
      </c>
      <c r="E3">
        <v>150</v>
      </c>
      <c r="G3" t="s">
        <v>586</v>
      </c>
      <c r="H3" t="s">
        <v>793</v>
      </c>
    </row>
    <row r="4" spans="1:10" x14ac:dyDescent="0.25">
      <c r="B4" t="s">
        <v>751</v>
      </c>
      <c r="C4" s="11">
        <v>45393</v>
      </c>
      <c r="D4" t="s">
        <v>596</v>
      </c>
      <c r="E4">
        <v>30</v>
      </c>
      <c r="G4" t="s">
        <v>586</v>
      </c>
      <c r="H4" t="s">
        <v>795</v>
      </c>
    </row>
    <row r="5" spans="1:10" x14ac:dyDescent="0.25">
      <c r="B5" t="s">
        <v>752</v>
      </c>
      <c r="C5" s="11">
        <v>45392</v>
      </c>
      <c r="D5" t="s">
        <v>596</v>
      </c>
      <c r="E5">
        <v>100</v>
      </c>
      <c r="G5" t="s">
        <v>592</v>
      </c>
      <c r="H5" t="s">
        <v>627</v>
      </c>
    </row>
    <row r="6" spans="1:10" x14ac:dyDescent="0.25">
      <c r="B6" t="s">
        <v>753</v>
      </c>
      <c r="C6" s="11">
        <v>45391</v>
      </c>
      <c r="D6" t="s">
        <v>630</v>
      </c>
      <c r="E6">
        <v>300</v>
      </c>
      <c r="G6" t="s">
        <v>586</v>
      </c>
      <c r="H6" t="s">
        <v>796</v>
      </c>
    </row>
    <row r="7" spans="1:10" x14ac:dyDescent="0.25">
      <c r="B7" t="s">
        <v>754</v>
      </c>
      <c r="C7" s="11">
        <v>45390</v>
      </c>
      <c r="D7" t="s">
        <v>630</v>
      </c>
      <c r="E7">
        <v>88</v>
      </c>
      <c r="G7" t="s">
        <v>586</v>
      </c>
      <c r="H7" t="s">
        <v>797</v>
      </c>
    </row>
    <row r="8" spans="1:10" x14ac:dyDescent="0.25">
      <c r="B8" t="s">
        <v>755</v>
      </c>
      <c r="C8" s="11">
        <v>45386</v>
      </c>
      <c r="D8" t="s">
        <v>614</v>
      </c>
      <c r="E8">
        <v>0</v>
      </c>
      <c r="G8" t="s">
        <v>586</v>
      </c>
      <c r="H8" t="s">
        <v>798</v>
      </c>
    </row>
    <row r="9" spans="1:10" x14ac:dyDescent="0.25">
      <c r="B9" t="s">
        <v>756</v>
      </c>
      <c r="C9" s="11">
        <v>45379</v>
      </c>
      <c r="D9" t="s">
        <v>588</v>
      </c>
      <c r="E9">
        <v>25</v>
      </c>
      <c r="G9" t="s">
        <v>586</v>
      </c>
      <c r="H9" t="s">
        <v>796</v>
      </c>
    </row>
    <row r="10" spans="1:10" x14ac:dyDescent="0.25">
      <c r="B10" t="s">
        <v>757</v>
      </c>
      <c r="C10" s="11">
        <v>45378</v>
      </c>
      <c r="D10" t="s">
        <v>588</v>
      </c>
      <c r="E10">
        <v>25</v>
      </c>
      <c r="G10" t="s">
        <v>586</v>
      </c>
      <c r="H10" t="s">
        <v>801</v>
      </c>
    </row>
    <row r="11" spans="1:10" x14ac:dyDescent="0.25">
      <c r="B11" t="s">
        <v>758</v>
      </c>
      <c r="C11" s="11">
        <v>45373</v>
      </c>
      <c r="D11" t="s">
        <v>614</v>
      </c>
      <c r="E11">
        <v>4</v>
      </c>
      <c r="G11" t="s">
        <v>586</v>
      </c>
      <c r="H11" t="s">
        <v>799</v>
      </c>
    </row>
    <row r="12" spans="1:10" x14ac:dyDescent="0.25">
      <c r="B12" t="s">
        <v>759</v>
      </c>
      <c r="C12" s="11">
        <v>45372</v>
      </c>
      <c r="D12" t="s">
        <v>588</v>
      </c>
      <c r="E12">
        <v>80</v>
      </c>
      <c r="G12" t="s">
        <v>586</v>
      </c>
      <c r="H12" t="s">
        <v>800</v>
      </c>
    </row>
    <row r="13" spans="1:10" x14ac:dyDescent="0.25">
      <c r="B13" t="s">
        <v>760</v>
      </c>
      <c r="C13" s="11">
        <v>45371</v>
      </c>
      <c r="D13" t="s">
        <v>614</v>
      </c>
      <c r="E13">
        <v>7.6</v>
      </c>
      <c r="G13" t="s">
        <v>586</v>
      </c>
      <c r="H13" t="s">
        <v>802</v>
      </c>
    </row>
    <row r="14" spans="1:10" x14ac:dyDescent="0.25">
      <c r="B14" t="s">
        <v>761</v>
      </c>
      <c r="C14" s="11">
        <v>45371</v>
      </c>
      <c r="D14" t="s">
        <v>614</v>
      </c>
      <c r="E14">
        <v>18</v>
      </c>
      <c r="G14" t="s">
        <v>586</v>
      </c>
      <c r="H14" t="s">
        <v>803</v>
      </c>
    </row>
    <row r="15" spans="1:10" x14ac:dyDescent="0.25">
      <c r="B15" t="s">
        <v>762</v>
      </c>
      <c r="C15" s="11">
        <v>45370</v>
      </c>
      <c r="D15" t="s">
        <v>794</v>
      </c>
      <c r="E15">
        <v>7</v>
      </c>
      <c r="G15" t="s">
        <v>586</v>
      </c>
      <c r="H15" t="s">
        <v>804</v>
      </c>
    </row>
    <row r="16" spans="1:10" x14ac:dyDescent="0.25">
      <c r="B16" t="s">
        <v>763</v>
      </c>
      <c r="C16" s="11">
        <v>45369</v>
      </c>
      <c r="D16" t="s">
        <v>614</v>
      </c>
      <c r="E16">
        <v>2.5</v>
      </c>
      <c r="G16" t="s">
        <v>586</v>
      </c>
      <c r="H16" t="s">
        <v>806</v>
      </c>
    </row>
    <row r="17" spans="2:8" x14ac:dyDescent="0.25">
      <c r="B17" t="s">
        <v>764</v>
      </c>
      <c r="C17" s="11">
        <v>45363</v>
      </c>
      <c r="D17" t="s">
        <v>614</v>
      </c>
      <c r="E17">
        <v>70</v>
      </c>
      <c r="G17" t="s">
        <v>586</v>
      </c>
      <c r="H17" t="s">
        <v>627</v>
      </c>
    </row>
    <row r="18" spans="2:8" x14ac:dyDescent="0.25">
      <c r="B18" t="s">
        <v>765</v>
      </c>
      <c r="C18" s="11">
        <v>45362</v>
      </c>
      <c r="D18" t="s">
        <v>794</v>
      </c>
      <c r="E18">
        <v>2.4</v>
      </c>
      <c r="G18" t="s">
        <v>586</v>
      </c>
      <c r="H18" t="s">
        <v>807</v>
      </c>
    </row>
    <row r="19" spans="2:8" x14ac:dyDescent="0.25">
      <c r="B19" t="s">
        <v>766</v>
      </c>
      <c r="C19" s="11">
        <v>45356</v>
      </c>
      <c r="D19" t="s">
        <v>614</v>
      </c>
      <c r="E19">
        <v>6</v>
      </c>
      <c r="G19" t="s">
        <v>586</v>
      </c>
      <c r="H19" t="s">
        <v>808</v>
      </c>
    </row>
    <row r="20" spans="2:8" x14ac:dyDescent="0.25">
      <c r="B20" t="s">
        <v>767</v>
      </c>
      <c r="C20" s="11">
        <v>45356</v>
      </c>
      <c r="D20" t="s">
        <v>614</v>
      </c>
      <c r="E20">
        <v>3.5</v>
      </c>
      <c r="G20" t="s">
        <v>586</v>
      </c>
      <c r="H20" t="s">
        <v>809</v>
      </c>
    </row>
    <row r="21" spans="2:8" x14ac:dyDescent="0.25">
      <c r="B21" t="s">
        <v>768</v>
      </c>
      <c r="C21" s="11">
        <v>45349</v>
      </c>
      <c r="D21" t="s">
        <v>585</v>
      </c>
      <c r="E21">
        <v>203.2</v>
      </c>
      <c r="G21" t="s">
        <v>586</v>
      </c>
      <c r="H21" t="s">
        <v>810</v>
      </c>
    </row>
    <row r="22" spans="2:8" x14ac:dyDescent="0.25">
      <c r="B22" t="s">
        <v>769</v>
      </c>
      <c r="C22" s="11">
        <v>45348</v>
      </c>
      <c r="D22" t="s">
        <v>596</v>
      </c>
      <c r="E22">
        <v>43</v>
      </c>
      <c r="G22" t="s">
        <v>592</v>
      </c>
      <c r="H22" t="s">
        <v>627</v>
      </c>
    </row>
    <row r="23" spans="2:8" x14ac:dyDescent="0.25">
      <c r="B23" t="s">
        <v>770</v>
      </c>
      <c r="C23" s="11">
        <v>45348</v>
      </c>
      <c r="D23" t="s">
        <v>794</v>
      </c>
      <c r="E23">
        <v>3</v>
      </c>
    </row>
    <row r="24" spans="2:8" x14ac:dyDescent="0.25">
      <c r="B24" t="s">
        <v>771</v>
      </c>
      <c r="C24" s="11">
        <v>45337</v>
      </c>
      <c r="D24" t="s">
        <v>588</v>
      </c>
      <c r="E24">
        <v>25</v>
      </c>
    </row>
    <row r="25" spans="2:8" x14ac:dyDescent="0.25">
      <c r="B25" t="s">
        <v>772</v>
      </c>
      <c r="C25" s="11">
        <v>45336</v>
      </c>
      <c r="D25" t="s">
        <v>805</v>
      </c>
      <c r="E25">
        <v>4</v>
      </c>
    </row>
    <row r="26" spans="2:8" x14ac:dyDescent="0.25">
      <c r="B26" t="s">
        <v>773</v>
      </c>
      <c r="C26" s="11">
        <v>45335</v>
      </c>
      <c r="E26">
        <v>110</v>
      </c>
    </row>
    <row r="27" spans="2:8" x14ac:dyDescent="0.25">
      <c r="B27" t="s">
        <v>774</v>
      </c>
      <c r="C27" s="11">
        <v>45335</v>
      </c>
      <c r="E27">
        <v>35</v>
      </c>
    </row>
    <row r="28" spans="2:8" x14ac:dyDescent="0.25">
      <c r="B28" t="s">
        <v>775</v>
      </c>
      <c r="C28" s="11">
        <v>45335</v>
      </c>
      <c r="D28" t="s">
        <v>614</v>
      </c>
      <c r="E28">
        <v>6</v>
      </c>
    </row>
    <row r="29" spans="2:8" x14ac:dyDescent="0.25">
      <c r="B29" t="s">
        <v>776</v>
      </c>
      <c r="C29" s="11">
        <v>45330</v>
      </c>
      <c r="D29" t="s">
        <v>630</v>
      </c>
      <c r="E29">
        <v>45</v>
      </c>
    </row>
    <row r="30" spans="2:8" x14ac:dyDescent="0.25">
      <c r="B30" t="s">
        <v>777</v>
      </c>
      <c r="C30" s="11">
        <v>45329</v>
      </c>
      <c r="D30" t="s">
        <v>614</v>
      </c>
      <c r="E30">
        <v>5</v>
      </c>
    </row>
    <row r="31" spans="2:8" x14ac:dyDescent="0.25">
      <c r="B31" t="s">
        <v>778</v>
      </c>
      <c r="C31" s="11">
        <v>45323</v>
      </c>
      <c r="D31" t="s">
        <v>630</v>
      </c>
      <c r="E31">
        <v>100</v>
      </c>
    </row>
    <row r="32" spans="2:8" x14ac:dyDescent="0.25">
      <c r="B32" t="s">
        <v>237</v>
      </c>
      <c r="C32" s="11">
        <v>45322</v>
      </c>
    </row>
    <row r="33" spans="2:3" x14ac:dyDescent="0.25">
      <c r="B33" t="s">
        <v>779</v>
      </c>
      <c r="C33" s="11">
        <v>45322</v>
      </c>
    </row>
    <row r="34" spans="2:3" x14ac:dyDescent="0.25">
      <c r="B34" t="s">
        <v>780</v>
      </c>
      <c r="C34" s="11">
        <v>45314</v>
      </c>
    </row>
    <row r="35" spans="2:3" x14ac:dyDescent="0.25">
      <c r="B35" t="s">
        <v>781</v>
      </c>
      <c r="C35" s="11">
        <v>45314</v>
      </c>
    </row>
    <row r="36" spans="2:3" x14ac:dyDescent="0.25">
      <c r="B36" t="s">
        <v>782</v>
      </c>
      <c r="C36" s="11">
        <v>45314</v>
      </c>
    </row>
    <row r="37" spans="2:3" x14ac:dyDescent="0.25">
      <c r="B37" t="s">
        <v>783</v>
      </c>
      <c r="C37" s="11">
        <v>45313</v>
      </c>
    </row>
    <row r="38" spans="2:3" x14ac:dyDescent="0.25">
      <c r="B38" t="s">
        <v>784</v>
      </c>
      <c r="C38" s="11">
        <v>45308</v>
      </c>
    </row>
    <row r="39" spans="2:3" x14ac:dyDescent="0.25">
      <c r="B39" t="s">
        <v>785</v>
      </c>
      <c r="C39" s="11">
        <v>45307</v>
      </c>
    </row>
    <row r="40" spans="2:3" x14ac:dyDescent="0.25">
      <c r="B40" t="s">
        <v>786</v>
      </c>
      <c r="C40" s="11">
        <v>45288</v>
      </c>
    </row>
    <row r="41" spans="2:3" x14ac:dyDescent="0.25">
      <c r="B41" t="s">
        <v>787</v>
      </c>
      <c r="C41" s="11">
        <v>45280</v>
      </c>
    </row>
    <row r="42" spans="2:3" x14ac:dyDescent="0.25">
      <c r="B42" t="s">
        <v>788</v>
      </c>
      <c r="C42" s="11">
        <v>45279</v>
      </c>
    </row>
    <row r="43" spans="2:3" x14ac:dyDescent="0.25">
      <c r="B43" t="s">
        <v>789</v>
      </c>
      <c r="C43" s="11">
        <v>45271</v>
      </c>
    </row>
    <row r="44" spans="2:3" x14ac:dyDescent="0.25">
      <c r="B44" t="s">
        <v>790</v>
      </c>
      <c r="C44" s="11">
        <v>45265</v>
      </c>
    </row>
    <row r="45" spans="2:3" x14ac:dyDescent="0.25">
      <c r="B45" t="s">
        <v>791</v>
      </c>
      <c r="C45" s="11">
        <v>45259</v>
      </c>
    </row>
    <row r="46" spans="2:3" x14ac:dyDescent="0.25">
      <c r="B46" t="s">
        <v>792</v>
      </c>
    </row>
    <row r="49" spans="2:6" x14ac:dyDescent="0.25">
      <c r="B49" t="s">
        <v>524</v>
      </c>
      <c r="C49" s="11">
        <v>42451</v>
      </c>
      <c r="D49" t="s">
        <v>630</v>
      </c>
      <c r="E49">
        <v>127</v>
      </c>
      <c r="F49" t="s">
        <v>811</v>
      </c>
    </row>
    <row r="50" spans="2:6" x14ac:dyDescent="0.25">
      <c r="B50" t="s">
        <v>574</v>
      </c>
      <c r="C50" s="11">
        <v>42376</v>
      </c>
      <c r="D50" t="s">
        <v>585</v>
      </c>
      <c r="E50">
        <v>100</v>
      </c>
    </row>
    <row r="51" spans="2:6" x14ac:dyDescent="0.25">
      <c r="B51" t="s">
        <v>812</v>
      </c>
      <c r="C51" s="11">
        <v>42214</v>
      </c>
      <c r="D51" t="s">
        <v>596</v>
      </c>
      <c r="E51">
        <v>250</v>
      </c>
      <c r="F51" t="s">
        <v>813</v>
      </c>
    </row>
    <row r="52" spans="2:6" x14ac:dyDescent="0.25">
      <c r="B52" t="s">
        <v>814</v>
      </c>
      <c r="C52" s="11">
        <v>42183</v>
      </c>
      <c r="D52" t="s">
        <v>581</v>
      </c>
      <c r="E52">
        <v>1500</v>
      </c>
      <c r="F52" t="s">
        <v>811</v>
      </c>
    </row>
    <row r="53" spans="2:6" x14ac:dyDescent="0.25">
      <c r="B53" t="s">
        <v>815</v>
      </c>
      <c r="C53" s="11">
        <v>42156</v>
      </c>
      <c r="D53" t="s">
        <v>581</v>
      </c>
      <c r="E53">
        <v>80</v>
      </c>
    </row>
    <row r="54" spans="2:6" x14ac:dyDescent="0.25">
      <c r="B54" t="s">
        <v>524</v>
      </c>
      <c r="C54" s="11">
        <v>42089</v>
      </c>
      <c r="D54" t="s">
        <v>596</v>
      </c>
      <c r="E54">
        <v>40</v>
      </c>
      <c r="F54" t="s">
        <v>811</v>
      </c>
    </row>
    <row r="55" spans="2:6" x14ac:dyDescent="0.25">
      <c r="B55" t="s">
        <v>816</v>
      </c>
      <c r="C55" s="11">
        <v>42017</v>
      </c>
      <c r="D55" t="s">
        <v>630</v>
      </c>
      <c r="E55">
        <v>220</v>
      </c>
      <c r="F55" t="s">
        <v>811</v>
      </c>
    </row>
    <row r="56" spans="2:6" x14ac:dyDescent="0.25">
      <c r="B56" t="s">
        <v>817</v>
      </c>
      <c r="C56" s="11">
        <v>42013</v>
      </c>
      <c r="D56" t="s">
        <v>626</v>
      </c>
      <c r="E56">
        <v>80</v>
      </c>
      <c r="F56" t="s">
        <v>811</v>
      </c>
    </row>
    <row r="57" spans="2:6" x14ac:dyDescent="0.25">
      <c r="B57" t="s">
        <v>818</v>
      </c>
      <c r="C57" s="11">
        <v>41975</v>
      </c>
      <c r="D57" t="s">
        <v>630</v>
      </c>
      <c r="E57">
        <v>70</v>
      </c>
    </row>
    <row r="58" spans="2:6" x14ac:dyDescent="0.25">
      <c r="B58" t="s">
        <v>819</v>
      </c>
      <c r="C58" s="11">
        <v>41912</v>
      </c>
      <c r="D58" t="s">
        <v>596</v>
      </c>
      <c r="E58">
        <v>50</v>
      </c>
      <c r="F58" t="s">
        <v>811</v>
      </c>
    </row>
    <row r="59" spans="2:6" x14ac:dyDescent="0.25">
      <c r="B59" t="s">
        <v>820</v>
      </c>
      <c r="C59" s="11">
        <v>41799</v>
      </c>
      <c r="D59" t="s">
        <v>581</v>
      </c>
      <c r="E59">
        <v>75</v>
      </c>
      <c r="F59" t="s">
        <v>811</v>
      </c>
    </row>
    <row r="60" spans="2:6" x14ac:dyDescent="0.25">
      <c r="B60" t="s">
        <v>541</v>
      </c>
      <c r="C60" s="11">
        <v>41787</v>
      </c>
      <c r="E60">
        <v>100</v>
      </c>
      <c r="F60" t="s">
        <v>811</v>
      </c>
    </row>
    <row r="61" spans="2:6" x14ac:dyDescent="0.25">
      <c r="B61" t="s">
        <v>524</v>
      </c>
      <c r="C61" s="11">
        <v>41781</v>
      </c>
      <c r="D61" t="s">
        <v>588</v>
      </c>
      <c r="E61">
        <v>17.3</v>
      </c>
      <c r="F61" t="s">
        <v>811</v>
      </c>
    </row>
    <row r="62" spans="2:6" x14ac:dyDescent="0.25">
      <c r="B62" t="s">
        <v>814</v>
      </c>
      <c r="C62" s="11">
        <v>41575</v>
      </c>
      <c r="D62" t="s">
        <v>630</v>
      </c>
      <c r="E62">
        <v>200</v>
      </c>
      <c r="F62" t="s">
        <v>811</v>
      </c>
    </row>
    <row r="63" spans="2:6" x14ac:dyDescent="0.25">
      <c r="B63" t="s">
        <v>821</v>
      </c>
      <c r="C63" s="11">
        <v>41456</v>
      </c>
      <c r="D63" t="s">
        <v>596</v>
      </c>
      <c r="E63">
        <v>52</v>
      </c>
      <c r="F63" t="s">
        <v>813</v>
      </c>
    </row>
    <row r="64" spans="2:6" x14ac:dyDescent="0.25">
      <c r="B64" t="s">
        <v>816</v>
      </c>
      <c r="C64" s="11">
        <v>41368</v>
      </c>
      <c r="D64" t="s">
        <v>588</v>
      </c>
      <c r="E64">
        <v>8.5</v>
      </c>
      <c r="F64" t="s">
        <v>811</v>
      </c>
    </row>
    <row r="65" spans="2:6" x14ac:dyDescent="0.25">
      <c r="B65" t="s">
        <v>822</v>
      </c>
      <c r="C65" s="11">
        <v>41218</v>
      </c>
      <c r="D65" t="s">
        <v>581</v>
      </c>
      <c r="E65">
        <v>35</v>
      </c>
      <c r="F65" t="s">
        <v>811</v>
      </c>
    </row>
    <row r="66" spans="2:6" x14ac:dyDescent="0.25">
      <c r="B66" t="s">
        <v>818</v>
      </c>
      <c r="C66" s="11">
        <v>41099</v>
      </c>
      <c r="D66" t="s">
        <v>596</v>
      </c>
      <c r="E66">
        <v>20</v>
      </c>
    </row>
    <row r="67" spans="2:6" x14ac:dyDescent="0.25">
      <c r="B67" t="s">
        <v>817</v>
      </c>
      <c r="C67" s="11">
        <v>41058</v>
      </c>
      <c r="D67" t="s">
        <v>581</v>
      </c>
      <c r="E67">
        <v>42</v>
      </c>
      <c r="F67" t="s">
        <v>811</v>
      </c>
    </row>
    <row r="68" spans="2:6" x14ac:dyDescent="0.25">
      <c r="B68" t="s">
        <v>823</v>
      </c>
      <c r="C68" s="11">
        <v>41004</v>
      </c>
      <c r="D68" t="s">
        <v>596</v>
      </c>
      <c r="E68">
        <v>50</v>
      </c>
      <c r="F68" t="s">
        <v>813</v>
      </c>
    </row>
    <row r="69" spans="2:6" x14ac:dyDescent="0.25">
      <c r="B69" s="11" t="s">
        <v>818</v>
      </c>
      <c r="C69" s="11">
        <v>40948</v>
      </c>
      <c r="D69" t="s">
        <v>588</v>
      </c>
      <c r="E69">
        <v>18</v>
      </c>
    </row>
    <row r="70" spans="2:6" x14ac:dyDescent="0.25">
      <c r="B70" t="s">
        <v>824</v>
      </c>
      <c r="C70" s="11">
        <v>40834</v>
      </c>
      <c r="D70" t="s">
        <v>596</v>
      </c>
      <c r="E70">
        <v>250</v>
      </c>
      <c r="F70" t="s">
        <v>811</v>
      </c>
    </row>
    <row r="71" spans="2:6" x14ac:dyDescent="0.25">
      <c r="B71" t="s">
        <v>814</v>
      </c>
      <c r="C71" s="11">
        <v>40749</v>
      </c>
      <c r="D71" t="s">
        <v>596</v>
      </c>
      <c r="E71">
        <v>112</v>
      </c>
      <c r="F71" t="s">
        <v>811</v>
      </c>
    </row>
    <row r="72" spans="2:6" x14ac:dyDescent="0.25">
      <c r="B72" t="s">
        <v>825</v>
      </c>
      <c r="C72" s="11">
        <v>40744</v>
      </c>
      <c r="D72" t="s">
        <v>596</v>
      </c>
      <c r="E72">
        <v>17.5</v>
      </c>
      <c r="F72" t="s">
        <v>811</v>
      </c>
    </row>
    <row r="73" spans="2:6" x14ac:dyDescent="0.25">
      <c r="B73" t="s">
        <v>821</v>
      </c>
      <c r="C73" s="11">
        <v>40641</v>
      </c>
      <c r="D73" t="s">
        <v>588</v>
      </c>
      <c r="E73">
        <v>8</v>
      </c>
      <c r="F73" t="s">
        <v>813</v>
      </c>
    </row>
    <row r="74" spans="2:6" x14ac:dyDescent="0.25">
      <c r="B74" t="s">
        <v>818</v>
      </c>
      <c r="C74" s="11">
        <v>40630</v>
      </c>
      <c r="D74" t="s">
        <v>614</v>
      </c>
      <c r="E74">
        <v>2</v>
      </c>
    </row>
    <row r="75" spans="2:6" x14ac:dyDescent="0.25">
      <c r="B75" t="s">
        <v>814</v>
      </c>
      <c r="C75" s="11">
        <v>40492</v>
      </c>
      <c r="D75" t="s">
        <v>588</v>
      </c>
      <c r="E75">
        <v>7.2</v>
      </c>
      <c r="F75" t="s">
        <v>811</v>
      </c>
    </row>
    <row r="76" spans="2:6" x14ac:dyDescent="0.25">
      <c r="B76" t="s">
        <v>825</v>
      </c>
      <c r="C76" s="11">
        <v>40112</v>
      </c>
      <c r="D76" t="s">
        <v>588</v>
      </c>
      <c r="E76">
        <v>7.8</v>
      </c>
      <c r="F76" t="s">
        <v>811</v>
      </c>
    </row>
    <row r="77" spans="2:6" x14ac:dyDescent="0.25">
      <c r="B77" t="s">
        <v>814</v>
      </c>
      <c r="C77" s="11">
        <v>39904</v>
      </c>
      <c r="D77" t="s">
        <v>614</v>
      </c>
      <c r="E77">
        <v>0.6</v>
      </c>
      <c r="F77" t="s">
        <v>811</v>
      </c>
    </row>
    <row r="78" spans="2:6" x14ac:dyDescent="0.25">
      <c r="B78" t="s">
        <v>824</v>
      </c>
      <c r="C78" s="11">
        <v>39776</v>
      </c>
      <c r="D78" t="s">
        <v>588</v>
      </c>
      <c r="E78">
        <v>6</v>
      </c>
      <c r="F78" t="s">
        <v>811</v>
      </c>
    </row>
    <row r="79" spans="2:6" x14ac:dyDescent="0.25">
      <c r="B79" t="s">
        <v>826</v>
      </c>
      <c r="C79" s="11">
        <v>39678</v>
      </c>
      <c r="D79" t="s">
        <v>630</v>
      </c>
      <c r="E79">
        <v>27</v>
      </c>
      <c r="F79" t="s">
        <v>811</v>
      </c>
    </row>
    <row r="80" spans="2:6" x14ac:dyDescent="0.25">
      <c r="B80" t="s">
        <v>827</v>
      </c>
      <c r="C80" s="11">
        <v>39616</v>
      </c>
      <c r="D80" t="s">
        <v>585</v>
      </c>
      <c r="E80">
        <v>53</v>
      </c>
      <c r="F80" t="s">
        <v>813</v>
      </c>
    </row>
    <row r="81" spans="2:6" x14ac:dyDescent="0.25">
      <c r="B81" t="s">
        <v>828</v>
      </c>
      <c r="C81" s="11">
        <v>39286</v>
      </c>
      <c r="D81" t="s">
        <v>596</v>
      </c>
      <c r="E81">
        <v>12</v>
      </c>
    </row>
    <row r="82" spans="2:6" x14ac:dyDescent="0.25">
      <c r="B82" t="s">
        <v>826</v>
      </c>
      <c r="C82" s="11">
        <v>39258</v>
      </c>
      <c r="D82" t="s">
        <v>596</v>
      </c>
      <c r="E82">
        <v>18</v>
      </c>
      <c r="F82" t="s">
        <v>811</v>
      </c>
    </row>
    <row r="83" spans="2:6" x14ac:dyDescent="0.25">
      <c r="B83" t="s">
        <v>838</v>
      </c>
      <c r="C83" s="11">
        <v>39387</v>
      </c>
      <c r="D83" t="s">
        <v>596</v>
      </c>
      <c r="E83">
        <v>16</v>
      </c>
    </row>
    <row r="84" spans="2:6" x14ac:dyDescent="0.25">
      <c r="B84" t="s">
        <v>826</v>
      </c>
      <c r="C84" s="11">
        <v>38869</v>
      </c>
      <c r="D84" t="s">
        <v>588</v>
      </c>
      <c r="E84">
        <v>10</v>
      </c>
      <c r="F84" t="s">
        <v>811</v>
      </c>
    </row>
    <row r="85" spans="2:6" x14ac:dyDescent="0.25">
      <c r="B85" t="s">
        <v>828</v>
      </c>
      <c r="C85" s="11">
        <v>38679</v>
      </c>
      <c r="D85" t="s">
        <v>588</v>
      </c>
      <c r="E85">
        <v>5</v>
      </c>
    </row>
    <row r="86" spans="2:6" x14ac:dyDescent="0.25">
      <c r="B86" t="s">
        <v>837</v>
      </c>
      <c r="C86" s="11">
        <v>38657</v>
      </c>
      <c r="D86" t="s">
        <v>588</v>
      </c>
      <c r="E86">
        <v>3.5</v>
      </c>
      <c r="F86" t="s">
        <v>813</v>
      </c>
    </row>
    <row r="87" spans="2:6" x14ac:dyDescent="0.25">
      <c r="B87" t="s">
        <v>836</v>
      </c>
      <c r="C87" s="11">
        <v>38078</v>
      </c>
      <c r="D87" t="s">
        <v>630</v>
      </c>
      <c r="E87">
        <v>7</v>
      </c>
    </row>
    <row r="88" spans="2:6" x14ac:dyDescent="0.25">
      <c r="B88" t="s">
        <v>827</v>
      </c>
      <c r="C88" s="11">
        <v>37926</v>
      </c>
      <c r="D88" t="s">
        <v>588</v>
      </c>
      <c r="E88">
        <v>4.7</v>
      </c>
      <c r="F88" t="s">
        <v>811</v>
      </c>
    </row>
    <row r="89" spans="2:6" x14ac:dyDescent="0.25">
      <c r="B89" t="s">
        <v>836</v>
      </c>
      <c r="C89" s="11">
        <v>37803</v>
      </c>
      <c r="D89" t="s">
        <v>596</v>
      </c>
      <c r="E89">
        <v>8.5</v>
      </c>
    </row>
    <row r="90" spans="2:6" x14ac:dyDescent="0.25">
      <c r="B90" t="s">
        <v>836</v>
      </c>
      <c r="C90" s="11">
        <v>37561</v>
      </c>
      <c r="D90" t="s">
        <v>588</v>
      </c>
      <c r="E90">
        <v>3.8</v>
      </c>
    </row>
    <row r="91" spans="2:6" x14ac:dyDescent="0.25">
      <c r="B91" t="s">
        <v>835</v>
      </c>
      <c r="C91" s="11">
        <v>36621</v>
      </c>
      <c r="D91" t="s">
        <v>630</v>
      </c>
      <c r="E91">
        <v>100</v>
      </c>
      <c r="F91" t="s">
        <v>811</v>
      </c>
    </row>
    <row r="92" spans="2:6" x14ac:dyDescent="0.25">
      <c r="B92" t="s">
        <v>834</v>
      </c>
      <c r="C92" s="11">
        <v>36318</v>
      </c>
      <c r="D92" t="s">
        <v>588</v>
      </c>
      <c r="E92">
        <v>25</v>
      </c>
      <c r="F92" t="s">
        <v>811</v>
      </c>
    </row>
    <row r="93" spans="2:6" x14ac:dyDescent="0.25">
      <c r="B93" t="s">
        <v>833</v>
      </c>
      <c r="C93" s="11">
        <v>36161</v>
      </c>
      <c r="D93" t="s">
        <v>614</v>
      </c>
      <c r="F93" t="s">
        <v>811</v>
      </c>
    </row>
    <row r="94" spans="2:6" x14ac:dyDescent="0.25">
      <c r="B94" t="s">
        <v>832</v>
      </c>
      <c r="C94" s="11">
        <v>34790</v>
      </c>
      <c r="D94" t="s">
        <v>588</v>
      </c>
      <c r="E94">
        <v>2</v>
      </c>
      <c r="F94" t="s">
        <v>811</v>
      </c>
    </row>
    <row r="95" spans="2:6" x14ac:dyDescent="0.25">
      <c r="B95" t="s">
        <v>831</v>
      </c>
      <c r="C95" s="11">
        <v>33970</v>
      </c>
      <c r="D95" t="s">
        <v>614</v>
      </c>
      <c r="F95" t="s">
        <v>811</v>
      </c>
    </row>
    <row r="96" spans="2:6" x14ac:dyDescent="0.25">
      <c r="B96" t="s">
        <v>830</v>
      </c>
      <c r="C96" s="11">
        <v>30286</v>
      </c>
      <c r="D96" t="s">
        <v>588</v>
      </c>
      <c r="E96">
        <v>2</v>
      </c>
      <c r="F96" t="s">
        <v>811</v>
      </c>
    </row>
    <row r="97" spans="2:6" x14ac:dyDescent="0.25">
      <c r="B97" t="s">
        <v>829</v>
      </c>
      <c r="C97" s="11">
        <v>28614</v>
      </c>
      <c r="D97" t="s">
        <v>614</v>
      </c>
      <c r="E97">
        <v>0.15</v>
      </c>
      <c r="F97" t="s">
        <v>811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7265625" defaultRowHeight="12.5" x14ac:dyDescent="0.25"/>
  <cols>
    <col min="1" max="1" width="5" bestFit="1" customWidth="1"/>
    <col min="2" max="2" width="16.54296875" customWidth="1"/>
    <col min="3" max="3" width="12.453125" bestFit="1" customWidth="1"/>
    <col min="4" max="4" width="9.7265625" bestFit="1" customWidth="1"/>
    <col min="7" max="7" width="9.7265625" bestFit="1" customWidth="1"/>
    <col min="8" max="8" width="24.7265625" customWidth="1"/>
    <col min="9" max="9" width="9.7265625" customWidth="1"/>
    <col min="10" max="10" width="9.26953125" customWidth="1"/>
  </cols>
  <sheetData>
    <row r="1" spans="1:10" x14ac:dyDescent="0.25">
      <c r="A1" s="2" t="s">
        <v>1155</v>
      </c>
    </row>
    <row r="2" spans="1:10" x14ac:dyDescent="0.25">
      <c r="B2" t="s">
        <v>244</v>
      </c>
      <c r="C2" t="s">
        <v>245</v>
      </c>
      <c r="D2" t="s">
        <v>580</v>
      </c>
      <c r="E2" s="6" t="s">
        <v>582</v>
      </c>
      <c r="F2" t="s">
        <v>577</v>
      </c>
      <c r="G2" t="s">
        <v>578</v>
      </c>
      <c r="H2" t="s">
        <v>579</v>
      </c>
      <c r="I2" t="s">
        <v>1223</v>
      </c>
      <c r="J2" t="s">
        <v>709</v>
      </c>
    </row>
    <row r="3" spans="1:10" x14ac:dyDescent="0.25">
      <c r="B3" t="s">
        <v>1207</v>
      </c>
      <c r="C3" s="11">
        <v>45532</v>
      </c>
      <c r="D3" t="s">
        <v>588</v>
      </c>
      <c r="E3" s="21">
        <v>17</v>
      </c>
      <c r="F3" t="s">
        <v>1216</v>
      </c>
      <c r="G3" t="s">
        <v>1217</v>
      </c>
      <c r="H3" t="s">
        <v>1218</v>
      </c>
    </row>
    <row r="4" spans="1:10" x14ac:dyDescent="0.25">
      <c r="B4" t="s">
        <v>1208</v>
      </c>
      <c r="C4" s="11">
        <v>45531</v>
      </c>
      <c r="D4" t="s">
        <v>805</v>
      </c>
      <c r="E4" s="21">
        <v>0.5</v>
      </c>
      <c r="F4" t="s">
        <v>1216</v>
      </c>
      <c r="G4" t="s">
        <v>635</v>
      </c>
      <c r="H4" t="s">
        <v>1219</v>
      </c>
    </row>
    <row r="5" spans="1:10" x14ac:dyDescent="0.25">
      <c r="B5" t="s">
        <v>1209</v>
      </c>
      <c r="C5" s="11">
        <v>45530</v>
      </c>
      <c r="D5" t="s">
        <v>588</v>
      </c>
      <c r="E5" s="21">
        <f>26*0.74</f>
        <v>19.239999999999998</v>
      </c>
      <c r="F5" t="s">
        <v>1216</v>
      </c>
      <c r="G5" t="s">
        <v>1220</v>
      </c>
      <c r="H5" t="s">
        <v>1221</v>
      </c>
    </row>
    <row r="6" spans="1:10" x14ac:dyDescent="0.25">
      <c r="B6" t="s">
        <v>1210</v>
      </c>
      <c r="C6" s="11">
        <v>45525</v>
      </c>
      <c r="D6" t="s">
        <v>596</v>
      </c>
      <c r="E6" s="21">
        <v>80</v>
      </c>
      <c r="F6" t="s">
        <v>1216</v>
      </c>
      <c r="G6" t="s">
        <v>635</v>
      </c>
      <c r="H6" t="s">
        <v>1222</v>
      </c>
      <c r="I6">
        <v>2000</v>
      </c>
      <c r="J6" t="s">
        <v>1224</v>
      </c>
    </row>
    <row r="7" spans="1:10" x14ac:dyDescent="0.25">
      <c r="B7" t="s">
        <v>1211</v>
      </c>
      <c r="C7" s="11">
        <v>45524</v>
      </c>
      <c r="D7" t="s">
        <v>614</v>
      </c>
      <c r="E7" s="21">
        <v>30</v>
      </c>
      <c r="F7" t="s">
        <v>1216</v>
      </c>
      <c r="G7" t="s">
        <v>1227</v>
      </c>
      <c r="H7" t="s">
        <v>1226</v>
      </c>
      <c r="I7">
        <v>190</v>
      </c>
      <c r="J7" t="s">
        <v>1225</v>
      </c>
    </row>
    <row r="8" spans="1:10" x14ac:dyDescent="0.25">
      <c r="B8" t="s">
        <v>1212</v>
      </c>
      <c r="C8" s="11">
        <v>45523</v>
      </c>
      <c r="D8" t="s">
        <v>614</v>
      </c>
      <c r="E8" s="21">
        <v>4</v>
      </c>
      <c r="F8" t="s">
        <v>1216</v>
      </c>
      <c r="G8" t="s">
        <v>1220</v>
      </c>
      <c r="H8" t="s">
        <v>1228</v>
      </c>
    </row>
    <row r="9" spans="1:10" x14ac:dyDescent="0.25">
      <c r="B9" t="s">
        <v>1213</v>
      </c>
      <c r="C9" s="11">
        <v>45518</v>
      </c>
      <c r="D9" t="s">
        <v>588</v>
      </c>
      <c r="E9" s="21">
        <v>10</v>
      </c>
      <c r="F9" t="s">
        <v>1216</v>
      </c>
      <c r="G9" t="s">
        <v>1227</v>
      </c>
      <c r="H9" t="s">
        <v>1238</v>
      </c>
    </row>
    <row r="10" spans="1:10" x14ac:dyDescent="0.25">
      <c r="B10" t="s">
        <v>1214</v>
      </c>
      <c r="C10" s="11">
        <v>45517</v>
      </c>
      <c r="D10" t="s">
        <v>596</v>
      </c>
      <c r="E10" s="21">
        <v>31</v>
      </c>
      <c r="F10" t="s">
        <v>1216</v>
      </c>
      <c r="G10" t="s">
        <v>799</v>
      </c>
      <c r="H10" t="s">
        <v>1239</v>
      </c>
    </row>
    <row r="11" spans="1:10" x14ac:dyDescent="0.25">
      <c r="B11" t="s">
        <v>1215</v>
      </c>
      <c r="C11" s="11">
        <v>45513</v>
      </c>
      <c r="D11" t="s">
        <v>588</v>
      </c>
      <c r="E11" s="21">
        <v>60</v>
      </c>
      <c r="F11" t="s">
        <v>1216</v>
      </c>
      <c r="G11" t="s">
        <v>586</v>
      </c>
      <c r="H11" t="s">
        <v>1240</v>
      </c>
      <c r="I11">
        <v>340</v>
      </c>
    </row>
    <row r="12" spans="1:10" x14ac:dyDescent="0.25">
      <c r="B12" t="s">
        <v>1229</v>
      </c>
      <c r="C12" s="11">
        <v>45511</v>
      </c>
      <c r="D12" t="s">
        <v>596</v>
      </c>
      <c r="E12" s="21">
        <v>120</v>
      </c>
      <c r="F12" t="s">
        <v>1216</v>
      </c>
      <c r="G12" t="s">
        <v>600</v>
      </c>
    </row>
    <row r="13" spans="1:10" x14ac:dyDescent="0.25">
      <c r="B13" t="s">
        <v>1230</v>
      </c>
      <c r="C13" s="11">
        <v>45510</v>
      </c>
      <c r="D13" t="s">
        <v>1236</v>
      </c>
      <c r="E13" s="21">
        <v>0</v>
      </c>
      <c r="F13" t="s">
        <v>1216</v>
      </c>
      <c r="G13" t="s">
        <v>799</v>
      </c>
    </row>
    <row r="14" spans="1:10" x14ac:dyDescent="0.25">
      <c r="B14" t="s">
        <v>1231</v>
      </c>
      <c r="C14" s="11">
        <v>45505</v>
      </c>
      <c r="D14" t="s">
        <v>614</v>
      </c>
      <c r="E14" s="21">
        <v>30</v>
      </c>
      <c r="F14" t="s">
        <v>1216</v>
      </c>
      <c r="G14" t="s">
        <v>1220</v>
      </c>
      <c r="H14" t="s">
        <v>1241</v>
      </c>
    </row>
    <row r="15" spans="1:10" x14ac:dyDescent="0.25">
      <c r="B15" t="s">
        <v>1232</v>
      </c>
      <c r="C15" s="11">
        <v>45498</v>
      </c>
      <c r="D15" t="s">
        <v>1237</v>
      </c>
      <c r="E15" s="21">
        <v>300</v>
      </c>
      <c r="F15" t="s">
        <v>1216</v>
      </c>
      <c r="G15" t="s">
        <v>586</v>
      </c>
      <c r="H15" t="s">
        <v>1242</v>
      </c>
    </row>
    <row r="16" spans="1:10" x14ac:dyDescent="0.25">
      <c r="B16" t="s">
        <v>1233</v>
      </c>
      <c r="C16" s="11">
        <v>45497</v>
      </c>
      <c r="D16" t="s">
        <v>585</v>
      </c>
      <c r="E16" s="21">
        <v>200</v>
      </c>
      <c r="F16" t="s">
        <v>1216</v>
      </c>
      <c r="G16" t="s">
        <v>1243</v>
      </c>
      <c r="H16" t="s">
        <v>1244</v>
      </c>
    </row>
    <row r="17" spans="2:9" x14ac:dyDescent="0.25">
      <c r="B17" t="s">
        <v>1234</v>
      </c>
      <c r="C17" s="11">
        <v>45496</v>
      </c>
      <c r="D17" t="s">
        <v>585</v>
      </c>
      <c r="E17" s="21">
        <v>100</v>
      </c>
      <c r="F17" t="s">
        <v>1216</v>
      </c>
      <c r="G17" t="s">
        <v>1227</v>
      </c>
      <c r="H17" t="s">
        <v>1245</v>
      </c>
      <c r="I17">
        <v>2200</v>
      </c>
    </row>
    <row r="18" spans="2:9" x14ac:dyDescent="0.25">
      <c r="B18" t="s">
        <v>1235</v>
      </c>
      <c r="C18" s="11">
        <v>45496</v>
      </c>
      <c r="D18" t="s">
        <v>614</v>
      </c>
      <c r="E18" s="21">
        <v>5</v>
      </c>
      <c r="F18" t="s">
        <v>1216</v>
      </c>
      <c r="G18" t="s">
        <v>586</v>
      </c>
      <c r="H18" t="s">
        <v>1246</v>
      </c>
    </row>
  </sheetData>
  <hyperlinks>
    <hyperlink ref="A1" location="VC!A1" display="Main" xr:uid="{2F3CF8C9-14B7-42D3-8E7A-29C59916DCC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5" x14ac:dyDescent="0.25"/>
  <cols>
    <col min="1" max="1" width="5" bestFit="1" customWidth="1"/>
    <col min="2" max="2" width="16" bestFit="1" customWidth="1"/>
    <col min="3" max="3" width="12.26953125" bestFit="1" customWidth="1"/>
  </cols>
  <sheetData>
    <row r="1" spans="1:10" x14ac:dyDescent="0.25">
      <c r="A1" s="2" t="s">
        <v>75</v>
      </c>
    </row>
    <row r="2" spans="1:10" x14ac:dyDescent="0.25">
      <c r="B2" t="s">
        <v>244</v>
      </c>
      <c r="C2" t="s">
        <v>245</v>
      </c>
      <c r="D2" t="s">
        <v>580</v>
      </c>
      <c r="E2" s="6" t="s">
        <v>582</v>
      </c>
      <c r="F2" t="s">
        <v>577</v>
      </c>
      <c r="G2" t="s">
        <v>578</v>
      </c>
      <c r="H2" t="s">
        <v>579</v>
      </c>
      <c r="I2" t="s">
        <v>1223</v>
      </c>
      <c r="J2" t="s">
        <v>709</v>
      </c>
    </row>
    <row r="3" spans="1:10" x14ac:dyDescent="0.25">
      <c r="B3" t="s">
        <v>1248</v>
      </c>
      <c r="C3" s="11">
        <v>45524</v>
      </c>
    </row>
    <row r="4" spans="1:10" x14ac:dyDescent="0.25">
      <c r="B4" t="s">
        <v>1249</v>
      </c>
      <c r="C4" s="11">
        <v>45471</v>
      </c>
    </row>
    <row r="5" spans="1:10" x14ac:dyDescent="0.25">
      <c r="B5" t="s">
        <v>1250</v>
      </c>
      <c r="C5" s="11">
        <v>45468</v>
      </c>
      <c r="D5" t="s">
        <v>588</v>
      </c>
      <c r="E5">
        <v>120</v>
      </c>
      <c r="F5" t="s">
        <v>1216</v>
      </c>
      <c r="G5" t="s">
        <v>1258</v>
      </c>
      <c r="H5" t="s">
        <v>1259</v>
      </c>
    </row>
    <row r="6" spans="1:10" x14ac:dyDescent="0.25">
      <c r="B6" t="s">
        <v>1251</v>
      </c>
      <c r="C6" s="11">
        <v>45464</v>
      </c>
    </row>
    <row r="7" spans="1:10" x14ac:dyDescent="0.25">
      <c r="B7" t="s">
        <v>1252</v>
      </c>
      <c r="C7" s="11">
        <v>45428</v>
      </c>
    </row>
    <row r="8" spans="1:10" x14ac:dyDescent="0.25">
      <c r="B8" t="s">
        <v>1253</v>
      </c>
      <c r="C8" s="11">
        <v>45370</v>
      </c>
    </row>
    <row r="9" spans="1:10" x14ac:dyDescent="0.25">
      <c r="B9" t="s">
        <v>1254</v>
      </c>
      <c r="C9" s="11">
        <v>45342</v>
      </c>
    </row>
    <row r="10" spans="1:10" x14ac:dyDescent="0.25">
      <c r="B10" t="s">
        <v>1255</v>
      </c>
      <c r="C10" s="11">
        <v>45337</v>
      </c>
    </row>
    <row r="11" spans="1:10" x14ac:dyDescent="0.25">
      <c r="B11" t="s">
        <v>1256</v>
      </c>
      <c r="C11" s="11">
        <v>45202</v>
      </c>
    </row>
    <row r="12" spans="1:10" x14ac:dyDescent="0.25">
      <c r="B12" t="s">
        <v>1257</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CB426"/>
  <sheetViews>
    <sheetView tabSelected="1" zoomScale="145" zoomScaleNormal="145" workbookViewId="0">
      <pane xSplit="2" ySplit="2" topLeftCell="AG3" activePane="bottomRight" state="frozen"/>
      <selection pane="topRight" activeCell="C1" sqref="C1"/>
      <selection pane="bottomLeft" activeCell="A3" sqref="A3"/>
      <selection pane="bottomRight" activeCell="AG11" sqref="AG11"/>
    </sheetView>
  </sheetViews>
  <sheetFormatPr defaultColWidth="8.7265625" defaultRowHeight="12.5" x14ac:dyDescent="0.25"/>
  <cols>
    <col min="1" max="1" width="5.26953125" customWidth="1"/>
    <col min="2" max="2" width="18.1796875" customWidth="1"/>
    <col min="3" max="3" width="17.453125" customWidth="1"/>
    <col min="4" max="4" width="10.7265625" style="3" customWidth="1"/>
    <col min="5" max="8" width="9.26953125" style="1"/>
    <col min="9" max="14" width="9.26953125" style="3"/>
    <col min="15" max="15" width="9.54296875" style="3" customWidth="1"/>
    <col min="16" max="16" width="9.26953125" style="3" bestFit="1" customWidth="1"/>
    <col min="17" max="20" width="9.26953125" style="3" customWidth="1"/>
    <col min="21" max="21" width="12" style="6" customWidth="1"/>
    <col min="22" max="22" width="10.54296875" style="6" customWidth="1"/>
    <col min="23" max="23" width="12" style="8" customWidth="1"/>
    <col min="24" max="24" width="10.54296875" bestFit="1" customWidth="1"/>
    <col min="25" max="25" width="10.7265625" customWidth="1"/>
    <col min="26" max="26" width="10.7265625" style="18" customWidth="1"/>
    <col min="27" max="28" width="8.7265625" style="8"/>
    <col min="29" max="29" width="8.7265625" style="7"/>
    <col min="30" max="30" width="9.54296875" bestFit="1" customWidth="1"/>
    <col min="35" max="37" width="8.7265625" style="18"/>
    <col min="49" max="49" width="9.54296875" bestFit="1" customWidth="1"/>
    <col min="55" max="55" width="10" customWidth="1"/>
  </cols>
  <sheetData>
    <row r="1" spans="1:80" x14ac:dyDescent="0.25">
      <c r="O1" s="3">
        <f>SUM(O3:O314)</f>
        <v>1972332.2933850002</v>
      </c>
      <c r="P1" s="3">
        <f>SUM(P3:P314)</f>
        <v>1589273.2083480002</v>
      </c>
      <c r="Q1" s="3">
        <f>SUM(Q3:Q314)</f>
        <v>3129906.9079430015</v>
      </c>
      <c r="R1" s="3">
        <f>SUM(R3:R314)</f>
        <v>3063905.9383439994</v>
      </c>
      <c r="S1" s="3">
        <f>SUM(S3:S314)</f>
        <v>3210302.5045100022</v>
      </c>
      <c r="T1" s="3">
        <f>SUM(T3:T314)</f>
        <v>2274354.7486890005</v>
      </c>
      <c r="Z1" s="18">
        <f>SUM(Z3:Z349)</f>
        <v>32194</v>
      </c>
      <c r="AD1" t="s">
        <v>1925</v>
      </c>
      <c r="AI1" s="18">
        <f>SUM(AI3:AI317)</f>
        <v>33162.19</v>
      </c>
      <c r="AJ1" s="18">
        <f>SUM(AJ3:AJ317)</f>
        <v>16565.14</v>
      </c>
    </row>
    <row r="2" spans="1:80" x14ac:dyDescent="0.25">
      <c r="B2" t="s">
        <v>0</v>
      </c>
      <c r="C2" t="s">
        <v>15</v>
      </c>
      <c r="D2" s="3" t="s">
        <v>16</v>
      </c>
      <c r="E2" s="1" t="s">
        <v>7</v>
      </c>
      <c r="F2" s="1" t="s">
        <v>8</v>
      </c>
      <c r="G2" s="1" t="s">
        <v>9</v>
      </c>
      <c r="H2" s="1" t="s">
        <v>10</v>
      </c>
      <c r="I2" s="3" t="s">
        <v>11</v>
      </c>
      <c r="J2" s="3" t="s">
        <v>13</v>
      </c>
      <c r="K2" s="3" t="s">
        <v>12</v>
      </c>
      <c r="L2" s="3" t="s">
        <v>14</v>
      </c>
      <c r="M2" s="3" t="s">
        <v>230</v>
      </c>
      <c r="N2" s="3" t="s">
        <v>231</v>
      </c>
      <c r="O2" s="3" t="s">
        <v>647</v>
      </c>
      <c r="P2" s="3" t="s">
        <v>648</v>
      </c>
      <c r="Q2" s="3" t="s">
        <v>1108</v>
      </c>
      <c r="R2" s="3" t="s">
        <v>1109</v>
      </c>
      <c r="S2" s="3" t="s">
        <v>1110</v>
      </c>
      <c r="T2" s="3" t="s">
        <v>1111</v>
      </c>
      <c r="U2" s="5" t="s">
        <v>94</v>
      </c>
      <c r="V2" s="5" t="s">
        <v>210</v>
      </c>
      <c r="W2" s="7" t="s">
        <v>211</v>
      </c>
      <c r="X2" t="s">
        <v>222</v>
      </c>
      <c r="Y2" t="s">
        <v>223</v>
      </c>
      <c r="Z2" s="3" t="s">
        <v>719</v>
      </c>
      <c r="AA2" s="8" t="s">
        <v>226</v>
      </c>
      <c r="AB2" s="8" t="s">
        <v>1926</v>
      </c>
      <c r="AC2" s="7" t="s">
        <v>1927</v>
      </c>
      <c r="AD2" t="s">
        <v>225</v>
      </c>
      <c r="AE2" t="s">
        <v>710</v>
      </c>
      <c r="AF2" t="s">
        <v>711</v>
      </c>
      <c r="AG2" t="s">
        <v>2102</v>
      </c>
      <c r="AH2" t="s">
        <v>709</v>
      </c>
      <c r="AI2" s="18" t="s">
        <v>1737</v>
      </c>
      <c r="AJ2" s="18" t="s">
        <v>1732</v>
      </c>
      <c r="AK2" s="54">
        <v>2025</v>
      </c>
      <c r="AL2">
        <v>2024</v>
      </c>
      <c r="AM2">
        <v>2023</v>
      </c>
      <c r="AN2">
        <v>2022</v>
      </c>
      <c r="AO2">
        <v>2021</v>
      </c>
      <c r="AP2">
        <v>2020</v>
      </c>
      <c r="AQ2">
        <v>2019</v>
      </c>
      <c r="AR2">
        <v>2018</v>
      </c>
      <c r="AS2">
        <v>2017</v>
      </c>
      <c r="AT2">
        <v>2016</v>
      </c>
      <c r="AU2">
        <v>2015</v>
      </c>
      <c r="AV2">
        <v>2014</v>
      </c>
      <c r="AW2">
        <v>2013</v>
      </c>
      <c r="AX2">
        <v>2012</v>
      </c>
      <c r="AY2">
        <v>2011</v>
      </c>
      <c r="AZ2">
        <f>+AY2-1</f>
        <v>2010</v>
      </c>
      <c r="BA2">
        <f t="shared" ref="BA2:BO2" si="0">+AZ2-1</f>
        <v>2009</v>
      </c>
      <c r="BB2">
        <f t="shared" si="0"/>
        <v>2008</v>
      </c>
      <c r="BC2">
        <f t="shared" si="0"/>
        <v>2007</v>
      </c>
      <c r="BD2">
        <f t="shared" si="0"/>
        <v>2006</v>
      </c>
      <c r="BE2">
        <f t="shared" si="0"/>
        <v>2005</v>
      </c>
      <c r="BF2">
        <f t="shared" si="0"/>
        <v>2004</v>
      </c>
      <c r="BG2">
        <f t="shared" si="0"/>
        <v>2003</v>
      </c>
      <c r="BH2">
        <f t="shared" si="0"/>
        <v>2002</v>
      </c>
      <c r="BI2">
        <f t="shared" si="0"/>
        <v>2001</v>
      </c>
      <c r="BJ2">
        <f t="shared" si="0"/>
        <v>2000</v>
      </c>
      <c r="BK2">
        <f t="shared" si="0"/>
        <v>1999</v>
      </c>
      <c r="BL2">
        <f t="shared" si="0"/>
        <v>1998</v>
      </c>
      <c r="BM2">
        <f t="shared" si="0"/>
        <v>1997</v>
      </c>
      <c r="BN2">
        <f t="shared" si="0"/>
        <v>1996</v>
      </c>
      <c r="BO2">
        <f t="shared" si="0"/>
        <v>1995</v>
      </c>
      <c r="BP2">
        <v>1994</v>
      </c>
      <c r="BQ2">
        <v>1993</v>
      </c>
      <c r="BR2">
        <v>1992</v>
      </c>
      <c r="BS2">
        <v>1991</v>
      </c>
      <c r="BT2">
        <v>1990</v>
      </c>
      <c r="BU2">
        <v>1989</v>
      </c>
      <c r="BV2">
        <v>1988</v>
      </c>
      <c r="BW2">
        <v>1987</v>
      </c>
      <c r="BX2">
        <v>1986</v>
      </c>
      <c r="BY2">
        <v>1985</v>
      </c>
      <c r="BZ2">
        <v>1984</v>
      </c>
      <c r="CA2">
        <v>1983</v>
      </c>
      <c r="CB2" t="s">
        <v>709</v>
      </c>
    </row>
    <row r="3" spans="1:80" x14ac:dyDescent="0.25">
      <c r="A3">
        <v>1</v>
      </c>
      <c r="B3" s="2" t="s">
        <v>38</v>
      </c>
      <c r="C3" t="s">
        <v>67</v>
      </c>
      <c r="D3" s="3" t="s">
        <v>233</v>
      </c>
      <c r="K3" s="4">
        <v>296096.64000000001</v>
      </c>
      <c r="L3" s="4">
        <v>299007.62211900001</v>
      </c>
      <c r="M3" s="4">
        <v>325108.75269200001</v>
      </c>
      <c r="N3" s="4">
        <v>348194.05555200001</v>
      </c>
      <c r="O3" s="4">
        <v>313257.308189</v>
      </c>
      <c r="P3" s="4">
        <v>347358.07446099998</v>
      </c>
      <c r="Q3" s="4">
        <v>331680.40633199998</v>
      </c>
      <c r="R3" s="4">
        <v>279969.06234300003</v>
      </c>
      <c r="S3" s="4">
        <v>266378.90050300001</v>
      </c>
      <c r="T3" s="4">
        <v>267175.47424900002</v>
      </c>
      <c r="U3" s="6" t="s">
        <v>96</v>
      </c>
      <c r="V3" s="6" t="s">
        <v>215</v>
      </c>
      <c r="W3" s="8" t="s">
        <v>214</v>
      </c>
      <c r="Y3" t="s">
        <v>233</v>
      </c>
      <c r="AI3" s="18">
        <v>1578</v>
      </c>
      <c r="AJ3" s="18">
        <v>135</v>
      </c>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row>
    <row r="4" spans="1:80" x14ac:dyDescent="0.25">
      <c r="A4">
        <v>2</v>
      </c>
      <c r="B4" s="2" t="s">
        <v>2</v>
      </c>
      <c r="C4" t="s">
        <v>2931</v>
      </c>
      <c r="D4" s="3">
        <v>89600</v>
      </c>
      <c r="I4" s="4">
        <v>24807.125</v>
      </c>
      <c r="J4" s="4">
        <v>23598.117999999999</v>
      </c>
      <c r="K4" s="4">
        <v>19754.886999999999</v>
      </c>
      <c r="L4" s="4">
        <v>18319.724929</v>
      </c>
      <c r="M4" s="4"/>
      <c r="N4" s="4"/>
      <c r="O4" s="4"/>
      <c r="P4" s="4">
        <v>17864.337112000001</v>
      </c>
      <c r="Q4" s="4">
        <v>19775.432137</v>
      </c>
      <c r="R4" s="4">
        <v>19152.850231</v>
      </c>
      <c r="S4" s="4">
        <v>17658.794958999999</v>
      </c>
      <c r="T4" s="4">
        <v>21811.059841999999</v>
      </c>
      <c r="U4" s="6" t="s">
        <v>99</v>
      </c>
      <c r="W4" s="8" t="s">
        <v>235</v>
      </c>
      <c r="X4">
        <v>1975</v>
      </c>
      <c r="Y4" s="14" t="s">
        <v>2868</v>
      </c>
      <c r="Z4" s="18">
        <v>1300</v>
      </c>
      <c r="AA4" s="49">
        <v>0.128</v>
      </c>
      <c r="AE4" t="s">
        <v>2867</v>
      </c>
      <c r="AF4" t="s">
        <v>2866</v>
      </c>
      <c r="AG4" t="s">
        <v>2872</v>
      </c>
      <c r="AH4" t="s">
        <v>1479</v>
      </c>
      <c r="AI4" s="18">
        <v>577</v>
      </c>
      <c r="AJ4" s="18">
        <v>171</v>
      </c>
      <c r="AK4" s="38" t="s">
        <v>2899</v>
      </c>
      <c r="AL4" s="10" t="s">
        <v>2909</v>
      </c>
      <c r="AM4" s="9" t="s">
        <v>1492</v>
      </c>
      <c r="AN4" s="9" t="s">
        <v>1898</v>
      </c>
      <c r="AO4" s="9">
        <v>-0.05</v>
      </c>
      <c r="AP4" s="9">
        <v>-0.05</v>
      </c>
      <c r="AQ4" s="9">
        <v>0</v>
      </c>
      <c r="AR4" s="27">
        <v>0.14599999999999999</v>
      </c>
      <c r="AS4" t="s">
        <v>2873</v>
      </c>
      <c r="AT4" t="s">
        <v>2870</v>
      </c>
      <c r="AU4" t="s">
        <v>2865</v>
      </c>
      <c r="AV4" t="s">
        <v>2863</v>
      </c>
      <c r="AW4" t="s">
        <v>2855</v>
      </c>
      <c r="AX4" t="s">
        <v>2869</v>
      </c>
      <c r="AY4" s="14" t="s">
        <v>2853</v>
      </c>
      <c r="AZ4" t="s">
        <v>2829</v>
      </c>
      <c r="BA4" s="9" t="s">
        <v>2898</v>
      </c>
      <c r="BB4" s="27" t="s">
        <v>2824</v>
      </c>
      <c r="BC4" t="s">
        <v>2823</v>
      </c>
      <c r="BD4" s="14" t="s">
        <v>2808</v>
      </c>
      <c r="BE4" s="14" t="s">
        <v>2772</v>
      </c>
      <c r="BF4" t="s">
        <v>2790</v>
      </c>
      <c r="BG4" t="s">
        <v>2652</v>
      </c>
      <c r="BH4" t="s">
        <v>2651</v>
      </c>
      <c r="BS4" t="s">
        <v>2900</v>
      </c>
    </row>
    <row r="5" spans="1:80" x14ac:dyDescent="0.25">
      <c r="A5">
        <f>+A4+1</f>
        <v>3</v>
      </c>
      <c r="B5" s="2" t="s">
        <v>1472</v>
      </c>
      <c r="D5" s="3">
        <v>77500</v>
      </c>
      <c r="Q5" s="3">
        <v>39663.239352999997</v>
      </c>
      <c r="R5" s="4">
        <v>37928.012926000003</v>
      </c>
      <c r="S5" s="40">
        <v>38405.904881000002</v>
      </c>
      <c r="T5" s="4"/>
      <c r="Z5" s="18">
        <v>1787</v>
      </c>
      <c r="AG5" t="s">
        <v>2819</v>
      </c>
      <c r="AI5" s="18">
        <v>782</v>
      </c>
      <c r="AJ5" s="18">
        <v>301</v>
      </c>
      <c r="AW5" s="10" t="s">
        <v>1489</v>
      </c>
      <c r="BA5" s="9"/>
      <c r="BB5" s="9" t="s">
        <v>1493</v>
      </c>
      <c r="BC5" s="9"/>
      <c r="BD5" s="10" t="s">
        <v>2820</v>
      </c>
      <c r="BE5" s="10" t="s">
        <v>2821</v>
      </c>
      <c r="BF5" s="14" t="s">
        <v>2822</v>
      </c>
      <c r="BG5" t="s">
        <v>2625</v>
      </c>
    </row>
    <row r="6" spans="1:80" x14ac:dyDescent="0.25">
      <c r="A6">
        <f t="shared" ref="A6:A69" si="1">+A5+1</f>
        <v>4</v>
      </c>
      <c r="B6" s="2" t="s">
        <v>5</v>
      </c>
      <c r="C6" t="s">
        <v>19</v>
      </c>
      <c r="D6" s="3">
        <v>67895</v>
      </c>
      <c r="I6" s="4">
        <v>188637.96799999999</v>
      </c>
      <c r="J6" s="4">
        <v>161186.951</v>
      </c>
      <c r="K6" s="4">
        <v>169100.285</v>
      </c>
      <c r="L6" s="4">
        <v>180744.155</v>
      </c>
      <c r="M6" s="4">
        <v>174392.11</v>
      </c>
      <c r="N6" s="4">
        <v>202791.98027</v>
      </c>
      <c r="O6" s="4">
        <v>198144.28681300001</v>
      </c>
      <c r="P6" s="4">
        <v>105515.79195499999</v>
      </c>
      <c r="Q6" s="4">
        <v>117785.99912399999</v>
      </c>
      <c r="R6" s="4">
        <v>121270.279276</v>
      </c>
      <c r="S6" s="4">
        <v>115422.52081099999</v>
      </c>
      <c r="T6" s="4">
        <v>115521.35628599999</v>
      </c>
      <c r="U6" s="6" t="s">
        <v>95</v>
      </c>
      <c r="V6" s="6" t="s">
        <v>213</v>
      </c>
      <c r="W6" s="8" t="s">
        <v>221</v>
      </c>
      <c r="X6">
        <v>1989</v>
      </c>
      <c r="Z6" s="18">
        <v>5500</v>
      </c>
      <c r="AA6" s="47">
        <v>0.13350000000000001</v>
      </c>
      <c r="AB6" s="49">
        <v>-7.2400000000000006E-2</v>
      </c>
      <c r="AC6" s="7">
        <v>4</v>
      </c>
      <c r="AE6" t="s">
        <v>718</v>
      </c>
      <c r="AG6" t="s">
        <v>2893</v>
      </c>
      <c r="AI6" s="18">
        <v>2065</v>
      </c>
      <c r="AJ6" s="18">
        <v>1237</v>
      </c>
      <c r="AL6" s="9">
        <v>0.15</v>
      </c>
      <c r="AM6" s="9">
        <v>0.1</v>
      </c>
      <c r="AN6" s="9">
        <v>0.124</v>
      </c>
      <c r="AO6" s="9">
        <v>0.1361</v>
      </c>
      <c r="AP6" s="9">
        <v>0.25800000000000001</v>
      </c>
      <c r="AQ6" s="9">
        <v>9.8000000000000004E-2</v>
      </c>
      <c r="AR6" s="9">
        <v>4.9000000000000002E-2</v>
      </c>
      <c r="AS6" s="9" t="s">
        <v>2894</v>
      </c>
      <c r="AT6" s="9">
        <v>3.3799999999999997E-2</v>
      </c>
      <c r="AU6" s="9">
        <v>0.12540000000000001</v>
      </c>
      <c r="AV6" s="9">
        <v>0.12089999999999999</v>
      </c>
      <c r="AW6" s="9">
        <v>0.13270000000000001</v>
      </c>
      <c r="AX6" s="9">
        <v>6.3200000000000006E-2</v>
      </c>
      <c r="AY6" s="9">
        <v>8.3900000000000002E-2</v>
      </c>
      <c r="AZ6" s="9" t="s">
        <v>2844</v>
      </c>
      <c r="BA6" s="9">
        <v>0.17199999999999999</v>
      </c>
      <c r="BB6" s="9">
        <v>-0.03</v>
      </c>
      <c r="BC6" s="9"/>
      <c r="BD6" s="9" t="s">
        <v>2805</v>
      </c>
      <c r="BE6" s="9" t="s">
        <v>2763</v>
      </c>
      <c r="BF6" s="9" t="s">
        <v>2806</v>
      </c>
      <c r="BG6" s="9" t="s">
        <v>2644</v>
      </c>
      <c r="BH6" t="s">
        <v>2592</v>
      </c>
      <c r="BI6" s="9" t="s">
        <v>2141</v>
      </c>
      <c r="BJ6" s="9" t="s">
        <v>2643</v>
      </c>
      <c r="BK6" s="9">
        <v>0.32</v>
      </c>
    </row>
    <row r="7" spans="1:80" x14ac:dyDescent="0.25">
      <c r="A7">
        <f t="shared" si="1"/>
        <v>5</v>
      </c>
      <c r="B7" s="2" t="s">
        <v>4</v>
      </c>
      <c r="C7" t="s">
        <v>18</v>
      </c>
      <c r="D7" s="3">
        <v>63430</v>
      </c>
      <c r="I7" s="4">
        <v>484452.99400000001</v>
      </c>
      <c r="J7" s="4">
        <v>389708.92099999997</v>
      </c>
      <c r="K7" s="4">
        <v>438754.84399999998</v>
      </c>
      <c r="L7" s="4">
        <v>428086.473329</v>
      </c>
      <c r="M7" s="4">
        <v>454693.68748800003</v>
      </c>
      <c r="N7" s="4">
        <v>483744.58313300001</v>
      </c>
      <c r="O7" s="4">
        <v>466500.24296800001</v>
      </c>
      <c r="P7" s="4">
        <v>99349.033796999996</v>
      </c>
      <c r="Q7" s="4">
        <v>95807.315038000001</v>
      </c>
      <c r="R7" s="4">
        <v>101629.05224400001</v>
      </c>
      <c r="S7" s="4">
        <v>95807.315038000001</v>
      </c>
      <c r="T7" s="4">
        <v>108197.82816999999</v>
      </c>
      <c r="U7" s="6" t="s">
        <v>95</v>
      </c>
      <c r="V7" s="6" t="s">
        <v>213</v>
      </c>
      <c r="W7" s="8" t="s">
        <v>212</v>
      </c>
      <c r="X7">
        <v>1990</v>
      </c>
      <c r="Y7" t="s">
        <v>232</v>
      </c>
      <c r="Z7" s="18">
        <v>2932</v>
      </c>
      <c r="AG7" t="s">
        <v>1490</v>
      </c>
      <c r="AI7" s="18">
        <v>3101</v>
      </c>
      <c r="AJ7" s="18">
        <v>1694</v>
      </c>
      <c r="AL7" s="10" t="s">
        <v>2913</v>
      </c>
      <c r="AM7" s="9">
        <v>0.153</v>
      </c>
      <c r="AN7" s="9" t="s">
        <v>1896</v>
      </c>
      <c r="AO7" s="9">
        <v>0.26</v>
      </c>
      <c r="AP7" s="9" t="s">
        <v>2045</v>
      </c>
      <c r="AQ7" s="9" t="s">
        <v>2044</v>
      </c>
      <c r="AR7" s="9">
        <v>9.0999999999999998E-2</v>
      </c>
      <c r="AS7" s="9">
        <v>0.13100000000000001</v>
      </c>
      <c r="AT7" s="9">
        <v>5.0999999999999997E-2</v>
      </c>
      <c r="AU7" s="9">
        <v>0.14299999999999999</v>
      </c>
      <c r="AV7" s="9" t="s">
        <v>2856</v>
      </c>
      <c r="AW7" s="9">
        <v>0.19400000000000001</v>
      </c>
      <c r="AX7" s="9">
        <v>0.25900000000000001</v>
      </c>
      <c r="AY7" s="9">
        <v>0.2</v>
      </c>
      <c r="AZ7" s="10" t="s">
        <v>2839</v>
      </c>
      <c r="BA7" s="9">
        <v>0.62</v>
      </c>
      <c r="BB7" s="9">
        <v>-0.55000000000000004</v>
      </c>
      <c r="BC7" s="9">
        <v>0.3</v>
      </c>
      <c r="BD7" s="9" t="s">
        <v>2795</v>
      </c>
      <c r="BE7" s="9" t="s">
        <v>2794</v>
      </c>
      <c r="BF7" t="s">
        <v>2767</v>
      </c>
      <c r="BG7" s="14" t="s">
        <v>2634</v>
      </c>
      <c r="BH7" s="14" t="s">
        <v>2588</v>
      </c>
      <c r="BI7" s="14" t="s">
        <v>2133</v>
      </c>
      <c r="BJ7" s="14" t="s">
        <v>2766</v>
      </c>
      <c r="BK7" s="9">
        <v>0.45</v>
      </c>
      <c r="BP7" s="9">
        <v>-4.2999999999999997E-2</v>
      </c>
      <c r="BR7" s="9">
        <v>0.4</v>
      </c>
      <c r="BS7" s="9">
        <v>0.43</v>
      </c>
      <c r="BT7" t="s">
        <v>222</v>
      </c>
    </row>
    <row r="8" spans="1:80" x14ac:dyDescent="0.25">
      <c r="A8">
        <f t="shared" si="1"/>
        <v>6</v>
      </c>
      <c r="B8" s="2" t="s">
        <v>109</v>
      </c>
      <c r="C8" t="s">
        <v>1488</v>
      </c>
      <c r="D8" s="3">
        <v>63000</v>
      </c>
      <c r="K8" s="4"/>
      <c r="L8" s="4"/>
      <c r="M8" s="4"/>
      <c r="N8" s="4"/>
      <c r="O8" s="4"/>
      <c r="P8" s="4"/>
      <c r="Q8" s="40">
        <v>39659.032698000003</v>
      </c>
      <c r="R8" s="4">
        <v>40924.384465000003</v>
      </c>
      <c r="S8" s="40">
        <v>44020.529631999998</v>
      </c>
      <c r="T8" s="4">
        <v>42413.899286</v>
      </c>
      <c r="U8" s="6" t="s">
        <v>1599</v>
      </c>
      <c r="Z8" s="18">
        <v>82</v>
      </c>
      <c r="AI8" s="18">
        <v>8</v>
      </c>
      <c r="AJ8" s="18">
        <v>3</v>
      </c>
      <c r="AL8" s="9">
        <v>0.15</v>
      </c>
      <c r="AM8" s="9">
        <v>0.33</v>
      </c>
      <c r="AN8" s="9">
        <v>-0.18</v>
      </c>
      <c r="AO8" s="9">
        <v>0.25</v>
      </c>
      <c r="AP8" s="9">
        <v>0.14000000000000001</v>
      </c>
      <c r="AQ8" t="s">
        <v>2041</v>
      </c>
      <c r="AS8" s="9">
        <v>0.28199999999999997</v>
      </c>
      <c r="AT8" s="9">
        <v>0.13500000000000001</v>
      </c>
      <c r="AU8" s="9">
        <v>0.14399999999999999</v>
      </c>
      <c r="AV8" s="9">
        <v>8.1000000000000003E-2</v>
      </c>
      <c r="AW8" s="9">
        <v>0.47220000000000001</v>
      </c>
      <c r="AX8" s="9">
        <v>0.29520000000000002</v>
      </c>
      <c r="BA8" s="9"/>
      <c r="BB8" s="9">
        <v>-0.43</v>
      </c>
      <c r="BC8" s="9"/>
      <c r="BD8" s="9" t="s">
        <v>2789</v>
      </c>
      <c r="BE8" s="9" t="s">
        <v>2788</v>
      </c>
    </row>
    <row r="9" spans="1:80" x14ac:dyDescent="0.25">
      <c r="A9">
        <f t="shared" si="1"/>
        <v>7</v>
      </c>
      <c r="B9" s="2" t="s">
        <v>37</v>
      </c>
      <c r="C9" t="s">
        <v>63</v>
      </c>
      <c r="D9" s="3">
        <v>53715</v>
      </c>
      <c r="K9" s="4">
        <v>83732.203999999998</v>
      </c>
      <c r="L9" s="4">
        <v>90480.696330999999</v>
      </c>
      <c r="M9" s="4">
        <v>62099.712425999998</v>
      </c>
      <c r="N9" s="4">
        <v>64128.514438999999</v>
      </c>
      <c r="O9" s="4">
        <v>60482.703659999999</v>
      </c>
      <c r="P9" s="4">
        <v>69304.616848999998</v>
      </c>
      <c r="Q9" s="4">
        <v>77979.075381000002</v>
      </c>
      <c r="R9" s="4">
        <v>71284.052282000004</v>
      </c>
      <c r="S9" s="4">
        <v>76477.908186000001</v>
      </c>
      <c r="T9" s="4">
        <v>90904.369317000004</v>
      </c>
      <c r="U9" s="6" t="s">
        <v>97</v>
      </c>
      <c r="V9" s="6" t="s">
        <v>216</v>
      </c>
      <c r="W9" s="8" t="s">
        <v>221</v>
      </c>
      <c r="X9">
        <v>1988</v>
      </c>
      <c r="Z9" s="18">
        <v>2500</v>
      </c>
      <c r="AA9" s="47">
        <v>0.13</v>
      </c>
      <c r="AG9" t="s">
        <v>2845</v>
      </c>
      <c r="AH9" t="s">
        <v>1491</v>
      </c>
      <c r="AI9" s="18">
        <v>1377</v>
      </c>
      <c r="AJ9" s="18">
        <v>561</v>
      </c>
      <c r="AL9" s="14" t="s">
        <v>2908</v>
      </c>
      <c r="AM9" s="9">
        <v>9.6000000000000002E-2</v>
      </c>
      <c r="AN9" s="14" t="s">
        <v>1899</v>
      </c>
      <c r="AO9" s="9">
        <v>0.185</v>
      </c>
      <c r="AP9" s="9">
        <v>0.19</v>
      </c>
      <c r="AQ9" s="9">
        <v>0.1</v>
      </c>
      <c r="AR9" s="9">
        <v>0.11</v>
      </c>
      <c r="AS9" s="9">
        <v>0.1061</v>
      </c>
      <c r="AU9" s="9">
        <v>0.14299999999999999</v>
      </c>
      <c r="AV9" s="9">
        <v>0.16400000000000001</v>
      </c>
      <c r="AZ9" s="50" t="s">
        <v>2846</v>
      </c>
      <c r="BA9" s="10" t="s">
        <v>2825</v>
      </c>
      <c r="BB9" s="9"/>
      <c r="BC9" s="9" t="s">
        <v>2316</v>
      </c>
      <c r="BD9" s="9"/>
      <c r="BE9" s="9" t="s">
        <v>2761</v>
      </c>
      <c r="BF9" t="s">
        <v>2672</v>
      </c>
      <c r="BI9" s="14" t="s">
        <v>2335</v>
      </c>
      <c r="BJ9" s="36">
        <v>0.60299999999999998</v>
      </c>
      <c r="BV9" t="s">
        <v>222</v>
      </c>
      <c r="BW9" s="46"/>
      <c r="BX9" s="46"/>
      <c r="BY9" s="46"/>
      <c r="BZ9" s="46"/>
      <c r="CA9" s="46"/>
    </row>
    <row r="10" spans="1:80" x14ac:dyDescent="0.25">
      <c r="A10">
        <f t="shared" si="1"/>
        <v>8</v>
      </c>
      <c r="B10" s="2" t="s">
        <v>25</v>
      </c>
      <c r="C10" t="s">
        <v>2939</v>
      </c>
      <c r="D10" s="3">
        <v>60000</v>
      </c>
      <c r="K10" s="4">
        <v>34543.49</v>
      </c>
      <c r="L10" s="4">
        <v>35814.526356000002</v>
      </c>
      <c r="M10" s="4"/>
      <c r="N10" s="4"/>
      <c r="O10" s="4"/>
      <c r="P10" s="4">
        <v>42709.667178000003</v>
      </c>
      <c r="Q10" s="4">
        <f>43170.283873+42610.965422</f>
        <v>85781.249295000001</v>
      </c>
      <c r="R10" s="4">
        <f>44847.616123+43901.317697</f>
        <v>88748.933820000006</v>
      </c>
      <c r="S10" s="40">
        <f>45634.123578+42686.586862</f>
        <v>88320.710439999995</v>
      </c>
      <c r="T10" s="4">
        <v>45853.263483000002</v>
      </c>
      <c r="U10" s="6" t="s">
        <v>97</v>
      </c>
      <c r="V10" s="6" t="s">
        <v>1593</v>
      </c>
      <c r="W10" s="8" t="s">
        <v>221</v>
      </c>
      <c r="X10">
        <v>2001</v>
      </c>
      <c r="Z10" s="18">
        <v>2100</v>
      </c>
      <c r="AA10" s="47" t="s">
        <v>2028</v>
      </c>
      <c r="AB10" s="52" t="s">
        <v>2029</v>
      </c>
      <c r="AC10" s="7">
        <v>3</v>
      </c>
      <c r="AG10" t="s">
        <v>2947</v>
      </c>
      <c r="AI10" s="18">
        <v>768</v>
      </c>
      <c r="AJ10" s="18">
        <v>255</v>
      </c>
      <c r="AL10" s="14" t="s">
        <v>2941</v>
      </c>
      <c r="AM10" s="10" t="s">
        <v>2942</v>
      </c>
      <c r="AN10" s="1" t="s">
        <v>1897</v>
      </c>
      <c r="AO10" s="9">
        <v>0.24</v>
      </c>
      <c r="AP10" s="9">
        <v>0.06</v>
      </c>
      <c r="AQ10" s="9">
        <v>7.0000000000000007E-2</v>
      </c>
      <c r="AS10" t="s">
        <v>2886</v>
      </c>
      <c r="AU10" s="9" t="s">
        <v>2025</v>
      </c>
      <c r="AV10" s="9" t="s">
        <v>2024</v>
      </c>
      <c r="AW10" t="s">
        <v>2026</v>
      </c>
      <c r="AX10" t="s">
        <v>2027</v>
      </c>
      <c r="BA10" s="9" t="s">
        <v>2523</v>
      </c>
      <c r="BB10" s="9"/>
      <c r="BC10" s="9"/>
      <c r="BD10" s="9"/>
      <c r="BE10" s="9"/>
      <c r="BI10" t="s">
        <v>1895</v>
      </c>
      <c r="BJ10" s="46"/>
      <c r="BK10" s="46"/>
      <c r="BL10" s="46"/>
      <c r="BM10" s="46"/>
      <c r="BN10" s="46"/>
      <c r="BO10" s="46"/>
      <c r="BP10" s="46"/>
      <c r="BQ10" s="46"/>
      <c r="BR10" s="46"/>
      <c r="BS10" s="46"/>
      <c r="BT10" s="46"/>
      <c r="BU10" s="46"/>
      <c r="BV10" s="46"/>
      <c r="BW10" s="46"/>
      <c r="BX10" s="46"/>
      <c r="BY10" s="46"/>
      <c r="BZ10" s="46"/>
      <c r="CA10" s="46"/>
    </row>
    <row r="11" spans="1:80" x14ac:dyDescent="0.25">
      <c r="A11">
        <f t="shared" si="1"/>
        <v>9</v>
      </c>
      <c r="B11" s="2" t="s">
        <v>111</v>
      </c>
      <c r="C11" t="s">
        <v>2861</v>
      </c>
      <c r="D11" s="3">
        <v>40300</v>
      </c>
      <c r="P11" s="4">
        <v>14279.722572000001</v>
      </c>
      <c r="Q11" s="4">
        <v>22113.553148999999</v>
      </c>
      <c r="R11" s="4">
        <v>14830.040267</v>
      </c>
      <c r="S11" s="3">
        <v>20437.086147999999</v>
      </c>
      <c r="T11" s="4">
        <v>19718.298022999999</v>
      </c>
      <c r="U11" s="6" t="s">
        <v>95</v>
      </c>
      <c r="V11" s="6" t="s">
        <v>2162</v>
      </c>
      <c r="W11" s="8" t="s">
        <v>2163</v>
      </c>
      <c r="Y11" s="14" t="s">
        <v>2129</v>
      </c>
      <c r="Z11" s="18">
        <v>230</v>
      </c>
      <c r="AG11" t="s">
        <v>2862</v>
      </c>
      <c r="AH11" t="s">
        <v>2165</v>
      </c>
      <c r="AI11" s="18">
        <v>230</v>
      </c>
      <c r="AJ11" s="18">
        <v>130</v>
      </c>
      <c r="BC11" s="36">
        <v>0.14799999999999999</v>
      </c>
      <c r="BE11" s="9">
        <v>0.14000000000000001</v>
      </c>
      <c r="BF11" t="s">
        <v>2757</v>
      </c>
      <c r="BG11" s="14" t="s">
        <v>2657</v>
      </c>
      <c r="BH11" s="14" t="s">
        <v>2609</v>
      </c>
      <c r="BI11" s="14" t="s">
        <v>2164</v>
      </c>
      <c r="BO11" s="9">
        <v>0.22</v>
      </c>
      <c r="BQ11" t="s">
        <v>2268</v>
      </c>
      <c r="BU11" t="s">
        <v>222</v>
      </c>
      <c r="BX11" t="s">
        <v>222</v>
      </c>
    </row>
    <row r="12" spans="1:80" x14ac:dyDescent="0.25">
      <c r="A12">
        <f t="shared" si="1"/>
        <v>10</v>
      </c>
      <c r="B12" s="2" t="s">
        <v>1</v>
      </c>
      <c r="C12" t="s">
        <v>2930</v>
      </c>
      <c r="D12" s="3">
        <v>39200</v>
      </c>
      <c r="I12" s="4">
        <v>85212.489000000001</v>
      </c>
      <c r="J12" s="4">
        <v>84467.48</v>
      </c>
      <c r="K12" s="4">
        <v>70684.472999999998</v>
      </c>
      <c r="L12" s="4">
        <v>73088.126000000004</v>
      </c>
      <c r="M12" s="4">
        <v>75351.763000000006</v>
      </c>
      <c r="N12" s="4">
        <v>69385.941999999995</v>
      </c>
      <c r="O12" s="4">
        <v>58653.432999999997</v>
      </c>
      <c r="P12" s="4">
        <v>64606.784</v>
      </c>
      <c r="Q12" s="4">
        <v>63623.686999999998</v>
      </c>
      <c r="R12" s="4">
        <v>58958.710563000001</v>
      </c>
      <c r="S12" s="4">
        <v>66497.322887999995</v>
      </c>
      <c r="T12" s="4">
        <v>67553.776836999998</v>
      </c>
      <c r="U12" s="6" t="s">
        <v>97</v>
      </c>
      <c r="V12" s="6" t="s">
        <v>216</v>
      </c>
      <c r="W12" s="8" t="s">
        <v>221</v>
      </c>
      <c r="X12">
        <v>1988</v>
      </c>
      <c r="Y12" t="s">
        <v>2046</v>
      </c>
      <c r="Z12" s="18">
        <v>310</v>
      </c>
      <c r="AA12" s="47">
        <v>9.3100000000000002E-2</v>
      </c>
      <c r="AB12" s="51" t="s">
        <v>1963</v>
      </c>
      <c r="AC12" s="7">
        <f>12+7+4</f>
        <v>23</v>
      </c>
      <c r="AG12" t="s">
        <v>2940</v>
      </c>
      <c r="AI12" s="18">
        <v>90</v>
      </c>
      <c r="AJ12" s="18">
        <v>63</v>
      </c>
      <c r="AL12" t="s">
        <v>1961</v>
      </c>
      <c r="AM12" t="s">
        <v>1962</v>
      </c>
      <c r="AN12" s="14" t="s">
        <v>2945</v>
      </c>
      <c r="AO12" s="14" t="s">
        <v>2946</v>
      </c>
      <c r="AP12" s="14" t="s">
        <v>2048</v>
      </c>
      <c r="AQ12" s="14" t="s">
        <v>2047</v>
      </c>
      <c r="AR12" s="14" t="s">
        <v>1893</v>
      </c>
      <c r="AS12" s="14" t="s">
        <v>1875</v>
      </c>
      <c r="AT12" s="14" t="s">
        <v>1876</v>
      </c>
      <c r="AU12" t="s">
        <v>1892</v>
      </c>
      <c r="AV12" t="s">
        <v>1877</v>
      </c>
      <c r="AW12" t="s">
        <v>1878</v>
      </c>
      <c r="AX12" t="s">
        <v>1894</v>
      </c>
      <c r="AY12" t="s">
        <v>2018</v>
      </c>
      <c r="AZ12" s="10" t="s">
        <v>2830</v>
      </c>
      <c r="BA12" s="9" t="s">
        <v>2379</v>
      </c>
      <c r="BB12" s="14" t="s">
        <v>1879</v>
      </c>
      <c r="BC12" s="14" t="s">
        <v>2049</v>
      </c>
      <c r="BD12" t="s">
        <v>2831</v>
      </c>
      <c r="BE12" t="s">
        <v>2793</v>
      </c>
      <c r="BF12" s="10" t="s">
        <v>2630</v>
      </c>
      <c r="BG12" t="s">
        <v>2629</v>
      </c>
      <c r="BH12" t="s">
        <v>2574</v>
      </c>
      <c r="BI12" t="s">
        <v>2132</v>
      </c>
      <c r="BJ12" t="s">
        <v>2337</v>
      </c>
      <c r="BK12" t="s">
        <v>1880</v>
      </c>
      <c r="BL12" t="s">
        <v>1881</v>
      </c>
      <c r="BM12" t="s">
        <v>1882</v>
      </c>
      <c r="BN12" t="s">
        <v>1883</v>
      </c>
      <c r="BO12" t="s">
        <v>1884</v>
      </c>
      <c r="BP12" t="s">
        <v>1885</v>
      </c>
      <c r="BQ12" t="s">
        <v>1888</v>
      </c>
      <c r="BR12" t="s">
        <v>1886</v>
      </c>
      <c r="BS12" t="s">
        <v>1887</v>
      </c>
      <c r="BT12" t="s">
        <v>1889</v>
      </c>
      <c r="BU12" t="s">
        <v>1890</v>
      </c>
      <c r="BV12" t="s">
        <v>1891</v>
      </c>
    </row>
    <row r="13" spans="1:80" x14ac:dyDescent="0.25">
      <c r="A13">
        <f t="shared" si="1"/>
        <v>11</v>
      </c>
      <c r="B13" s="2" t="s">
        <v>103</v>
      </c>
      <c r="C13" t="s">
        <v>1914</v>
      </c>
      <c r="D13" s="3">
        <v>38800</v>
      </c>
      <c r="M13" s="4">
        <v>58730.562142000002</v>
      </c>
      <c r="N13" s="4">
        <v>47045.929705000002</v>
      </c>
      <c r="O13" s="4">
        <v>41021.421000000002</v>
      </c>
      <c r="P13" s="4">
        <v>53127.589083999999</v>
      </c>
      <c r="Q13" s="4">
        <v>58730.562142000002</v>
      </c>
      <c r="R13" s="4">
        <v>65239.904583000003</v>
      </c>
      <c r="S13" s="4">
        <v>72440.303948000001</v>
      </c>
      <c r="T13" s="4">
        <v>77626.306689999998</v>
      </c>
      <c r="U13" s="6" t="s">
        <v>97</v>
      </c>
      <c r="V13" s="6" t="s">
        <v>935</v>
      </c>
      <c r="W13" s="8" t="s">
        <v>1471</v>
      </c>
      <c r="X13">
        <v>1998</v>
      </c>
      <c r="Y13" s="14" t="s">
        <v>2615</v>
      </c>
      <c r="Z13" s="18">
        <v>573</v>
      </c>
      <c r="AI13" s="18">
        <v>519</v>
      </c>
      <c r="AJ13" s="18">
        <v>105</v>
      </c>
      <c r="AL13" s="36" t="s">
        <v>2907</v>
      </c>
      <c r="AM13" s="14" t="s">
        <v>2918</v>
      </c>
      <c r="AN13" s="14" t="s">
        <v>1923</v>
      </c>
      <c r="AU13" s="9">
        <v>0.14699999999999999</v>
      </c>
      <c r="AV13" s="9">
        <v>5.8000000000000003E-2</v>
      </c>
      <c r="AX13" s="14" t="s">
        <v>2327</v>
      </c>
      <c r="BD13" t="s">
        <v>2323</v>
      </c>
      <c r="BE13" t="s">
        <v>2322</v>
      </c>
      <c r="BF13" t="s">
        <v>2673</v>
      </c>
      <c r="BG13" s="14" t="s">
        <v>2670</v>
      </c>
      <c r="BH13" s="14" t="s">
        <v>2614</v>
      </c>
      <c r="BM13" s="46"/>
      <c r="BN13" s="46"/>
      <c r="BO13" s="46"/>
      <c r="BP13" s="46"/>
      <c r="BQ13" s="46"/>
      <c r="BR13" s="46"/>
      <c r="BS13" s="46"/>
      <c r="BT13" s="46"/>
      <c r="BU13" s="46"/>
      <c r="BV13" s="46"/>
      <c r="BW13" s="46"/>
      <c r="BX13" s="46"/>
      <c r="BY13" s="46"/>
      <c r="BZ13" s="46"/>
      <c r="CA13" s="46"/>
    </row>
    <row r="14" spans="1:80" x14ac:dyDescent="0.25">
      <c r="A14">
        <f t="shared" si="1"/>
        <v>12</v>
      </c>
      <c r="B14" s="2" t="s">
        <v>3</v>
      </c>
      <c r="C14" t="s">
        <v>17</v>
      </c>
      <c r="D14" s="3">
        <v>35200</v>
      </c>
      <c r="I14" s="4">
        <v>25186.491999999998</v>
      </c>
      <c r="J14" s="4">
        <v>23701.54</v>
      </c>
      <c r="K14" s="4">
        <v>25036.834999999999</v>
      </c>
      <c r="L14" s="4">
        <v>29421.581450000001</v>
      </c>
      <c r="M14" s="4"/>
      <c r="N14" s="4"/>
      <c r="O14" s="4"/>
      <c r="P14" s="4">
        <v>33034.349569999998</v>
      </c>
      <c r="Q14" s="4">
        <v>41259.345416999997</v>
      </c>
      <c r="R14" s="4">
        <v>30941.3</v>
      </c>
      <c r="S14" s="40">
        <v>39343.262001000003</v>
      </c>
      <c r="T14" s="4"/>
      <c r="U14" s="6" t="s">
        <v>95</v>
      </c>
      <c r="V14" s="6" t="s">
        <v>213</v>
      </c>
      <c r="W14" s="8" t="s">
        <v>219</v>
      </c>
      <c r="X14">
        <v>1992</v>
      </c>
      <c r="Z14" s="18">
        <v>2800</v>
      </c>
      <c r="AG14" t="s">
        <v>2904</v>
      </c>
      <c r="AI14" s="18">
        <v>2488</v>
      </c>
      <c r="AJ14" s="18">
        <v>1267</v>
      </c>
      <c r="AL14" s="9">
        <v>0.19</v>
      </c>
      <c r="AM14" s="9">
        <v>0.106</v>
      </c>
      <c r="AN14" s="9">
        <v>0.10249999999999999</v>
      </c>
      <c r="AO14" s="9">
        <v>0.09</v>
      </c>
      <c r="AP14" s="9">
        <v>0.16</v>
      </c>
      <c r="AQ14" s="9">
        <v>0.15</v>
      </c>
      <c r="AR14" s="9">
        <v>0.01</v>
      </c>
      <c r="AW14" s="9"/>
      <c r="AX14" s="9">
        <v>0.14000000000000001</v>
      </c>
      <c r="AY14" s="9">
        <v>0.08</v>
      </c>
      <c r="AZ14" t="s">
        <v>2834</v>
      </c>
      <c r="BA14" s="9"/>
      <c r="BB14" s="9">
        <v>-0.18529999999999999</v>
      </c>
      <c r="BC14" s="9">
        <v>0.13</v>
      </c>
      <c r="BD14" s="9">
        <v>0.34</v>
      </c>
      <c r="BE14" s="9">
        <v>0.18</v>
      </c>
      <c r="BF14" s="9" t="s">
        <v>2676</v>
      </c>
      <c r="BG14" s="9">
        <v>0.18</v>
      </c>
      <c r="BH14" t="s">
        <v>2590</v>
      </c>
      <c r="BI14" t="s">
        <v>2125</v>
      </c>
      <c r="BP14" s="10">
        <v>0.48</v>
      </c>
      <c r="BR14" t="s">
        <v>222</v>
      </c>
      <c r="BS14" s="46"/>
      <c r="BT14" s="46"/>
      <c r="BU14" s="46"/>
      <c r="BV14" s="46"/>
      <c r="BW14" s="46"/>
      <c r="BX14" s="46"/>
      <c r="BY14" s="46"/>
      <c r="BZ14" s="46"/>
      <c r="CA14" s="46"/>
    </row>
    <row r="15" spans="1:80" x14ac:dyDescent="0.25">
      <c r="A15">
        <f t="shared" si="1"/>
        <v>13</v>
      </c>
      <c r="B15" s="2" t="s">
        <v>108</v>
      </c>
      <c r="C15" t="s">
        <v>1954</v>
      </c>
      <c r="D15" s="3">
        <v>35171</v>
      </c>
      <c r="P15" s="4">
        <v>52354.782071000001</v>
      </c>
      <c r="Q15" s="4">
        <v>65665.817502999998</v>
      </c>
      <c r="R15" s="4">
        <v>70720.779125999994</v>
      </c>
      <c r="S15" s="4">
        <v>77020.914902000004</v>
      </c>
      <c r="T15" s="4">
        <v>83182.349757999997</v>
      </c>
      <c r="U15" s="6" t="s">
        <v>95</v>
      </c>
      <c r="V15" s="6" t="s">
        <v>1469</v>
      </c>
      <c r="W15" s="8" t="s">
        <v>670</v>
      </c>
      <c r="X15">
        <v>1997</v>
      </c>
      <c r="Z15" s="18">
        <v>650</v>
      </c>
      <c r="AB15" s="8" t="s">
        <v>1944</v>
      </c>
      <c r="AC15" s="7" t="s">
        <v>1945</v>
      </c>
      <c r="AD15" s="14" t="s">
        <v>1943</v>
      </c>
      <c r="AE15" t="s">
        <v>713</v>
      </c>
      <c r="AF15" t="s">
        <v>712</v>
      </c>
      <c r="AH15" t="s">
        <v>1480</v>
      </c>
      <c r="AI15" s="18">
        <v>383</v>
      </c>
      <c r="AJ15" s="18">
        <v>286</v>
      </c>
      <c r="AK15" s="38" t="s">
        <v>2686</v>
      </c>
      <c r="AL15" s="14" t="s">
        <v>2912</v>
      </c>
      <c r="AM15" s="50" t="s">
        <v>1946</v>
      </c>
      <c r="AN15" s="14" t="s">
        <v>1947</v>
      </c>
      <c r="AO15" s="14" t="s">
        <v>1948</v>
      </c>
      <c r="AP15" s="14" t="s">
        <v>1949</v>
      </c>
      <c r="AQ15" s="14" t="s">
        <v>1950</v>
      </c>
      <c r="AR15" s="14" t="s">
        <v>1996</v>
      </c>
      <c r="AS15" s="14" t="s">
        <v>1997</v>
      </c>
      <c r="AT15" s="14" t="s">
        <v>1998</v>
      </c>
      <c r="AU15" s="14" t="s">
        <v>1999</v>
      </c>
      <c r="AV15" s="14" t="s">
        <v>2000</v>
      </c>
      <c r="AW15" s="14" t="s">
        <v>2001</v>
      </c>
      <c r="AX15" s="36">
        <v>6.83E-2</v>
      </c>
      <c r="AY15" s="14" t="s">
        <v>2017</v>
      </c>
    </row>
    <row r="16" spans="1:80" x14ac:dyDescent="0.25">
      <c r="A16">
        <f t="shared" si="1"/>
        <v>14</v>
      </c>
      <c r="B16" s="2" t="s">
        <v>64</v>
      </c>
      <c r="C16" t="s">
        <v>676</v>
      </c>
      <c r="D16" s="3" t="s">
        <v>1915</v>
      </c>
      <c r="I16" s="4">
        <v>578333.429</v>
      </c>
      <c r="J16" s="4">
        <v>404340.20899999997</v>
      </c>
      <c r="K16" s="4">
        <v>386869.95699999999</v>
      </c>
      <c r="L16" s="4">
        <v>395433.01293099998</v>
      </c>
      <c r="M16" s="4">
        <v>470246.70751500002</v>
      </c>
      <c r="N16" s="4">
        <v>491756.19189800002</v>
      </c>
      <c r="O16" s="4">
        <v>480508.32573799998</v>
      </c>
      <c r="P16" s="4">
        <v>59033.251529000001</v>
      </c>
      <c r="Q16" s="4">
        <v>66974.143532999995</v>
      </c>
      <c r="R16" s="4">
        <v>57447.307000000001</v>
      </c>
      <c r="S16" s="4">
        <v>59001.578174000002</v>
      </c>
      <c r="T16" s="4">
        <v>66935.152327000003</v>
      </c>
      <c r="U16" s="6" t="s">
        <v>97</v>
      </c>
      <c r="V16" s="6" t="s">
        <v>1125</v>
      </c>
      <c r="W16" s="8" t="s">
        <v>661</v>
      </c>
      <c r="Y16" s="1" t="s">
        <v>233</v>
      </c>
      <c r="Z16" s="18">
        <v>3000</v>
      </c>
      <c r="AI16" s="18">
        <v>1762</v>
      </c>
      <c r="AJ16" s="18">
        <v>713</v>
      </c>
    </row>
    <row r="17" spans="1:79" x14ac:dyDescent="0.25">
      <c r="A17">
        <f t="shared" si="1"/>
        <v>15</v>
      </c>
      <c r="B17" s="2" t="s">
        <v>59</v>
      </c>
      <c r="C17" t="s">
        <v>234</v>
      </c>
      <c r="D17" s="3">
        <v>21300</v>
      </c>
      <c r="K17" s="4">
        <v>228575.18799999999</v>
      </c>
      <c r="L17" s="4">
        <v>216242.23104099999</v>
      </c>
      <c r="M17" s="4">
        <v>244158.51699500001</v>
      </c>
      <c r="N17" s="4">
        <v>297289.67</v>
      </c>
      <c r="O17" s="4">
        <v>309412.15297</v>
      </c>
      <c r="P17" s="4">
        <v>82241.397056000002</v>
      </c>
      <c r="Q17" s="4">
        <v>77298.736441000001</v>
      </c>
      <c r="R17" s="4">
        <v>92120.731828999997</v>
      </c>
      <c r="S17" s="4">
        <v>62065.156290999999</v>
      </c>
      <c r="T17" s="4">
        <v>62065.156290999999</v>
      </c>
      <c r="U17" s="6" t="s">
        <v>97</v>
      </c>
      <c r="V17" s="6" t="s">
        <v>1470</v>
      </c>
      <c r="W17" s="8" t="s">
        <v>221</v>
      </c>
      <c r="X17">
        <v>2000</v>
      </c>
      <c r="Y17" s="1" t="s">
        <v>233</v>
      </c>
      <c r="Z17" s="18">
        <v>2600</v>
      </c>
      <c r="AG17" t="s">
        <v>2922</v>
      </c>
      <c r="AI17" s="18">
        <v>2083</v>
      </c>
      <c r="AJ17" s="18">
        <v>1302</v>
      </c>
      <c r="AL17" s="1" t="s">
        <v>2921</v>
      </c>
      <c r="AM17" s="1" t="s">
        <v>2919</v>
      </c>
      <c r="AO17" s="1" t="s">
        <v>2919</v>
      </c>
      <c r="AP17" s="1" t="s">
        <v>2933</v>
      </c>
      <c r="AQ17" s="1" t="s">
        <v>2934</v>
      </c>
      <c r="AS17" s="14" t="s">
        <v>2876</v>
      </c>
    </row>
    <row r="18" spans="1:79" x14ac:dyDescent="0.25">
      <c r="A18">
        <f t="shared" si="1"/>
        <v>16</v>
      </c>
      <c r="B18" s="2" t="s">
        <v>105</v>
      </c>
      <c r="C18" t="s">
        <v>650</v>
      </c>
      <c r="D18" s="3">
        <v>22000</v>
      </c>
      <c r="P18" s="4">
        <v>4585.0370000000003</v>
      </c>
      <c r="Q18" s="4">
        <v>3650.7759999999998</v>
      </c>
      <c r="R18" s="4">
        <v>3634.1010000000001</v>
      </c>
      <c r="S18" s="4"/>
      <c r="T18" s="4">
        <v>3434.5259999999998</v>
      </c>
      <c r="U18" s="6" t="s">
        <v>95</v>
      </c>
      <c r="V18" s="6" t="s">
        <v>218</v>
      </c>
      <c r="X18">
        <v>1982</v>
      </c>
      <c r="AG18" t="s">
        <v>2852</v>
      </c>
      <c r="AI18" s="18">
        <v>10</v>
      </c>
      <c r="AJ18" s="18">
        <v>1</v>
      </c>
      <c r="AZ18" s="36">
        <v>0.13400000000000001</v>
      </c>
      <c r="BC18" s="9">
        <v>0.53</v>
      </c>
      <c r="BG18" s="14" t="s">
        <v>2662</v>
      </c>
    </row>
    <row r="19" spans="1:79" x14ac:dyDescent="0.25">
      <c r="A19">
        <f t="shared" si="1"/>
        <v>17</v>
      </c>
      <c r="B19" t="s">
        <v>115</v>
      </c>
      <c r="C19" t="s">
        <v>1907</v>
      </c>
      <c r="D19" s="3">
        <v>18000</v>
      </c>
      <c r="R19" s="3">
        <v>4598.7556569999997</v>
      </c>
      <c r="U19" s="6" t="s">
        <v>99</v>
      </c>
      <c r="V19" s="6" t="s">
        <v>1908</v>
      </c>
      <c r="Y19" s="56" t="s">
        <v>2602</v>
      </c>
      <c r="AK19" s="38" t="s">
        <v>2359</v>
      </c>
      <c r="AN19" t="s">
        <v>1909</v>
      </c>
      <c r="AO19" s="9">
        <v>0.04</v>
      </c>
      <c r="AP19" s="9">
        <v>0.03</v>
      </c>
      <c r="BA19" s="14" t="s">
        <v>2517</v>
      </c>
      <c r="BG19" s="14" t="s">
        <v>2658</v>
      </c>
      <c r="BH19" s="14" t="s">
        <v>2601</v>
      </c>
      <c r="BI19" s="14" t="s">
        <v>2600</v>
      </c>
    </row>
    <row r="20" spans="1:79" x14ac:dyDescent="0.25">
      <c r="A20">
        <f t="shared" si="1"/>
        <v>18</v>
      </c>
      <c r="B20" s="2" t="s">
        <v>116</v>
      </c>
      <c r="D20" s="3">
        <v>12443</v>
      </c>
      <c r="P20" s="4">
        <v>11407.010893999999</v>
      </c>
      <c r="Q20" s="4">
        <v>18034.949485000001</v>
      </c>
      <c r="R20" s="4">
        <v>13305.426729999999</v>
      </c>
      <c r="S20" s="3">
        <v>24721.213694999999</v>
      </c>
      <c r="T20" s="4"/>
      <c r="U20" s="6" t="s">
        <v>2349</v>
      </c>
      <c r="W20" s="8" t="s">
        <v>2343</v>
      </c>
      <c r="Z20" s="18">
        <v>241</v>
      </c>
      <c r="AA20" s="47">
        <v>8.5599999999999996E-2</v>
      </c>
      <c r="AB20" s="47">
        <v>-6.1100000000000002E-2</v>
      </c>
      <c r="AC20" s="7">
        <v>21</v>
      </c>
      <c r="AI20" s="18">
        <v>286</v>
      </c>
      <c r="AJ20" s="18">
        <v>238</v>
      </c>
      <c r="AL20" s="14" t="s">
        <v>1979</v>
      </c>
      <c r="AM20" s="9">
        <v>4.7100000000000003E-2</v>
      </c>
      <c r="AN20" s="9">
        <v>3.2199999999999999E-2</v>
      </c>
      <c r="AO20" s="9">
        <v>0.13500000000000001</v>
      </c>
      <c r="AP20" s="9">
        <v>0.16309999999999999</v>
      </c>
      <c r="AQ20" s="9">
        <v>8.0199999999999994E-2</v>
      </c>
      <c r="AU20" s="14" t="s">
        <v>2023</v>
      </c>
      <c r="AV20" s="9">
        <v>-2.0799999999999999E-2</v>
      </c>
      <c r="AW20" s="9">
        <v>7.9000000000000001E-2</v>
      </c>
      <c r="AX20" s="9">
        <v>0.1137</v>
      </c>
      <c r="AY20" s="9"/>
      <c r="AZ20" s="9">
        <v>8.4500000000000006E-2</v>
      </c>
      <c r="BA20" t="s">
        <v>2503</v>
      </c>
    </row>
    <row r="21" spans="1:79" x14ac:dyDescent="0.25">
      <c r="A21">
        <f t="shared" si="1"/>
        <v>19</v>
      </c>
      <c r="B21" s="2" t="s">
        <v>1292</v>
      </c>
      <c r="P21" s="4">
        <v>51374.067665000002</v>
      </c>
      <c r="Q21" s="4">
        <v>63076.372130999996</v>
      </c>
      <c r="R21" s="4">
        <v>54159.039364999997</v>
      </c>
      <c r="S21" s="40">
        <v>67845.624450000003</v>
      </c>
      <c r="T21" s="4">
        <v>76267.152637000007</v>
      </c>
      <c r="U21" s="6" t="s">
        <v>97</v>
      </c>
      <c r="V21" s="6" t="s">
        <v>216</v>
      </c>
      <c r="Z21" s="18">
        <v>1100</v>
      </c>
      <c r="AI21" s="18">
        <v>278</v>
      </c>
      <c r="AJ21" s="18">
        <v>239</v>
      </c>
    </row>
    <row r="22" spans="1:79" x14ac:dyDescent="0.25">
      <c r="A22">
        <f t="shared" si="1"/>
        <v>20</v>
      </c>
      <c r="B22" s="2" t="s">
        <v>6</v>
      </c>
      <c r="C22" t="s">
        <v>20</v>
      </c>
      <c r="D22" s="3">
        <v>21000</v>
      </c>
      <c r="K22" s="4">
        <v>32595.472000000002</v>
      </c>
      <c r="L22" s="4">
        <v>36529.064118000002</v>
      </c>
      <c r="M22" s="4"/>
      <c r="N22" s="4"/>
      <c r="O22" s="4"/>
      <c r="P22" s="4">
        <v>36081.330501999997</v>
      </c>
      <c r="Q22" s="4">
        <v>57247.892304000001</v>
      </c>
      <c r="R22" s="4">
        <v>38693.14183</v>
      </c>
      <c r="S22" s="40">
        <v>61306.204231999996</v>
      </c>
      <c r="T22" s="4">
        <v>67138.944407000003</v>
      </c>
      <c r="U22" s="6" t="s">
        <v>95</v>
      </c>
      <c r="V22" s="6" t="s">
        <v>213</v>
      </c>
      <c r="W22" s="8" t="s">
        <v>220</v>
      </c>
      <c r="X22">
        <v>2001</v>
      </c>
      <c r="Z22" s="18">
        <v>1900</v>
      </c>
      <c r="AA22" s="47">
        <v>6.7100000000000007E-2</v>
      </c>
      <c r="AB22" s="47">
        <v>-0.13439999999999999</v>
      </c>
      <c r="AC22" s="7">
        <f>5+4</f>
        <v>9</v>
      </c>
      <c r="AG22" t="s">
        <v>2926</v>
      </c>
      <c r="AI22" s="18">
        <v>1978</v>
      </c>
      <c r="AJ22" s="18">
        <v>1143</v>
      </c>
      <c r="AL22" s="36">
        <v>0.13600000000000001</v>
      </c>
      <c r="AM22" s="36">
        <v>2.7E-2</v>
      </c>
      <c r="AN22" t="s">
        <v>1921</v>
      </c>
      <c r="AO22" s="10" t="s">
        <v>2927</v>
      </c>
      <c r="AP22" s="9">
        <v>0.34</v>
      </c>
      <c r="AR22" s="10" t="s">
        <v>2928</v>
      </c>
      <c r="AS22" s="9">
        <v>6.54E-2</v>
      </c>
      <c r="AT22" s="9">
        <v>-7.3000000000000001E-3</v>
      </c>
      <c r="AU22" s="9">
        <v>5.9299999999999999E-2</v>
      </c>
      <c r="AV22" s="9">
        <v>0.13730000000000001</v>
      </c>
      <c r="AW22" s="9">
        <v>0.20849999999999999</v>
      </c>
      <c r="BA22" s="9" t="s">
        <v>2470</v>
      </c>
      <c r="BB22" s="9">
        <v>4.5999999999999999E-3</v>
      </c>
      <c r="BC22" s="9"/>
      <c r="BD22" s="9"/>
      <c r="BE22" s="9"/>
      <c r="BI22" t="s">
        <v>2925</v>
      </c>
      <c r="BJ22" s="46"/>
      <c r="BK22" s="46"/>
      <c r="BL22" s="46"/>
      <c r="BM22" s="46"/>
      <c r="BN22" s="46"/>
      <c r="BO22" s="46"/>
      <c r="BP22" s="46"/>
      <c r="BQ22" s="46"/>
      <c r="BR22" s="46"/>
      <c r="BS22" s="46"/>
      <c r="BT22" s="46"/>
      <c r="BU22" s="46"/>
      <c r="BV22" s="46"/>
      <c r="BW22" s="46"/>
      <c r="BX22" s="46"/>
      <c r="BY22" s="46"/>
      <c r="BZ22" s="46"/>
      <c r="CA22" s="46"/>
    </row>
    <row r="23" spans="1:79" x14ac:dyDescent="0.25">
      <c r="A23">
        <f t="shared" si="1"/>
        <v>21</v>
      </c>
      <c r="B23" t="s">
        <v>119</v>
      </c>
      <c r="C23" t="s">
        <v>2914</v>
      </c>
      <c r="D23" s="3">
        <v>12000</v>
      </c>
      <c r="Q23" s="3">
        <v>15041.567309</v>
      </c>
      <c r="S23" s="4">
        <v>14991.121606000001</v>
      </c>
      <c r="T23" s="4"/>
      <c r="U23" s="6" t="s">
        <v>97</v>
      </c>
      <c r="Z23" s="18">
        <v>950</v>
      </c>
      <c r="AA23" s="47">
        <v>0.13</v>
      </c>
      <c r="AG23" t="s">
        <v>2929</v>
      </c>
      <c r="AI23" s="18">
        <v>402</v>
      </c>
      <c r="AJ23" s="18">
        <v>237</v>
      </c>
      <c r="AL23" s="14" t="s">
        <v>2915</v>
      </c>
      <c r="AM23" s="14" t="s">
        <v>2916</v>
      </c>
      <c r="AN23" s="14" t="s">
        <v>2917</v>
      </c>
    </row>
    <row r="24" spans="1:79" x14ac:dyDescent="0.25">
      <c r="A24">
        <f t="shared" si="1"/>
        <v>22</v>
      </c>
      <c r="B24" s="39" t="s">
        <v>1524</v>
      </c>
      <c r="I24" s="4"/>
      <c r="J24" s="4"/>
      <c r="K24" s="4"/>
      <c r="L24" s="4"/>
      <c r="M24" s="4"/>
      <c r="N24" s="4"/>
      <c r="O24" s="4"/>
      <c r="P24" s="4"/>
      <c r="Q24" s="40">
        <v>162794.05236999999</v>
      </c>
      <c r="R24" s="40">
        <v>164039.83677600001</v>
      </c>
      <c r="S24" s="40">
        <v>183837.72249499999</v>
      </c>
      <c r="T24" s="40">
        <v>214659.256115</v>
      </c>
      <c r="AA24" s="47"/>
      <c r="AI24" s="18">
        <v>122</v>
      </c>
      <c r="AJ24" s="18">
        <v>61</v>
      </c>
      <c r="AL24" s="9"/>
      <c r="AM24" s="9"/>
      <c r="AN24" s="9"/>
      <c r="AO24" s="9"/>
      <c r="AW24" s="9"/>
      <c r="AX24" s="9"/>
      <c r="BA24" s="9"/>
      <c r="BB24" s="9"/>
      <c r="BC24" s="9"/>
      <c r="BD24" s="9"/>
      <c r="BE24" s="9"/>
    </row>
    <row r="25" spans="1:79" x14ac:dyDescent="0.25">
      <c r="A25">
        <f t="shared" si="1"/>
        <v>23</v>
      </c>
      <c r="B25" s="39" t="s">
        <v>1526</v>
      </c>
      <c r="I25" s="4"/>
      <c r="J25" s="4"/>
      <c r="K25" s="4"/>
      <c r="L25" s="4"/>
      <c r="M25" s="4"/>
      <c r="N25" s="4"/>
      <c r="O25" s="4"/>
      <c r="P25" s="4"/>
      <c r="Q25" s="40">
        <v>194201.51446599999</v>
      </c>
      <c r="R25" s="40">
        <v>173277.89889400001</v>
      </c>
      <c r="S25" s="40">
        <v>171881.01441</v>
      </c>
      <c r="T25" s="40"/>
      <c r="AI25" s="18">
        <v>371</v>
      </c>
      <c r="AJ25" s="18">
        <v>100</v>
      </c>
      <c r="AL25" s="9"/>
      <c r="AM25" s="9"/>
      <c r="AN25" s="9"/>
      <c r="AO25" s="9"/>
      <c r="AW25" s="9"/>
      <c r="AX25" s="9"/>
      <c r="BA25" s="9"/>
      <c r="BB25" s="9"/>
      <c r="BC25" s="9"/>
      <c r="BD25" s="9"/>
      <c r="BE25" s="9"/>
    </row>
    <row r="26" spans="1:79" x14ac:dyDescent="0.25">
      <c r="A26">
        <f t="shared" si="1"/>
        <v>24</v>
      </c>
      <c r="B26" s="39" t="s">
        <v>1527</v>
      </c>
      <c r="I26" s="4"/>
      <c r="J26" s="4"/>
      <c r="K26" s="4"/>
      <c r="L26" s="4"/>
      <c r="M26" s="4"/>
      <c r="N26" s="4"/>
      <c r="O26" s="4"/>
      <c r="P26" s="4"/>
      <c r="Q26" s="40">
        <v>185903.477713</v>
      </c>
      <c r="R26" s="40">
        <v>185405.589664</v>
      </c>
      <c r="S26" s="40">
        <v>191834.017807</v>
      </c>
      <c r="T26" s="40"/>
      <c r="AI26" s="18">
        <v>902</v>
      </c>
      <c r="AJ26" s="18">
        <v>480</v>
      </c>
      <c r="AL26" s="9"/>
      <c r="AM26" s="9"/>
      <c r="AN26" s="9"/>
      <c r="AO26" s="9"/>
      <c r="AW26" s="9"/>
      <c r="AX26" s="9"/>
      <c r="BA26" s="9"/>
      <c r="BB26" s="9"/>
      <c r="BC26" s="9"/>
      <c r="BD26" s="9"/>
      <c r="BE26" s="9"/>
    </row>
    <row r="27" spans="1:79" x14ac:dyDescent="0.25">
      <c r="A27">
        <f t="shared" si="1"/>
        <v>25</v>
      </c>
      <c r="B27" t="s">
        <v>1204</v>
      </c>
      <c r="S27" s="3">
        <v>117397.045128</v>
      </c>
      <c r="T27" s="3">
        <v>124941.485544</v>
      </c>
      <c r="AI27" s="18">
        <v>164</v>
      </c>
      <c r="AJ27" s="18">
        <v>61</v>
      </c>
    </row>
    <row r="28" spans="1:79" x14ac:dyDescent="0.25">
      <c r="A28">
        <f t="shared" si="1"/>
        <v>26</v>
      </c>
      <c r="B28" s="39" t="s">
        <v>1554</v>
      </c>
      <c r="Q28" s="3">
        <v>77263.928929999995</v>
      </c>
      <c r="R28" s="3">
        <v>80584.657361000005</v>
      </c>
      <c r="S28" s="3">
        <v>74576.347710000002</v>
      </c>
      <c r="T28" s="3">
        <v>82843.257383000004</v>
      </c>
      <c r="AI28" s="18">
        <v>20</v>
      </c>
      <c r="AJ28" s="18">
        <v>7</v>
      </c>
    </row>
    <row r="29" spans="1:79" x14ac:dyDescent="0.25">
      <c r="A29">
        <f t="shared" si="1"/>
        <v>27</v>
      </c>
      <c r="B29" s="2" t="s">
        <v>1571</v>
      </c>
      <c r="C29" t="s">
        <v>2901</v>
      </c>
      <c r="Q29" s="3">
        <v>58120.609178999999</v>
      </c>
      <c r="R29" s="3">
        <v>60515.450757999999</v>
      </c>
      <c r="S29" s="3">
        <v>63942.070725999998</v>
      </c>
      <c r="U29" s="6" t="s">
        <v>97</v>
      </c>
      <c r="W29" s="8" t="s">
        <v>670</v>
      </c>
      <c r="X29">
        <v>2015</v>
      </c>
      <c r="Z29" s="18">
        <v>440</v>
      </c>
      <c r="AG29" t="s">
        <v>2905</v>
      </c>
      <c r="AI29" s="18">
        <v>128</v>
      </c>
      <c r="AJ29" s="18">
        <v>83</v>
      </c>
    </row>
    <row r="30" spans="1:79" x14ac:dyDescent="0.25">
      <c r="A30">
        <f t="shared" si="1"/>
        <v>28</v>
      </c>
      <c r="B30" s="39" t="s">
        <v>1574</v>
      </c>
      <c r="P30" s="3">
        <v>58714.609507000001</v>
      </c>
      <c r="Q30" s="3">
        <v>54501.693781000002</v>
      </c>
      <c r="R30" s="3">
        <v>46936.425904000003</v>
      </c>
      <c r="S30" s="3">
        <v>45991.722390000003</v>
      </c>
      <c r="AI30" s="18">
        <v>73</v>
      </c>
      <c r="AJ30" s="18">
        <v>45</v>
      </c>
    </row>
    <row r="31" spans="1:79" x14ac:dyDescent="0.25">
      <c r="A31">
        <f t="shared" si="1"/>
        <v>29</v>
      </c>
      <c r="B31" s="39" t="s">
        <v>1588</v>
      </c>
      <c r="Q31" s="3">
        <v>38193.344697</v>
      </c>
      <c r="R31" s="3">
        <v>38334.511904999999</v>
      </c>
      <c r="S31" s="3">
        <v>44779.738089999999</v>
      </c>
      <c r="T31" s="3">
        <v>47637.673992999997</v>
      </c>
      <c r="AI31" s="18">
        <v>92</v>
      </c>
      <c r="AJ31" s="18">
        <v>25</v>
      </c>
      <c r="BA31" t="s">
        <v>2416</v>
      </c>
    </row>
    <row r="32" spans="1:79" x14ac:dyDescent="0.25">
      <c r="A32">
        <f t="shared" si="1"/>
        <v>30</v>
      </c>
      <c r="B32" s="39" t="s">
        <v>1619</v>
      </c>
      <c r="Q32" s="3">
        <v>26035.705449000001</v>
      </c>
      <c r="R32" s="3">
        <v>25799.949235</v>
      </c>
      <c r="S32" s="3">
        <v>35079.150392000003</v>
      </c>
      <c r="AI32" s="18">
        <v>14</v>
      </c>
      <c r="AJ32" s="18">
        <v>8</v>
      </c>
    </row>
    <row r="33" spans="1:79" x14ac:dyDescent="0.25">
      <c r="A33">
        <f t="shared" si="1"/>
        <v>31</v>
      </c>
      <c r="B33" s="39" t="s">
        <v>1646</v>
      </c>
      <c r="Q33" s="3">
        <v>27231.538385</v>
      </c>
      <c r="R33" s="3">
        <v>23954.619836999998</v>
      </c>
      <c r="S33" s="3">
        <v>24763.540204000001</v>
      </c>
      <c r="AI33" s="18">
        <v>84</v>
      </c>
      <c r="AJ33" s="18">
        <v>62</v>
      </c>
    </row>
    <row r="34" spans="1:79" x14ac:dyDescent="0.25">
      <c r="A34">
        <f t="shared" si="1"/>
        <v>32</v>
      </c>
      <c r="B34" s="39" t="s">
        <v>1687</v>
      </c>
      <c r="Q34" s="3">
        <v>16274.598773</v>
      </c>
      <c r="R34" s="3">
        <v>17827.579000000002</v>
      </c>
      <c r="S34" s="3">
        <v>20130.203000000001</v>
      </c>
      <c r="X34">
        <v>2002</v>
      </c>
      <c r="AI34" s="18">
        <v>219</v>
      </c>
      <c r="AJ34" s="18">
        <v>140</v>
      </c>
      <c r="AM34" s="1" t="s">
        <v>2920</v>
      </c>
    </row>
    <row r="35" spans="1:79" x14ac:dyDescent="0.25">
      <c r="A35">
        <f t="shared" si="1"/>
        <v>33</v>
      </c>
      <c r="B35" s="39" t="s">
        <v>1700</v>
      </c>
      <c r="Q35" s="3">
        <v>12085.443874000001</v>
      </c>
      <c r="R35" s="3">
        <v>12262.447593000001</v>
      </c>
      <c r="S35" s="3">
        <v>18727.183335000002</v>
      </c>
      <c r="T35" s="3">
        <v>14561.971164</v>
      </c>
      <c r="AI35" s="18">
        <v>42</v>
      </c>
      <c r="AJ35" s="18">
        <v>8</v>
      </c>
    </row>
    <row r="36" spans="1:79" x14ac:dyDescent="0.25">
      <c r="A36">
        <f t="shared" si="1"/>
        <v>34</v>
      </c>
      <c r="B36" s="2" t="s">
        <v>1290</v>
      </c>
      <c r="D36" s="3">
        <v>9000</v>
      </c>
      <c r="P36" s="4">
        <v>25379.597540999999</v>
      </c>
      <c r="Q36" s="4">
        <v>27378.361098000001</v>
      </c>
      <c r="R36" s="4">
        <v>26906.515388</v>
      </c>
      <c r="S36" s="3">
        <v>27479.465356000001</v>
      </c>
      <c r="T36" s="4"/>
      <c r="U36" s="6" t="s">
        <v>97</v>
      </c>
      <c r="X36">
        <v>2009</v>
      </c>
      <c r="Z36" s="18">
        <v>119</v>
      </c>
      <c r="AI36" s="18">
        <v>59</v>
      </c>
      <c r="AJ36" s="18">
        <v>29</v>
      </c>
      <c r="AS36" s="9">
        <v>-8.0000000000000002E-3</v>
      </c>
      <c r="AW36" s="9"/>
      <c r="BA36" s="9"/>
      <c r="BB36" s="9"/>
      <c r="BC36" s="9"/>
      <c r="BD36" s="9"/>
      <c r="BE36" s="9"/>
    </row>
    <row r="37" spans="1:79" x14ac:dyDescent="0.25">
      <c r="A37">
        <f t="shared" si="1"/>
        <v>35</v>
      </c>
      <c r="B37" s="2" t="s">
        <v>21</v>
      </c>
      <c r="C37" t="s">
        <v>34</v>
      </c>
      <c r="I37" s="4">
        <v>24735.085999999999</v>
      </c>
      <c r="J37" s="4">
        <v>21862.785</v>
      </c>
      <c r="K37" s="4">
        <v>21658.496999999999</v>
      </c>
      <c r="L37" s="4">
        <v>19975.826558000001</v>
      </c>
      <c r="M37" s="4">
        <v>21307.508398000002</v>
      </c>
      <c r="N37" s="4">
        <v>24426.457264000001</v>
      </c>
      <c r="O37" s="4">
        <v>24642.289392999999</v>
      </c>
      <c r="P37" s="4">
        <v>27301.507781</v>
      </c>
      <c r="Q37" s="4">
        <v>26859.637108999999</v>
      </c>
      <c r="R37" s="4">
        <v>26019.824561000001</v>
      </c>
      <c r="S37" s="3">
        <v>27435.458361000001</v>
      </c>
      <c r="T37" s="4"/>
      <c r="U37" s="6" t="s">
        <v>98</v>
      </c>
      <c r="V37" s="6" t="s">
        <v>217</v>
      </c>
      <c r="W37" s="8" t="s">
        <v>219</v>
      </c>
      <c r="Z37" s="18">
        <v>275</v>
      </c>
      <c r="AG37" t="s">
        <v>2890</v>
      </c>
      <c r="AI37" s="18">
        <v>185</v>
      </c>
      <c r="AJ37" s="18">
        <v>89</v>
      </c>
      <c r="AK37" s="18" t="s">
        <v>2356</v>
      </c>
      <c r="AM37" s="9">
        <v>0.13800000000000001</v>
      </c>
      <c r="AN37" s="9">
        <v>-2.4E-2</v>
      </c>
      <c r="AO37" s="9">
        <v>-0.02</v>
      </c>
      <c r="AP37" t="s">
        <v>2032</v>
      </c>
      <c r="AQ37" s="9">
        <v>0.19</v>
      </c>
      <c r="AR37" s="9">
        <v>0</v>
      </c>
      <c r="AS37" s="36" t="s">
        <v>2889</v>
      </c>
      <c r="AT37" t="s">
        <v>2888</v>
      </c>
      <c r="AW37" s="9">
        <v>0.22500000000000001</v>
      </c>
      <c r="AZ37" s="36">
        <v>3.8800000000000001E-2</v>
      </c>
      <c r="BA37" s="9" t="s">
        <v>2438</v>
      </c>
      <c r="BB37" s="9">
        <v>0.1</v>
      </c>
      <c r="BC37" s="9"/>
      <c r="BD37" s="9"/>
      <c r="BE37" s="9"/>
      <c r="BH37" t="s">
        <v>2584</v>
      </c>
      <c r="BI37" s="9">
        <v>0.35</v>
      </c>
      <c r="BJ37" s="9">
        <v>0.89</v>
      </c>
      <c r="BK37" t="s">
        <v>2155</v>
      </c>
      <c r="BL37" s="46"/>
      <c r="BM37" s="46"/>
      <c r="BN37" s="46"/>
      <c r="BO37" s="46"/>
      <c r="BP37" s="46"/>
      <c r="BQ37" s="46"/>
      <c r="BR37" s="46"/>
      <c r="BS37" s="46"/>
      <c r="BT37" s="46"/>
      <c r="BU37" s="46"/>
      <c r="BV37" s="46"/>
      <c r="BW37" s="46"/>
      <c r="BX37" s="46"/>
      <c r="BY37" s="46"/>
      <c r="BZ37" s="46"/>
      <c r="CA37" s="46"/>
    </row>
    <row r="38" spans="1:79" x14ac:dyDescent="0.25">
      <c r="A38">
        <f t="shared" si="1"/>
        <v>36</v>
      </c>
      <c r="B38" s="2" t="s">
        <v>22</v>
      </c>
      <c r="C38" t="s">
        <v>42</v>
      </c>
      <c r="E38" s="4">
        <v>18240.300999999999</v>
      </c>
      <c r="F38" s="4">
        <v>25519.863000000001</v>
      </c>
      <c r="G38" s="4">
        <v>24582.581999999999</v>
      </c>
      <c r="H38" s="4">
        <v>22551.366999999998</v>
      </c>
      <c r="I38" s="4">
        <v>13671.043</v>
      </c>
      <c r="J38" s="4">
        <v>8263.3940000000002</v>
      </c>
      <c r="K38" s="4">
        <v>8612.6959999999999</v>
      </c>
      <c r="L38" s="4">
        <v>8915.153198</v>
      </c>
      <c r="M38" s="4">
        <v>15041.674139000001</v>
      </c>
      <c r="N38" s="4">
        <v>20413.638491999998</v>
      </c>
      <c r="O38" s="4">
        <v>19710.129654</v>
      </c>
      <c r="P38" s="4">
        <v>23844.679154000001</v>
      </c>
      <c r="Q38" s="4">
        <v>25495.400873999999</v>
      </c>
      <c r="R38" s="4">
        <v>25688.066436000001</v>
      </c>
      <c r="S38" s="3">
        <v>26916.931162000001</v>
      </c>
      <c r="T38" s="4">
        <v>29679.535848</v>
      </c>
      <c r="U38" s="6" t="s">
        <v>101</v>
      </c>
      <c r="V38" s="6" t="s">
        <v>217</v>
      </c>
      <c r="W38" s="8" t="s">
        <v>221</v>
      </c>
      <c r="Z38" s="18">
        <v>157</v>
      </c>
      <c r="AI38" s="18">
        <v>114</v>
      </c>
      <c r="AJ38" s="18">
        <v>48</v>
      </c>
      <c r="AK38" s="18" t="s">
        <v>2355</v>
      </c>
      <c r="AM38" s="9">
        <v>0.215</v>
      </c>
      <c r="AN38" s="9">
        <v>-0.2</v>
      </c>
      <c r="AO38" s="9">
        <v>0.05</v>
      </c>
      <c r="AP38" s="9">
        <v>0.65</v>
      </c>
      <c r="AS38" s="9">
        <v>0.24</v>
      </c>
      <c r="AU38" s="9">
        <v>0.111</v>
      </c>
      <c r="AV38" s="9">
        <v>-2.4E-2</v>
      </c>
      <c r="AW38" s="9"/>
    </row>
    <row r="39" spans="1:79" x14ac:dyDescent="0.25">
      <c r="A39">
        <f t="shared" si="1"/>
        <v>37</v>
      </c>
      <c r="B39" s="2" t="s">
        <v>40</v>
      </c>
      <c r="C39" t="s">
        <v>39</v>
      </c>
      <c r="D39" s="3">
        <v>58000</v>
      </c>
      <c r="K39" s="4">
        <v>10893.232</v>
      </c>
      <c r="L39" s="4">
        <v>8163.3474310000001</v>
      </c>
      <c r="M39" s="4"/>
      <c r="N39" s="4"/>
      <c r="O39" s="4"/>
      <c r="P39" s="4">
        <v>14053.201713</v>
      </c>
      <c r="Q39" s="4">
        <v>18296.276054999998</v>
      </c>
      <c r="R39" s="4">
        <v>21626.366513000001</v>
      </c>
      <c r="S39" s="3">
        <v>23439.074897999999</v>
      </c>
      <c r="T39" s="4"/>
      <c r="U39" s="6" t="s">
        <v>101</v>
      </c>
      <c r="V39" s="6" t="s">
        <v>217</v>
      </c>
      <c r="W39" s="8" t="s">
        <v>221</v>
      </c>
      <c r="Z39" s="18">
        <v>162</v>
      </c>
      <c r="AG39" t="s">
        <v>2891</v>
      </c>
      <c r="AI39" s="18">
        <v>80</v>
      </c>
      <c r="AJ39" s="18">
        <v>51</v>
      </c>
      <c r="AM39" s="9">
        <v>0.28499999999999998</v>
      </c>
      <c r="AN39" s="9">
        <v>-0.56000000000000005</v>
      </c>
      <c r="AO39" s="9">
        <v>-0.1</v>
      </c>
      <c r="AP39" t="s">
        <v>2043</v>
      </c>
      <c r="AQ39" s="9">
        <v>0.33</v>
      </c>
      <c r="AR39" s="9">
        <v>0.13</v>
      </c>
      <c r="AS39" s="9" t="s">
        <v>2875</v>
      </c>
      <c r="AT39" s="36">
        <v>-0.153</v>
      </c>
      <c r="AW39" s="9">
        <v>0.14000000000000001</v>
      </c>
      <c r="BH39" s="14" t="s">
        <v>2361</v>
      </c>
      <c r="BI39" s="9">
        <v>0.52</v>
      </c>
    </row>
    <row r="40" spans="1:79" x14ac:dyDescent="0.25">
      <c r="A40">
        <f t="shared" si="1"/>
        <v>38</v>
      </c>
      <c r="B40" s="2" t="s">
        <v>1481</v>
      </c>
      <c r="Q40" s="3">
        <v>14614.778495</v>
      </c>
      <c r="R40" s="4">
        <v>18282.342143000002</v>
      </c>
      <c r="S40" s="3">
        <v>19859.488243</v>
      </c>
      <c r="T40" s="4">
        <v>25278.910676</v>
      </c>
      <c r="Z40" s="18">
        <v>350</v>
      </c>
      <c r="AI40" s="18">
        <v>669</v>
      </c>
      <c r="AJ40" s="18">
        <v>489</v>
      </c>
    </row>
    <row r="41" spans="1:79" x14ac:dyDescent="0.25">
      <c r="A41">
        <f t="shared" si="1"/>
        <v>39</v>
      </c>
      <c r="B41" s="2" t="s">
        <v>1115</v>
      </c>
      <c r="P41" s="4">
        <v>15091.672815</v>
      </c>
      <c r="Q41" s="4">
        <v>16247.976191</v>
      </c>
      <c r="R41" s="4">
        <v>17284.337379000001</v>
      </c>
      <c r="S41" s="3">
        <v>19590.829975000001</v>
      </c>
      <c r="T41" s="4"/>
      <c r="Z41" s="18">
        <v>56</v>
      </c>
      <c r="AI41" s="18">
        <v>69</v>
      </c>
      <c r="AJ41" s="18">
        <v>51</v>
      </c>
    </row>
    <row r="42" spans="1:79" x14ac:dyDescent="0.25">
      <c r="A42">
        <f t="shared" si="1"/>
        <v>40</v>
      </c>
      <c r="B42" s="2" t="s">
        <v>72</v>
      </c>
      <c r="P42" s="4">
        <v>9715.8169170000001</v>
      </c>
      <c r="Q42" s="4">
        <v>10765.194</v>
      </c>
      <c r="R42" s="4">
        <v>13137.112999999999</v>
      </c>
      <c r="T42" s="4"/>
      <c r="U42" s="6" t="s">
        <v>101</v>
      </c>
      <c r="V42" s="6" t="s">
        <v>217</v>
      </c>
      <c r="AI42" s="18">
        <v>89</v>
      </c>
      <c r="AJ42" s="18">
        <v>20</v>
      </c>
      <c r="AU42" s="9">
        <v>0.16200000000000001</v>
      </c>
      <c r="AV42" s="9">
        <v>1.4999999999999999E-2</v>
      </c>
      <c r="AW42" s="9">
        <v>0.56000000000000005</v>
      </c>
    </row>
    <row r="43" spans="1:79" x14ac:dyDescent="0.25">
      <c r="A43">
        <f t="shared" si="1"/>
        <v>41</v>
      </c>
      <c r="B43" s="2" t="s">
        <v>23</v>
      </c>
      <c r="C43" t="s">
        <v>227</v>
      </c>
      <c r="D43" s="4">
        <v>28673.846799999999</v>
      </c>
      <c r="I43" s="4">
        <v>16809.736000000001</v>
      </c>
      <c r="J43" s="4">
        <v>10609.466</v>
      </c>
      <c r="K43" s="4">
        <v>10613.116</v>
      </c>
      <c r="L43" s="4">
        <v>10475.619064</v>
      </c>
      <c r="M43" s="4"/>
      <c r="N43" s="4"/>
      <c r="O43" s="4"/>
      <c r="P43" s="4">
        <v>11558.848096</v>
      </c>
      <c r="Q43" s="4">
        <v>12671.43044</v>
      </c>
      <c r="R43" s="4">
        <v>12329.311691000001</v>
      </c>
      <c r="S43" s="3">
        <v>13405.659056</v>
      </c>
      <c r="T43" s="4"/>
      <c r="U43" s="6" t="s">
        <v>98</v>
      </c>
      <c r="V43" s="6" t="s">
        <v>217</v>
      </c>
      <c r="W43" s="8" t="s">
        <v>219</v>
      </c>
      <c r="X43">
        <v>1997</v>
      </c>
      <c r="Y43" t="s">
        <v>224</v>
      </c>
      <c r="AA43" s="47">
        <f>RATE(2022-1998,0,-1,13.71)</f>
        <v>0.11526111596972678</v>
      </c>
      <c r="AB43" s="47"/>
      <c r="AD43" s="9"/>
      <c r="AE43" s="9"/>
      <c r="AF43" s="9"/>
      <c r="AG43" s="9" t="s">
        <v>2896</v>
      </c>
      <c r="AH43" s="9"/>
      <c r="AI43" s="18">
        <v>116</v>
      </c>
      <c r="AJ43" s="18">
        <v>56</v>
      </c>
      <c r="AL43" s="9"/>
      <c r="AM43" s="9">
        <v>0.19</v>
      </c>
      <c r="AN43" s="10">
        <v>-0.33</v>
      </c>
      <c r="AO43" s="9">
        <v>-7.0000000000000007E-2</v>
      </c>
      <c r="AP43" s="9" t="s">
        <v>2039</v>
      </c>
      <c r="AQ43" s="9" t="s">
        <v>2040</v>
      </c>
      <c r="AR43" s="9">
        <v>-0.05</v>
      </c>
      <c r="AS43" s="10" t="s">
        <v>2895</v>
      </c>
      <c r="AT43" s="9">
        <v>-2.7E-2</v>
      </c>
      <c r="AU43" s="9">
        <v>8.7999999999999995E-2</v>
      </c>
      <c r="AV43" s="9">
        <v>4.0000000000000001E-3</v>
      </c>
      <c r="AW43" s="9">
        <v>0.14199999999999999</v>
      </c>
      <c r="AX43" s="9">
        <v>0.193</v>
      </c>
      <c r="AY43" s="9">
        <v>8.0000000000000002E-3</v>
      </c>
      <c r="AZ43" s="9">
        <v>0.126</v>
      </c>
      <c r="BA43" s="9">
        <v>0.14000000000000001</v>
      </c>
      <c r="BB43" s="9">
        <v>-0.32900000000000001</v>
      </c>
      <c r="BC43" s="9">
        <v>0.46200000000000002</v>
      </c>
      <c r="BD43" s="9">
        <v>0.13700000000000001</v>
      </c>
      <c r="BE43" s="10" t="s">
        <v>2762</v>
      </c>
      <c r="BF43" s="9">
        <v>0.14599999999999999</v>
      </c>
      <c r="BG43" s="10" t="s">
        <v>2666</v>
      </c>
      <c r="BH43" s="9" t="s">
        <v>2599</v>
      </c>
      <c r="BI43" s="9" t="s">
        <v>2149</v>
      </c>
      <c r="BJ43" s="9" t="s">
        <v>2147</v>
      </c>
      <c r="BK43" s="9" t="s">
        <v>2148</v>
      </c>
      <c r="BL43" s="9" t="s">
        <v>2146</v>
      </c>
      <c r="BM43" s="58"/>
      <c r="BN43" s="58"/>
      <c r="BO43" s="58"/>
      <c r="BP43" s="58"/>
      <c r="BQ43" s="58"/>
      <c r="BR43" s="58"/>
      <c r="BS43" s="46"/>
      <c r="BT43" s="46"/>
      <c r="BU43" s="46"/>
      <c r="BV43" s="46"/>
      <c r="BW43" s="46"/>
      <c r="BX43" s="46"/>
      <c r="BY43" s="46"/>
      <c r="BZ43" s="46"/>
      <c r="CA43" s="46"/>
    </row>
    <row r="44" spans="1:79" x14ac:dyDescent="0.25">
      <c r="A44">
        <f t="shared" si="1"/>
        <v>42</v>
      </c>
      <c r="B44" s="2" t="s">
        <v>702</v>
      </c>
      <c r="P44" s="4">
        <v>9195.4703219999992</v>
      </c>
      <c r="Q44" s="4">
        <v>10864.610456</v>
      </c>
      <c r="R44" s="4">
        <v>10428.664277</v>
      </c>
      <c r="S44" s="4"/>
      <c r="T44" s="4"/>
      <c r="AI44" s="18">
        <v>71</v>
      </c>
      <c r="AJ44" s="18">
        <v>63</v>
      </c>
      <c r="BB44" s="9"/>
      <c r="BC44" s="9"/>
    </row>
    <row r="45" spans="1:79" x14ac:dyDescent="0.25">
      <c r="A45">
        <f t="shared" si="1"/>
        <v>43</v>
      </c>
      <c r="B45" s="2" t="s">
        <v>33</v>
      </c>
      <c r="C45" t="s">
        <v>55</v>
      </c>
      <c r="K45" s="4">
        <v>7877.0450000000001</v>
      </c>
      <c r="P45" s="4">
        <v>10396.017618</v>
      </c>
      <c r="Q45" s="4">
        <v>10761.092092999999</v>
      </c>
      <c r="R45" s="4">
        <v>10411.823</v>
      </c>
      <c r="S45" s="40">
        <v>12916.077581</v>
      </c>
      <c r="T45" s="4"/>
      <c r="U45" s="6" t="s">
        <v>96</v>
      </c>
      <c r="X45">
        <v>2004</v>
      </c>
      <c r="AA45" s="47">
        <v>0.10059999999999999</v>
      </c>
      <c r="AB45" s="47">
        <v>-0.39810000000000001</v>
      </c>
      <c r="AC45" s="7">
        <v>9</v>
      </c>
      <c r="AI45" s="18">
        <v>35</v>
      </c>
      <c r="AJ45" s="18">
        <v>14</v>
      </c>
      <c r="AM45" s="9">
        <v>0.26300000000000001</v>
      </c>
      <c r="AN45" s="9">
        <v>-8.7999999999999995E-2</v>
      </c>
      <c r="AO45" s="9">
        <v>0.28000000000000003</v>
      </c>
      <c r="AP45" s="9">
        <v>0.7</v>
      </c>
      <c r="AR45" s="14" t="s">
        <v>2008</v>
      </c>
      <c r="AS45" s="9">
        <v>-0.03</v>
      </c>
      <c r="AT45" s="9">
        <v>-0.10199999999999999</v>
      </c>
      <c r="AU45" s="9">
        <v>-0.1666</v>
      </c>
      <c r="AV45" s="9">
        <v>0.37240000000000001</v>
      </c>
      <c r="AW45" s="9">
        <v>9.2999999999999999E-2</v>
      </c>
      <c r="AX45" s="9">
        <v>0.1239</v>
      </c>
      <c r="AZ45" s="9" t="s">
        <v>2842</v>
      </c>
      <c r="BA45" s="9" t="s">
        <v>2527</v>
      </c>
      <c r="BB45" s="9">
        <v>-0.11899999999999999</v>
      </c>
      <c r="BC45" s="9"/>
      <c r="BP45" s="46"/>
      <c r="BQ45" s="46"/>
      <c r="BR45" s="46"/>
      <c r="BS45" s="46"/>
      <c r="BT45" s="46"/>
      <c r="BU45" s="46"/>
      <c r="BV45" s="46"/>
      <c r="BW45" s="46"/>
      <c r="BX45" s="46"/>
      <c r="BY45" s="46"/>
      <c r="BZ45" s="46"/>
      <c r="CA45" s="46"/>
    </row>
    <row r="46" spans="1:79" x14ac:dyDescent="0.25">
      <c r="A46">
        <f t="shared" si="1"/>
        <v>44</v>
      </c>
      <c r="B46" s="2" t="s">
        <v>36</v>
      </c>
      <c r="C46" t="s">
        <v>62</v>
      </c>
      <c r="K46" s="4">
        <v>9662.6350000000002</v>
      </c>
      <c r="P46" s="4">
        <v>9098.0169999999998</v>
      </c>
      <c r="Q46" s="4">
        <v>16121.624497999999</v>
      </c>
      <c r="R46" s="4">
        <v>10403.976000000001</v>
      </c>
      <c r="S46" s="40">
        <v>19307.976052000002</v>
      </c>
      <c r="T46" s="4"/>
      <c r="U46" s="6" t="s">
        <v>95</v>
      </c>
      <c r="W46" s="8" t="s">
        <v>221</v>
      </c>
      <c r="AI46" s="18">
        <v>610</v>
      </c>
      <c r="AJ46" s="18">
        <v>346</v>
      </c>
      <c r="AM46" s="9">
        <v>4.7E-2</v>
      </c>
      <c r="AN46" s="36">
        <v>5.9200000000000003E-2</v>
      </c>
      <c r="AO46" s="9">
        <v>0.15</v>
      </c>
      <c r="AP46" s="9">
        <v>0.13</v>
      </c>
      <c r="AQ46" s="9">
        <v>0.05</v>
      </c>
      <c r="AS46" s="36" t="s">
        <v>2887</v>
      </c>
      <c r="AT46" s="9">
        <v>0.13100000000000001</v>
      </c>
      <c r="AU46" s="9">
        <v>2.7E-2</v>
      </c>
      <c r="AZ46" s="9">
        <v>7.3999999999999996E-2</v>
      </c>
      <c r="BA46" s="9" t="s">
        <v>2439</v>
      </c>
      <c r="BB46" s="9">
        <v>-0.03</v>
      </c>
      <c r="BC46" s="9"/>
    </row>
    <row r="47" spans="1:79" x14ac:dyDescent="0.25">
      <c r="A47">
        <f t="shared" si="1"/>
        <v>45</v>
      </c>
      <c r="B47" s="2" t="s">
        <v>120</v>
      </c>
      <c r="D47" s="3">
        <v>11000</v>
      </c>
      <c r="P47" s="4">
        <v>8039.3069999999998</v>
      </c>
      <c r="Q47" s="4">
        <v>13105.837</v>
      </c>
      <c r="R47" s="4">
        <v>9124.2090000000007</v>
      </c>
      <c r="S47" s="4"/>
      <c r="T47" s="4">
        <v>14580.495000000001</v>
      </c>
      <c r="U47" s="6" t="s">
        <v>95</v>
      </c>
      <c r="V47" s="6" t="s">
        <v>5</v>
      </c>
      <c r="AI47" s="18">
        <v>735</v>
      </c>
      <c r="AJ47" s="18">
        <v>377</v>
      </c>
      <c r="AO47" s="9">
        <v>5.5E-2</v>
      </c>
      <c r="BA47" s="9"/>
      <c r="BB47" s="9"/>
      <c r="BC47" s="9"/>
    </row>
    <row r="48" spans="1:79" x14ac:dyDescent="0.25">
      <c r="A48">
        <f t="shared" si="1"/>
        <v>46</v>
      </c>
      <c r="B48" s="2" t="s">
        <v>123</v>
      </c>
      <c r="C48" t="s">
        <v>2013</v>
      </c>
      <c r="D48" s="3">
        <v>2644</v>
      </c>
      <c r="P48" s="4">
        <v>7226.6135880000002</v>
      </c>
      <c r="Q48" s="4">
        <v>15722.796598999999</v>
      </c>
      <c r="R48" s="4">
        <v>8920.1430419999997</v>
      </c>
      <c r="S48" s="40">
        <v>27481.210075999999</v>
      </c>
      <c r="T48" s="4"/>
      <c r="U48" s="6" t="s">
        <v>95</v>
      </c>
      <c r="W48" s="8" t="s">
        <v>219</v>
      </c>
      <c r="X48">
        <v>2011</v>
      </c>
      <c r="Y48" s="61" t="s">
        <v>2587</v>
      </c>
      <c r="AA48" s="47">
        <v>4.6699999999999998E-2</v>
      </c>
      <c r="AB48" s="47">
        <v>-6.0100000000000001E-2</v>
      </c>
      <c r="AC48" s="7">
        <v>17</v>
      </c>
      <c r="AH48" t="s">
        <v>2191</v>
      </c>
      <c r="AI48" s="18">
        <v>225</v>
      </c>
      <c r="AJ48" s="18">
        <v>130</v>
      </c>
      <c r="AN48" s="9">
        <v>0.1</v>
      </c>
      <c r="AO48" s="9">
        <v>0.06</v>
      </c>
      <c r="AP48" s="9">
        <v>0.16</v>
      </c>
      <c r="AR48" s="10" t="s">
        <v>2015</v>
      </c>
      <c r="AS48" s="10" t="s">
        <v>2874</v>
      </c>
      <c r="AT48" s="9">
        <v>9.5999999999999992E-3</v>
      </c>
      <c r="AU48" s="9">
        <v>1.4200000000000001E-2</v>
      </c>
      <c r="AV48" s="9">
        <v>3.4700000000000002E-2</v>
      </c>
      <c r="AW48" s="9">
        <v>0.1429</v>
      </c>
      <c r="AX48" s="9">
        <v>6.2700000000000006E-2</v>
      </c>
      <c r="AZ48" s="36">
        <v>7.4899999999999994E-2</v>
      </c>
      <c r="BA48" s="10" t="s">
        <v>2471</v>
      </c>
      <c r="BB48" s="9"/>
      <c r="BC48" s="9"/>
      <c r="BD48" s="14" t="s">
        <v>2798</v>
      </c>
      <c r="BE48" t="s">
        <v>2771</v>
      </c>
      <c r="BG48" s="14" t="s">
        <v>2653</v>
      </c>
      <c r="BH48" s="14" t="s">
        <v>2612</v>
      </c>
      <c r="BI48" s="14" t="s">
        <v>2150</v>
      </c>
      <c r="BJ48" s="14" t="s">
        <v>2192</v>
      </c>
      <c r="BK48" s="14" t="s">
        <v>2179</v>
      </c>
      <c r="BP48" t="s">
        <v>2279</v>
      </c>
      <c r="BQ48" t="s">
        <v>2180</v>
      </c>
      <c r="BU48" s="14"/>
      <c r="BV48" s="14" t="s">
        <v>2298</v>
      </c>
      <c r="BW48" s="9">
        <v>2.0099999999999998</v>
      </c>
      <c r="BX48" s="9"/>
      <c r="BY48" s="9"/>
      <c r="BZ48" s="9"/>
      <c r="CA48" s="9"/>
    </row>
    <row r="49" spans="1:79" x14ac:dyDescent="0.25">
      <c r="A49">
        <f t="shared" si="1"/>
        <v>47</v>
      </c>
      <c r="B49" s="2" t="s">
        <v>27</v>
      </c>
      <c r="C49" t="s">
        <v>2014</v>
      </c>
      <c r="K49" s="4">
        <v>15269.446</v>
      </c>
      <c r="L49" s="4">
        <v>16651.382602000001</v>
      </c>
      <c r="M49" s="4"/>
      <c r="N49" s="4"/>
      <c r="O49" s="4"/>
      <c r="P49" s="4">
        <v>8788.6</v>
      </c>
      <c r="Q49" s="4">
        <v>7971.7070219999996</v>
      </c>
      <c r="R49" s="4">
        <v>7825.0776640000004</v>
      </c>
      <c r="S49" s="40">
        <v>9648.7575620000007</v>
      </c>
      <c r="T49" s="4"/>
      <c r="U49" s="6" t="s">
        <v>100</v>
      </c>
      <c r="V49" s="6" t="s">
        <v>215</v>
      </c>
      <c r="W49" s="8" t="s">
        <v>221</v>
      </c>
      <c r="X49">
        <v>2000</v>
      </c>
      <c r="AI49" s="18">
        <v>25</v>
      </c>
      <c r="AJ49" s="18">
        <v>18</v>
      </c>
      <c r="BA49" s="9"/>
      <c r="BB49" s="9"/>
      <c r="BC49" s="9"/>
    </row>
    <row r="50" spans="1:79" x14ac:dyDescent="0.25">
      <c r="A50">
        <f t="shared" si="1"/>
        <v>48</v>
      </c>
      <c r="B50" s="2" t="s">
        <v>191</v>
      </c>
      <c r="P50" s="4">
        <v>6022.7922609999996</v>
      </c>
      <c r="Q50" s="4">
        <v>6509.2613659999997</v>
      </c>
      <c r="R50" s="4">
        <v>6731.5987759999998</v>
      </c>
      <c r="S50" s="40">
        <v>6753.6207880000002</v>
      </c>
      <c r="T50" s="4"/>
      <c r="AI50" s="18">
        <v>37</v>
      </c>
      <c r="AJ50" s="18">
        <v>18</v>
      </c>
      <c r="BA50" s="9"/>
      <c r="BP50" s="46"/>
      <c r="BQ50" s="46"/>
      <c r="BR50" s="46"/>
      <c r="BS50" s="46"/>
      <c r="BT50" s="46"/>
      <c r="BU50" s="46"/>
      <c r="BV50" s="46"/>
      <c r="BW50" s="46"/>
      <c r="BX50" s="46"/>
      <c r="BY50" s="46"/>
      <c r="BZ50" s="46"/>
      <c r="CA50" s="46"/>
    </row>
    <row r="51" spans="1:79" x14ac:dyDescent="0.25">
      <c r="A51">
        <f t="shared" si="1"/>
        <v>49</v>
      </c>
      <c r="B51" s="2" t="s">
        <v>1260</v>
      </c>
      <c r="C51" t="s">
        <v>1261</v>
      </c>
      <c r="R51" s="4">
        <v>4624.241779</v>
      </c>
      <c r="S51" s="40"/>
      <c r="T51" s="4"/>
      <c r="U51" s="6" t="s">
        <v>1262</v>
      </c>
      <c r="W51" s="8" t="s">
        <v>220</v>
      </c>
      <c r="AI51" s="18">
        <v>40</v>
      </c>
      <c r="AJ51" s="18">
        <v>35</v>
      </c>
      <c r="BA51" s="9"/>
    </row>
    <row r="52" spans="1:79" x14ac:dyDescent="0.25">
      <c r="A52">
        <f t="shared" si="1"/>
        <v>50</v>
      </c>
      <c r="B52" s="2" t="s">
        <v>697</v>
      </c>
      <c r="C52" t="s">
        <v>698</v>
      </c>
      <c r="P52" s="4">
        <v>7646.3701709999996</v>
      </c>
      <c r="Q52" s="4">
        <v>6015.3861489999999</v>
      </c>
      <c r="R52" s="4">
        <v>4445.503232</v>
      </c>
      <c r="S52" s="40">
        <v>6921.9886100000003</v>
      </c>
      <c r="T52" s="4"/>
      <c r="AG52" t="s">
        <v>2838</v>
      </c>
      <c r="AI52" s="18">
        <v>261</v>
      </c>
      <c r="AJ52" s="18">
        <v>109</v>
      </c>
      <c r="AZ52" s="9" t="s">
        <v>2837</v>
      </c>
      <c r="BA52" s="9" t="s">
        <v>2417</v>
      </c>
      <c r="BB52" s="9">
        <v>0.08</v>
      </c>
      <c r="BD52" s="9">
        <v>0.12</v>
      </c>
      <c r="BE52" s="36">
        <v>0.123</v>
      </c>
      <c r="BG52" s="36">
        <v>0.14799999999999999</v>
      </c>
      <c r="BH52" s="14" t="s">
        <v>2582</v>
      </c>
      <c r="BI52" s="14" t="s">
        <v>2120</v>
      </c>
      <c r="BJ52" t="s">
        <v>2119</v>
      </c>
      <c r="BN52" s="14" t="s">
        <v>2338</v>
      </c>
      <c r="BO52" s="14" t="s">
        <v>2276</v>
      </c>
      <c r="BP52" s="14" t="s">
        <v>2312</v>
      </c>
      <c r="BQ52" s="14" t="s">
        <v>2212</v>
      </c>
      <c r="BS52" t="s">
        <v>2252</v>
      </c>
      <c r="BV52" t="s">
        <v>2305</v>
      </c>
    </row>
    <row r="53" spans="1:79" x14ac:dyDescent="0.25">
      <c r="A53">
        <f t="shared" si="1"/>
        <v>51</v>
      </c>
      <c r="B53" s="2" t="s">
        <v>30</v>
      </c>
      <c r="C53" t="s">
        <v>51</v>
      </c>
      <c r="K53" s="4">
        <v>5764.9269999999997</v>
      </c>
      <c r="P53" s="4">
        <v>7325.2073769999997</v>
      </c>
      <c r="Q53" s="4">
        <v>7540.5650059999998</v>
      </c>
      <c r="R53" s="4">
        <f>7947.899974-1947.744-2122.458</f>
        <v>3877.6979740000002</v>
      </c>
      <c r="S53" s="40">
        <v>6252.6514749999997</v>
      </c>
      <c r="T53" s="4"/>
      <c r="U53" s="6" t="s">
        <v>100</v>
      </c>
      <c r="V53" s="6" t="s">
        <v>218</v>
      </c>
      <c r="W53" s="8" t="s">
        <v>221</v>
      </c>
      <c r="AI53" s="18">
        <v>42</v>
      </c>
      <c r="AJ53" s="18">
        <v>28</v>
      </c>
      <c r="AL53" s="9">
        <v>0.156</v>
      </c>
      <c r="AM53" s="14" t="s">
        <v>1848</v>
      </c>
      <c r="AY53" t="s">
        <v>2042</v>
      </c>
      <c r="BP53" s="46"/>
      <c r="BQ53" s="46"/>
      <c r="BR53" s="46"/>
      <c r="BS53" s="46"/>
      <c r="BT53" s="46"/>
      <c r="BU53" s="46"/>
      <c r="BV53" s="46"/>
      <c r="BW53" s="46"/>
      <c r="BX53" s="46"/>
      <c r="BY53" s="46"/>
      <c r="BZ53" s="46"/>
      <c r="CA53" s="46"/>
    </row>
    <row r="54" spans="1:79" x14ac:dyDescent="0.25">
      <c r="A54">
        <f t="shared" si="1"/>
        <v>52</v>
      </c>
      <c r="B54" s="2" t="s">
        <v>681</v>
      </c>
      <c r="C54" t="s">
        <v>682</v>
      </c>
      <c r="P54" s="4">
        <v>7239.756496</v>
      </c>
      <c r="Q54" s="4">
        <v>8573.5128289999993</v>
      </c>
      <c r="R54" s="4">
        <v>7508.4004830000003</v>
      </c>
      <c r="S54" s="40">
        <v>6858.151355</v>
      </c>
      <c r="T54" s="4"/>
      <c r="U54" s="6" t="s">
        <v>100</v>
      </c>
      <c r="V54" s="6" t="s">
        <v>218</v>
      </c>
      <c r="W54" s="8" t="s">
        <v>221</v>
      </c>
      <c r="AI54" s="18">
        <v>8</v>
      </c>
      <c r="AJ54" s="18">
        <v>3</v>
      </c>
      <c r="AL54" s="14" t="s">
        <v>1862</v>
      </c>
      <c r="AM54" s="14" t="s">
        <v>1846</v>
      </c>
      <c r="AO54" s="14" t="s">
        <v>1861</v>
      </c>
      <c r="BP54" s="46"/>
      <c r="BQ54" s="46"/>
      <c r="BR54" s="46"/>
      <c r="BS54" s="46"/>
      <c r="BT54" s="46"/>
      <c r="BU54" s="46"/>
      <c r="BV54" s="46"/>
      <c r="BW54" s="46"/>
      <c r="BX54" s="46"/>
      <c r="BY54" s="46"/>
      <c r="BZ54" s="46"/>
      <c r="CA54" s="46"/>
    </row>
    <row r="55" spans="1:79" x14ac:dyDescent="0.25">
      <c r="A55">
        <f t="shared" si="1"/>
        <v>53</v>
      </c>
      <c r="B55" s="2" t="s">
        <v>144</v>
      </c>
      <c r="C55" t="s">
        <v>2108</v>
      </c>
      <c r="D55" s="3">
        <v>6400</v>
      </c>
      <c r="P55" s="4">
        <v>6657.7015229999997</v>
      </c>
      <c r="Q55" s="4">
        <v>7055.741</v>
      </c>
      <c r="R55" s="4">
        <v>6200.2780000000002</v>
      </c>
      <c r="S55" s="40">
        <v>7096.8695399999997</v>
      </c>
      <c r="T55" s="4"/>
      <c r="U55" s="6" t="s">
        <v>98</v>
      </c>
      <c r="V55" s="6" t="s">
        <v>218</v>
      </c>
      <c r="W55" s="8" t="s">
        <v>221</v>
      </c>
      <c r="X55">
        <v>1998</v>
      </c>
      <c r="AA55" s="47">
        <v>0.114</v>
      </c>
      <c r="AI55" s="18">
        <v>74</v>
      </c>
      <c r="AJ55" s="18">
        <v>38</v>
      </c>
      <c r="AM55" s="9">
        <v>0.13400000000000001</v>
      </c>
      <c r="AZ55" s="36">
        <v>-1.8200000000000001E-2</v>
      </c>
      <c r="BF55" s="9">
        <v>0.20200000000000001</v>
      </c>
      <c r="BG55" s="9">
        <v>0.13</v>
      </c>
      <c r="BH55" s="9">
        <v>2.4E-2</v>
      </c>
      <c r="BI55" s="9">
        <v>0.151</v>
      </c>
      <c r="BJ55" s="9">
        <v>0.39200000000000002</v>
      </c>
      <c r="BK55" s="9">
        <v>0.47299999999999998</v>
      </c>
      <c r="BL55" s="46"/>
      <c r="BM55" s="46"/>
      <c r="BN55" s="46"/>
      <c r="BO55" s="46"/>
      <c r="BP55" s="46"/>
      <c r="BQ55" s="46"/>
      <c r="BR55" s="46"/>
      <c r="BS55" s="46"/>
      <c r="BT55" s="46"/>
      <c r="BU55" s="46"/>
      <c r="BV55" s="46"/>
      <c r="BW55" s="46"/>
      <c r="BX55" s="46"/>
      <c r="BY55" s="46"/>
      <c r="BZ55" s="46"/>
      <c r="CA55" s="46"/>
    </row>
    <row r="56" spans="1:79" x14ac:dyDescent="0.25">
      <c r="A56">
        <f t="shared" si="1"/>
        <v>54</v>
      </c>
      <c r="B56" s="2" t="s">
        <v>106</v>
      </c>
      <c r="C56" t="s">
        <v>1910</v>
      </c>
      <c r="D56" s="3">
        <v>30000</v>
      </c>
      <c r="P56" s="4">
        <v>994.40635199999997</v>
      </c>
      <c r="Q56" s="4">
        <v>11097.710771</v>
      </c>
      <c r="R56" s="4">
        <v>11191.824216999999</v>
      </c>
      <c r="S56" s="40">
        <v>14365.128336</v>
      </c>
      <c r="T56" s="4"/>
      <c r="X56">
        <v>2002</v>
      </c>
      <c r="AI56" s="18">
        <v>540</v>
      </c>
      <c r="AJ56" s="18">
        <v>302</v>
      </c>
      <c r="AK56" s="38" t="s">
        <v>2360</v>
      </c>
      <c r="AN56" t="s">
        <v>1911</v>
      </c>
      <c r="AO56" s="9">
        <v>0.02</v>
      </c>
      <c r="AP56" s="9">
        <v>0.27</v>
      </c>
      <c r="AS56" s="36">
        <v>-5.3999999999999999E-2</v>
      </c>
      <c r="AW56" s="36">
        <v>2.6100000000000002E-2</v>
      </c>
      <c r="AZ56" s="36">
        <v>9.7999999999999997E-3</v>
      </c>
      <c r="BA56" t="s">
        <v>2421</v>
      </c>
      <c r="BB56" s="36">
        <v>0.2041</v>
      </c>
    </row>
    <row r="57" spans="1:79" x14ac:dyDescent="0.25">
      <c r="A57">
        <f t="shared" si="1"/>
        <v>55</v>
      </c>
      <c r="B57" s="2" t="s">
        <v>35</v>
      </c>
      <c r="C57" t="s">
        <v>61</v>
      </c>
      <c r="K57" s="4">
        <v>5534.759</v>
      </c>
      <c r="P57" s="4">
        <v>6638.1859999999997</v>
      </c>
      <c r="Q57" s="4">
        <v>7847.317</v>
      </c>
      <c r="R57" s="4">
        <v>8737.3967329999996</v>
      </c>
      <c r="S57" s="40">
        <v>7430.9920330000004</v>
      </c>
      <c r="T57" s="4"/>
      <c r="U57" s="6" t="s">
        <v>98</v>
      </c>
      <c r="V57" s="6" t="s">
        <v>218</v>
      </c>
      <c r="W57" s="8" t="s">
        <v>221</v>
      </c>
      <c r="AI57" s="18">
        <v>66</v>
      </c>
      <c r="AJ57" s="18">
        <v>52</v>
      </c>
      <c r="AO57" s="9">
        <v>0.24</v>
      </c>
      <c r="AP57" s="9">
        <v>0.21</v>
      </c>
      <c r="AS57" s="50" t="s">
        <v>2878</v>
      </c>
      <c r="AW57" s="9">
        <v>0.2525</v>
      </c>
      <c r="AX57" s="9">
        <v>0.215</v>
      </c>
      <c r="AZ57" s="14" t="s">
        <v>2019</v>
      </c>
      <c r="BA57" t="s">
        <v>2877</v>
      </c>
      <c r="BE57" s="14" t="s">
        <v>2775</v>
      </c>
    </row>
    <row r="58" spans="1:79" x14ac:dyDescent="0.25">
      <c r="A58">
        <f t="shared" si="1"/>
        <v>56</v>
      </c>
      <c r="B58" s="2" t="s">
        <v>48</v>
      </c>
      <c r="C58" t="s">
        <v>71</v>
      </c>
      <c r="K58" s="4">
        <v>4687.527</v>
      </c>
      <c r="P58" s="4">
        <v>6402.4992599999996</v>
      </c>
      <c r="Q58" s="4">
        <v>7798.7951620000003</v>
      </c>
      <c r="R58" s="4">
        <v>7560.7666689999996</v>
      </c>
      <c r="S58" s="40">
        <v>8673.5792529999999</v>
      </c>
      <c r="T58" s="4"/>
      <c r="U58" s="6" t="s">
        <v>100</v>
      </c>
      <c r="W58" s="8" t="s">
        <v>1201</v>
      </c>
      <c r="AI58" s="18">
        <v>58</v>
      </c>
      <c r="AJ58" s="18">
        <v>7</v>
      </c>
      <c r="AL58" s="14" t="s">
        <v>1867</v>
      </c>
      <c r="AM58" s="14" t="s">
        <v>1850</v>
      </c>
      <c r="AO58" s="36">
        <v>-4.4999999999999998E-2</v>
      </c>
      <c r="BP58" s="46"/>
      <c r="BQ58" s="46"/>
      <c r="BR58" s="46"/>
      <c r="BS58" s="46"/>
      <c r="BT58" s="46"/>
      <c r="BU58" s="46"/>
      <c r="BV58" s="46"/>
      <c r="BW58" s="46"/>
      <c r="BX58" s="46"/>
      <c r="BY58" s="46"/>
      <c r="BZ58" s="46"/>
      <c r="CA58" s="46"/>
    </row>
    <row r="59" spans="1:79" x14ac:dyDescent="0.25">
      <c r="A59">
        <f t="shared" si="1"/>
        <v>57</v>
      </c>
      <c r="B59" s="2" t="s">
        <v>1309</v>
      </c>
      <c r="C59" t="s">
        <v>1310</v>
      </c>
      <c r="P59" s="40">
        <v>7239.2522529999997</v>
      </c>
      <c r="Q59" s="40"/>
      <c r="R59" s="4">
        <v>7347.2569720000001</v>
      </c>
      <c r="S59" s="40">
        <v>6715.538063</v>
      </c>
      <c r="T59" s="4">
        <v>7037.6912810000003</v>
      </c>
      <c r="X59">
        <v>2007</v>
      </c>
      <c r="AI59" s="18">
        <v>27</v>
      </c>
      <c r="AJ59" s="18">
        <v>21</v>
      </c>
      <c r="AM59" s="9">
        <v>0.254</v>
      </c>
    </row>
    <row r="60" spans="1:79" x14ac:dyDescent="0.25">
      <c r="A60">
        <f t="shared" si="1"/>
        <v>58</v>
      </c>
      <c r="B60" s="2" t="s">
        <v>29</v>
      </c>
      <c r="C60" t="s">
        <v>50</v>
      </c>
      <c r="D60" s="3">
        <v>6000</v>
      </c>
      <c r="K60" s="4">
        <v>4337.6009999999997</v>
      </c>
      <c r="P60" s="4">
        <v>6401.9011270000001</v>
      </c>
      <c r="Q60" s="4">
        <v>6774.5774160000001</v>
      </c>
      <c r="R60" s="4">
        <v>6459.1653580000002</v>
      </c>
      <c r="S60" s="40">
        <v>6911.1471549999997</v>
      </c>
      <c r="T60" s="4">
        <v>6612.7763599999998</v>
      </c>
      <c r="U60" s="6" t="s">
        <v>100</v>
      </c>
      <c r="V60" s="6" t="s">
        <v>218</v>
      </c>
      <c r="W60" s="8" t="s">
        <v>221</v>
      </c>
      <c r="AI60" s="18">
        <v>53</v>
      </c>
      <c r="AJ60" s="18">
        <v>31</v>
      </c>
      <c r="AL60" s="14" t="s">
        <v>1866</v>
      </c>
      <c r="AM60" s="14" t="s">
        <v>1847</v>
      </c>
      <c r="AO60" s="9">
        <v>-0.09</v>
      </c>
      <c r="BI60" s="46"/>
      <c r="BJ60" s="46"/>
      <c r="BK60" s="46"/>
      <c r="BL60" s="46"/>
      <c r="BM60" s="46"/>
      <c r="BN60" s="46"/>
      <c r="BO60" s="46"/>
      <c r="BP60" s="46"/>
      <c r="BQ60" s="46"/>
      <c r="BR60" s="46"/>
      <c r="BS60" s="46"/>
      <c r="BT60" s="46"/>
      <c r="BU60" s="46"/>
      <c r="BV60" s="46"/>
      <c r="BW60" s="46"/>
      <c r="BX60" s="46"/>
      <c r="BY60" s="46"/>
      <c r="BZ60" s="46"/>
      <c r="CA60" s="46"/>
    </row>
    <row r="61" spans="1:79" x14ac:dyDescent="0.25">
      <c r="A61">
        <f t="shared" si="1"/>
        <v>59</v>
      </c>
      <c r="B61" s="2" t="s">
        <v>184</v>
      </c>
      <c r="C61" t="s">
        <v>1504</v>
      </c>
      <c r="D61" s="3">
        <v>3400</v>
      </c>
      <c r="P61" s="4">
        <v>5804.0060729999996</v>
      </c>
      <c r="Q61" s="4">
        <v>6264.9441550000001</v>
      </c>
      <c r="R61" s="4">
        <v>5762.68912</v>
      </c>
      <c r="S61" s="40">
        <v>5410.9118349999999</v>
      </c>
      <c r="T61" s="4">
        <v>8704.8744779999997</v>
      </c>
      <c r="U61" s="6" t="s">
        <v>95</v>
      </c>
      <c r="V61" s="6" t="s">
        <v>99</v>
      </c>
      <c r="W61" s="8" t="s">
        <v>221</v>
      </c>
      <c r="X61">
        <v>1989</v>
      </c>
      <c r="AA61" s="47">
        <v>0.15790000000000001</v>
      </c>
      <c r="AB61" s="47">
        <v>-0.1845</v>
      </c>
      <c r="AC61" s="7">
        <v>13</v>
      </c>
      <c r="AI61" s="18">
        <v>156</v>
      </c>
      <c r="AJ61" s="18">
        <v>130</v>
      </c>
      <c r="AP61" t="s">
        <v>2095</v>
      </c>
      <c r="AQ61" s="55" t="s">
        <v>2096</v>
      </c>
      <c r="AR61" s="10" t="s">
        <v>2012</v>
      </c>
      <c r="AS61" s="9">
        <v>1.04E-2</v>
      </c>
      <c r="AT61" s="9">
        <v>5.1299999999999998E-2</v>
      </c>
      <c r="AU61" s="9">
        <v>3.4299999999999997E-2</v>
      </c>
      <c r="AV61" s="9">
        <v>1.7399999999999999E-2</v>
      </c>
      <c r="AW61" s="9">
        <v>0.17019999999999999</v>
      </c>
      <c r="AX61" s="9">
        <v>8.8200000000000001E-2</v>
      </c>
      <c r="AZ61" s="14" t="s">
        <v>2826</v>
      </c>
      <c r="BE61" s="14" t="s">
        <v>2774</v>
      </c>
      <c r="BG61" t="s">
        <v>2654</v>
      </c>
      <c r="BH61" s="14" t="s">
        <v>2781</v>
      </c>
      <c r="BI61" s="14" t="s">
        <v>2181</v>
      </c>
      <c r="BO61" s="9">
        <v>0.22</v>
      </c>
      <c r="BP61" s="14" t="s">
        <v>2311</v>
      </c>
      <c r="BQ61" s="14" t="s">
        <v>2221</v>
      </c>
    </row>
    <row r="62" spans="1:79" x14ac:dyDescent="0.25">
      <c r="A62">
        <f t="shared" si="1"/>
        <v>60</v>
      </c>
      <c r="B62" s="2" t="s">
        <v>1311</v>
      </c>
      <c r="R62" s="4">
        <v>5962.9456989999999</v>
      </c>
      <c r="S62" s="4"/>
      <c r="T62" s="4"/>
      <c r="AI62" s="18">
        <v>33</v>
      </c>
      <c r="AJ62" s="18">
        <v>20</v>
      </c>
    </row>
    <row r="63" spans="1:79" x14ac:dyDescent="0.25">
      <c r="A63">
        <f t="shared" si="1"/>
        <v>61</v>
      </c>
      <c r="B63" s="2" t="s">
        <v>1288</v>
      </c>
      <c r="Q63" s="3">
        <v>6585.0032899999997</v>
      </c>
      <c r="R63" s="4">
        <v>6493.7931159999998</v>
      </c>
      <c r="S63" s="40">
        <v>6265.0225209999999</v>
      </c>
      <c r="T63" s="4"/>
      <c r="AI63" s="18">
        <v>24</v>
      </c>
      <c r="AJ63" s="18">
        <v>13</v>
      </c>
    </row>
    <row r="64" spans="1:79" x14ac:dyDescent="0.25">
      <c r="A64">
        <f t="shared" si="1"/>
        <v>62</v>
      </c>
      <c r="B64" s="2" t="s">
        <v>66</v>
      </c>
      <c r="C64" t="s">
        <v>696</v>
      </c>
      <c r="P64" s="4">
        <v>5790.9848439999996</v>
      </c>
      <c r="Q64" s="4">
        <v>6754.8326580000003</v>
      </c>
      <c r="R64" s="4">
        <v>6175.3697439999996</v>
      </c>
      <c r="S64" s="40">
        <v>6463.9018990000004</v>
      </c>
      <c r="T64" s="4"/>
      <c r="X64">
        <v>1993</v>
      </c>
      <c r="Y64" s="14" t="s">
        <v>2129</v>
      </c>
      <c r="AI64" s="18">
        <v>30</v>
      </c>
      <c r="AJ64" s="18">
        <v>18</v>
      </c>
      <c r="AL64" s="9"/>
      <c r="AM64" s="9">
        <v>0.18</v>
      </c>
      <c r="AN64" s="36">
        <v>8.2500000000000004E-2</v>
      </c>
      <c r="AP64" t="s">
        <v>2035</v>
      </c>
      <c r="AS64" s="9">
        <v>0.13</v>
      </c>
      <c r="AU64" s="9">
        <v>0.11</v>
      </c>
      <c r="AV64" s="9">
        <v>2.1999999999999999E-2</v>
      </c>
      <c r="AW64" s="9">
        <v>0.42</v>
      </c>
      <c r="AX64" s="9">
        <v>0.29270000000000002</v>
      </c>
      <c r="AZ64" s="9" t="s">
        <v>2832</v>
      </c>
      <c r="BA64" s="14" t="s">
        <v>2833</v>
      </c>
      <c r="BD64" s="9" t="s">
        <v>2801</v>
      </c>
      <c r="BE64" s="9">
        <v>0.26</v>
      </c>
      <c r="BF64" s="14" t="s">
        <v>2628</v>
      </c>
      <c r="BG64" s="9">
        <v>1.5</v>
      </c>
      <c r="BH64" s="9">
        <v>-0.25</v>
      </c>
      <c r="BI64" s="14" t="s">
        <v>2127</v>
      </c>
      <c r="BJ64" s="14" t="s">
        <v>2126</v>
      </c>
      <c r="BQ64" t="s">
        <v>222</v>
      </c>
      <c r="BR64" s="46"/>
      <c r="BS64" s="46"/>
      <c r="BT64" s="46"/>
      <c r="BU64" s="46"/>
      <c r="BV64" s="46"/>
      <c r="BW64" s="46"/>
      <c r="BX64" s="46"/>
      <c r="BY64" s="46"/>
      <c r="BZ64" s="46"/>
      <c r="CA64" s="46"/>
    </row>
    <row r="65" spans="1:79" x14ac:dyDescent="0.25">
      <c r="A65">
        <f t="shared" si="1"/>
        <v>63</v>
      </c>
      <c r="B65" s="2" t="s">
        <v>113</v>
      </c>
      <c r="C65" t="s">
        <v>2038</v>
      </c>
      <c r="P65" s="4">
        <v>5690.6374500000002</v>
      </c>
      <c r="Q65" s="4">
        <v>6575.6770040000001</v>
      </c>
      <c r="R65" s="4">
        <v>5928.6970179999998</v>
      </c>
      <c r="S65" s="40">
        <v>5176.9134199999999</v>
      </c>
      <c r="T65" s="4">
        <v>6016.8519999999999</v>
      </c>
      <c r="AI65" s="18">
        <v>49</v>
      </c>
      <c r="AJ65" s="18">
        <v>45</v>
      </c>
      <c r="AK65" s="38" t="s">
        <v>2351</v>
      </c>
      <c r="AL65" s="9">
        <v>0.44</v>
      </c>
      <c r="AN65" s="9">
        <v>-0.3</v>
      </c>
      <c r="AO65" s="9">
        <v>0.27</v>
      </c>
      <c r="AP65" s="9" t="s">
        <v>2943</v>
      </c>
      <c r="BP65" s="46"/>
      <c r="BQ65" s="46"/>
      <c r="BR65" s="46"/>
      <c r="BS65" s="46"/>
      <c r="BT65" s="46"/>
      <c r="BU65" s="46"/>
      <c r="BV65" s="46"/>
      <c r="BW65" s="46"/>
      <c r="BX65" s="46"/>
      <c r="BY65" s="46"/>
      <c r="BZ65" s="46"/>
      <c r="CA65" s="46"/>
    </row>
    <row r="66" spans="1:79" x14ac:dyDescent="0.25">
      <c r="A66">
        <f t="shared" si="1"/>
        <v>64</v>
      </c>
      <c r="B66" s="2" t="s">
        <v>73</v>
      </c>
      <c r="C66" t="s">
        <v>2037</v>
      </c>
      <c r="P66" s="4">
        <v>5594.1384889999999</v>
      </c>
      <c r="Q66" s="4">
        <v>6729.0528919999997</v>
      </c>
      <c r="R66" s="4">
        <v>7054.8539330000003</v>
      </c>
      <c r="S66" s="44">
        <v>7130.0089090000001</v>
      </c>
      <c r="T66" s="4"/>
      <c r="AI66" s="18">
        <v>30</v>
      </c>
      <c r="AJ66" s="18">
        <v>20</v>
      </c>
      <c r="AP66" t="s">
        <v>2036</v>
      </c>
      <c r="BP66" s="46"/>
      <c r="BQ66" s="46"/>
      <c r="BR66" s="46"/>
      <c r="BS66" s="46"/>
      <c r="BT66" s="46"/>
      <c r="BU66" s="46"/>
      <c r="BV66" s="46"/>
      <c r="BW66" s="46"/>
      <c r="BX66" s="46"/>
      <c r="BY66" s="46"/>
      <c r="BZ66" s="46"/>
      <c r="CA66" s="46"/>
    </row>
    <row r="67" spans="1:79" x14ac:dyDescent="0.25">
      <c r="A67">
        <f t="shared" si="1"/>
        <v>65</v>
      </c>
      <c r="B67" s="2" t="s">
        <v>150</v>
      </c>
      <c r="C67" t="s">
        <v>1319</v>
      </c>
      <c r="P67" s="44">
        <v>5839.0304329999999</v>
      </c>
      <c r="Q67" s="44"/>
      <c r="R67" s="4">
        <v>6014.5163499999999</v>
      </c>
      <c r="S67" s="44">
        <v>4797.9877319999996</v>
      </c>
      <c r="T67" s="4"/>
      <c r="U67" s="6" t="s">
        <v>1320</v>
      </c>
      <c r="X67">
        <v>2009</v>
      </c>
      <c r="AB67" s="47">
        <v>-0.28110000000000002</v>
      </c>
      <c r="AC67" s="7">
        <f>24+3+6</f>
        <v>33</v>
      </c>
      <c r="AI67" s="18">
        <v>58</v>
      </c>
      <c r="AJ67" s="18">
        <v>39</v>
      </c>
      <c r="AL67" s="14" t="s">
        <v>1936</v>
      </c>
      <c r="AM67" s="9">
        <v>-0.16869999999999999</v>
      </c>
      <c r="AN67" s="9">
        <v>0.21870000000000001</v>
      </c>
      <c r="AO67" s="9">
        <v>-9.4000000000000004E-3</v>
      </c>
      <c r="AP67" s="9">
        <v>0.73209999999999997</v>
      </c>
      <c r="AQ67" s="9">
        <v>-0.128</v>
      </c>
      <c r="BP67" s="46"/>
      <c r="BQ67" s="46"/>
      <c r="BR67" s="46"/>
      <c r="BS67" s="46"/>
      <c r="BT67" s="46"/>
      <c r="BU67" s="46"/>
      <c r="BV67" s="46"/>
      <c r="BW67" s="46"/>
      <c r="BX67" s="46"/>
      <c r="BY67" s="46"/>
      <c r="BZ67" s="46"/>
      <c r="CA67" s="46"/>
    </row>
    <row r="68" spans="1:79" x14ac:dyDescent="0.25">
      <c r="A68">
        <f t="shared" si="1"/>
        <v>66</v>
      </c>
      <c r="B68" s="2" t="s">
        <v>148</v>
      </c>
      <c r="C68" t="s">
        <v>1202</v>
      </c>
      <c r="P68" s="4">
        <v>5415.6385790000004</v>
      </c>
      <c r="Q68" s="4">
        <v>5748.0698949999996</v>
      </c>
      <c r="R68" s="4">
        <v>6010.5106290000003</v>
      </c>
      <c r="S68" s="44">
        <v>6692.8058309999997</v>
      </c>
      <c r="T68" s="4"/>
      <c r="U68" s="6" t="s">
        <v>102</v>
      </c>
      <c r="AB68" s="47"/>
      <c r="AI68" s="18">
        <v>107</v>
      </c>
      <c r="AJ68" s="18">
        <v>41</v>
      </c>
      <c r="AM68" s="9"/>
      <c r="BP68" s="46"/>
      <c r="BQ68" s="46"/>
      <c r="BR68" s="46"/>
      <c r="BS68" s="46"/>
      <c r="BT68" s="46"/>
      <c r="BU68" s="46"/>
      <c r="BV68" s="46"/>
      <c r="BW68" s="46"/>
      <c r="BX68" s="46"/>
      <c r="BY68" s="46"/>
      <c r="BZ68" s="46"/>
      <c r="CA68" s="46"/>
    </row>
    <row r="69" spans="1:79" x14ac:dyDescent="0.25">
      <c r="A69">
        <f t="shared" si="1"/>
        <v>67</v>
      </c>
      <c r="B69" s="2" t="s">
        <v>26</v>
      </c>
      <c r="C69" t="s">
        <v>44</v>
      </c>
      <c r="K69" s="4">
        <v>5379.8770000000004</v>
      </c>
      <c r="P69" s="4">
        <v>5022.5581860000002</v>
      </c>
      <c r="Q69" s="4">
        <v>5972.2947789999998</v>
      </c>
      <c r="R69" s="4">
        <v>6007.4277890000003</v>
      </c>
      <c r="S69" s="44">
        <v>6607.35898</v>
      </c>
      <c r="T69" s="4">
        <v>6621.8056779999997</v>
      </c>
      <c r="U69" s="6" t="s">
        <v>98</v>
      </c>
      <c r="V69" s="6" t="s">
        <v>213</v>
      </c>
      <c r="AB69" s="47"/>
      <c r="AI69" s="18">
        <v>55</v>
      </c>
      <c r="AJ69" s="18">
        <v>31</v>
      </c>
      <c r="AM69" s="9"/>
      <c r="BP69" s="46"/>
      <c r="BQ69" s="46"/>
      <c r="BR69" s="46"/>
      <c r="BS69" s="46"/>
      <c r="BT69" s="46"/>
      <c r="BU69" s="46"/>
      <c r="BV69" s="46"/>
      <c r="BW69" s="46"/>
      <c r="BX69" s="46"/>
      <c r="BY69" s="46"/>
      <c r="BZ69" s="46"/>
      <c r="CA69" s="46"/>
    </row>
    <row r="70" spans="1:79" x14ac:dyDescent="0.25">
      <c r="A70">
        <f t="shared" ref="A70:A133" si="2">+A69+1</f>
        <v>68</v>
      </c>
      <c r="B70" s="2" t="s">
        <v>1494</v>
      </c>
      <c r="Q70" s="3">
        <v>5044.922767</v>
      </c>
      <c r="R70" s="3">
        <v>5253.0577540000004</v>
      </c>
      <c r="S70" s="44">
        <v>6493.4704279999996</v>
      </c>
      <c r="T70" s="4">
        <v>5531.4739680000002</v>
      </c>
      <c r="AB70" s="47"/>
      <c r="AI70" s="18">
        <v>25</v>
      </c>
      <c r="AJ70" s="18">
        <v>17</v>
      </c>
      <c r="AM70" s="9"/>
      <c r="BP70" s="46"/>
      <c r="BQ70" s="46"/>
      <c r="BR70" s="46"/>
      <c r="BS70" s="46"/>
      <c r="BT70" s="46"/>
      <c r="BU70" s="46"/>
      <c r="BV70" s="46"/>
      <c r="BW70" s="46"/>
      <c r="BX70" s="46"/>
      <c r="BY70" s="46"/>
      <c r="BZ70" s="46"/>
      <c r="CA70" s="46"/>
    </row>
    <row r="71" spans="1:79" x14ac:dyDescent="0.25">
      <c r="A71">
        <f t="shared" si="2"/>
        <v>69</v>
      </c>
      <c r="B71" s="2" t="s">
        <v>31</v>
      </c>
      <c r="C71" t="s">
        <v>54</v>
      </c>
      <c r="K71" s="4">
        <v>5387</v>
      </c>
      <c r="P71" s="4">
        <v>5007.2440530000003</v>
      </c>
      <c r="Q71" s="4">
        <v>5459.959793</v>
      </c>
      <c r="R71" s="4">
        <v>5064.5262670000002</v>
      </c>
      <c r="S71" s="44">
        <v>5503.5192159999997</v>
      </c>
      <c r="T71" s="4"/>
      <c r="U71" s="6" t="s">
        <v>102</v>
      </c>
      <c r="V71" s="6" t="s">
        <v>95</v>
      </c>
      <c r="AB71" s="47"/>
      <c r="AI71" s="18">
        <v>131</v>
      </c>
      <c r="AJ71" s="18">
        <v>33</v>
      </c>
      <c r="AM71" s="9"/>
      <c r="AO71" s="14" t="s">
        <v>1840</v>
      </c>
    </row>
    <row r="72" spans="1:79" x14ac:dyDescent="0.25">
      <c r="A72">
        <f t="shared" si="2"/>
        <v>70</v>
      </c>
      <c r="B72" s="2" t="s">
        <v>24</v>
      </c>
      <c r="C72" t="s">
        <v>43</v>
      </c>
      <c r="D72" s="3">
        <v>620</v>
      </c>
      <c r="J72" s="4">
        <v>4050.0909999999999</v>
      </c>
      <c r="K72" s="4">
        <v>4439.2</v>
      </c>
      <c r="P72" s="4">
        <v>4979.7658250000004</v>
      </c>
      <c r="Q72" s="4">
        <v>5321.4750329999997</v>
      </c>
      <c r="R72" s="4">
        <v>5272.5897709999999</v>
      </c>
      <c r="S72" s="44">
        <v>5128.7087600000004</v>
      </c>
      <c r="T72" s="4"/>
      <c r="U72" s="6" t="s">
        <v>98</v>
      </c>
      <c r="V72" s="6" t="s">
        <v>217</v>
      </c>
      <c r="X72">
        <v>1995</v>
      </c>
      <c r="AA72" s="47">
        <v>0.10580000000000001</v>
      </c>
      <c r="AB72" s="47">
        <v>-0.47670000000000001</v>
      </c>
      <c r="AC72" s="7">
        <f>9+6</f>
        <v>15</v>
      </c>
      <c r="AG72" t="s">
        <v>2238</v>
      </c>
      <c r="AI72" s="18">
        <v>31</v>
      </c>
      <c r="AJ72" s="18">
        <v>5</v>
      </c>
      <c r="AL72" s="14" t="s">
        <v>1951</v>
      </c>
      <c r="AM72" s="10" t="s">
        <v>2094</v>
      </c>
      <c r="AN72" s="9">
        <v>-0.28849999999999998</v>
      </c>
      <c r="AO72" s="9">
        <v>0.17280000000000001</v>
      </c>
      <c r="AP72" s="9">
        <v>0.22869999999999999</v>
      </c>
      <c r="AQ72" s="9">
        <v>0.16270000000000001</v>
      </c>
      <c r="AR72" s="10" t="s">
        <v>2002</v>
      </c>
      <c r="AS72" s="9">
        <v>-4.4000000000000003E-3</v>
      </c>
      <c r="AT72" s="9">
        <v>-0.1011</v>
      </c>
      <c r="AU72" s="9">
        <v>0.16009999999999999</v>
      </c>
      <c r="AV72" s="9">
        <v>8.5099999999999995E-2</v>
      </c>
      <c r="AW72" s="9">
        <v>0.1646</v>
      </c>
      <c r="AX72" s="9">
        <v>0.15459999999999999</v>
      </c>
      <c r="BH72" s="36">
        <v>2.5000000000000001E-2</v>
      </c>
      <c r="BI72" t="s">
        <v>2118</v>
      </c>
      <c r="BP72" s="14" t="s">
        <v>2310</v>
      </c>
      <c r="BQ72" s="9">
        <v>0.86</v>
      </c>
      <c r="BR72" t="s">
        <v>2174</v>
      </c>
      <c r="BS72" s="46"/>
      <c r="BT72" s="46"/>
      <c r="BU72" s="46"/>
      <c r="BV72" s="46"/>
      <c r="BW72" s="46"/>
      <c r="BX72" s="46"/>
      <c r="BY72" s="46"/>
      <c r="BZ72" s="46"/>
      <c r="CA72" s="46"/>
    </row>
    <row r="73" spans="1:79" x14ac:dyDescent="0.25">
      <c r="A73">
        <f t="shared" si="2"/>
        <v>71</v>
      </c>
      <c r="B73" s="2" t="s">
        <v>1297</v>
      </c>
      <c r="P73" s="4">
        <v>3025.7837439999998</v>
      </c>
      <c r="Q73" s="4">
        <v>3653</v>
      </c>
      <c r="R73" s="4">
        <v>5004.8059999999996</v>
      </c>
      <c r="S73" s="44">
        <v>4905.1414830000003</v>
      </c>
      <c r="T73" s="4">
        <v>4789.4437770000004</v>
      </c>
      <c r="AI73" s="18">
        <v>371</v>
      </c>
      <c r="AJ73" s="18">
        <v>184</v>
      </c>
      <c r="AM73" s="9"/>
    </row>
    <row r="74" spans="1:79" x14ac:dyDescent="0.25">
      <c r="A74">
        <f t="shared" si="2"/>
        <v>72</v>
      </c>
      <c r="B74" s="2" t="s">
        <v>1303</v>
      </c>
      <c r="C74" t="s">
        <v>1304</v>
      </c>
      <c r="D74" s="3">
        <v>1117</v>
      </c>
      <c r="Q74" s="3">
        <v>5719.1169380000001</v>
      </c>
      <c r="R74" s="4">
        <v>5080.8122750000002</v>
      </c>
      <c r="S74" s="44">
        <v>5168.4605949999996</v>
      </c>
      <c r="T74" s="4"/>
      <c r="U74" s="6" t="s">
        <v>98</v>
      </c>
      <c r="X74" s="11">
        <v>36891</v>
      </c>
      <c r="AA74" s="47">
        <v>0.10730000000000001</v>
      </c>
      <c r="AB74" s="47">
        <v>-0.49170000000000003</v>
      </c>
      <c r="AC74" s="7">
        <f>12+7</f>
        <v>19</v>
      </c>
      <c r="AI74" s="18">
        <v>77</v>
      </c>
      <c r="AJ74" s="18">
        <v>32</v>
      </c>
      <c r="AL74" s="14" t="s">
        <v>1959</v>
      </c>
      <c r="AM74" s="9">
        <v>0.17349999999999999</v>
      </c>
      <c r="AN74" s="9">
        <v>-9.0200000000000002E-2</v>
      </c>
      <c r="AO74" s="14" t="s">
        <v>1960</v>
      </c>
      <c r="AP74" s="9">
        <v>7.6100000000000001E-2</v>
      </c>
      <c r="AQ74" s="9">
        <v>0.26279999999999998</v>
      </c>
      <c r="AR74" s="14" t="s">
        <v>2003</v>
      </c>
      <c r="AS74" s="9">
        <v>0.23380000000000001</v>
      </c>
      <c r="AT74" s="9">
        <v>-2.6800000000000001E-2</v>
      </c>
      <c r="AU74" s="9">
        <v>-0.1812</v>
      </c>
      <c r="AV74" s="9">
        <v>0.1444</v>
      </c>
      <c r="AW74" s="10" t="s">
        <v>2004</v>
      </c>
      <c r="AX74" s="10" t="s">
        <v>2020</v>
      </c>
    </row>
    <row r="75" spans="1:79" x14ac:dyDescent="0.25">
      <c r="A75">
        <f t="shared" si="2"/>
        <v>73</v>
      </c>
      <c r="B75" s="2" t="s">
        <v>1977</v>
      </c>
      <c r="C75" t="s">
        <v>32</v>
      </c>
      <c r="D75" s="3">
        <v>8329</v>
      </c>
      <c r="K75" s="4">
        <v>8031.8270000000002</v>
      </c>
      <c r="P75" s="4">
        <v>4723.1373450000001</v>
      </c>
      <c r="Q75" s="4">
        <v>5131.2977549999996</v>
      </c>
      <c r="R75" s="4">
        <v>5303.7028410000003</v>
      </c>
      <c r="S75" s="44">
        <v>5871.6503089999997</v>
      </c>
      <c r="T75" s="4">
        <v>5871.6503089999997</v>
      </c>
      <c r="U75" s="6" t="s">
        <v>95</v>
      </c>
      <c r="X75">
        <v>1994</v>
      </c>
      <c r="AA75" s="47">
        <v>0.10639999999999999</v>
      </c>
      <c r="AB75" s="47">
        <v>-0.1759</v>
      </c>
      <c r="AC75" s="7">
        <v>12</v>
      </c>
      <c r="AG75" t="s">
        <v>2814</v>
      </c>
      <c r="AI75" s="18">
        <v>197</v>
      </c>
      <c r="AJ75" s="18">
        <v>106</v>
      </c>
      <c r="AL75" s="14" t="s">
        <v>1978</v>
      </c>
      <c r="AM75" s="9">
        <v>0.1285</v>
      </c>
      <c r="AN75" s="9">
        <v>-0.12939999999999999</v>
      </c>
      <c r="AO75" s="9">
        <v>4.9599999999999998E-2</v>
      </c>
      <c r="AP75" s="9">
        <v>0.19489999999999999</v>
      </c>
      <c r="AQ75" s="9">
        <v>0.16600000000000001</v>
      </c>
      <c r="AZ75" s="50" t="s">
        <v>2843</v>
      </c>
      <c r="BD75" s="14" t="s">
        <v>2812</v>
      </c>
      <c r="BE75" s="14" t="s">
        <v>2813</v>
      </c>
      <c r="BG75" s="14" t="s">
        <v>2635</v>
      </c>
      <c r="BH75" s="50" t="s">
        <v>2636</v>
      </c>
      <c r="BI75" t="s">
        <v>2178</v>
      </c>
      <c r="BP75" t="s">
        <v>222</v>
      </c>
      <c r="BQ75" s="46"/>
      <c r="BR75" s="46"/>
      <c r="BS75" s="46"/>
      <c r="BT75" s="46"/>
      <c r="BU75" s="46"/>
      <c r="BV75" s="46"/>
      <c r="BW75" s="46"/>
      <c r="BX75" s="46"/>
      <c r="BY75" s="46"/>
      <c r="BZ75" s="46"/>
      <c r="CA75" s="46"/>
    </row>
    <row r="76" spans="1:79" x14ac:dyDescent="0.25">
      <c r="A76">
        <f t="shared" si="2"/>
        <v>74</v>
      </c>
      <c r="B76" s="2" t="s">
        <v>107</v>
      </c>
      <c r="C76" t="s">
        <v>2007</v>
      </c>
      <c r="D76" s="3">
        <v>9167</v>
      </c>
      <c r="P76" s="4">
        <v>4370.8550519999999</v>
      </c>
      <c r="Q76" s="4">
        <v>5836.1265380000004</v>
      </c>
      <c r="R76" s="4">
        <v>4883.5933199999999</v>
      </c>
      <c r="S76" s="4">
        <v>3696.461581</v>
      </c>
      <c r="X76">
        <v>1995</v>
      </c>
      <c r="AA76" s="47">
        <v>8.0799999999999997E-2</v>
      </c>
      <c r="AB76" s="47">
        <v>-0.11219999999999999</v>
      </c>
      <c r="AC76" s="7">
        <v>13</v>
      </c>
      <c r="AI76" s="18">
        <v>307</v>
      </c>
      <c r="AJ76" s="18">
        <v>250</v>
      </c>
      <c r="AO76" t="s">
        <v>2073</v>
      </c>
      <c r="AP76" t="s">
        <v>2072</v>
      </c>
      <c r="AQ76" s="9" t="s">
        <v>2070</v>
      </c>
      <c r="AR76" s="14" t="s">
        <v>2071</v>
      </c>
      <c r="AS76" s="9" t="s">
        <v>2069</v>
      </c>
      <c r="AT76" s="9" t="s">
        <v>2068</v>
      </c>
      <c r="AU76" s="9" t="s">
        <v>2067</v>
      </c>
      <c r="AV76" s="9" t="s">
        <v>2066</v>
      </c>
      <c r="AW76" s="9" t="s">
        <v>2065</v>
      </c>
      <c r="AX76" s="9" t="s">
        <v>2064</v>
      </c>
      <c r="AY76" t="s">
        <v>2063</v>
      </c>
      <c r="AZ76" t="s">
        <v>2062</v>
      </c>
      <c r="BA76" t="s">
        <v>2061</v>
      </c>
    </row>
    <row r="77" spans="1:79" x14ac:dyDescent="0.25">
      <c r="A77">
        <f t="shared" si="2"/>
        <v>75</v>
      </c>
      <c r="B77" s="2" t="s">
        <v>206</v>
      </c>
      <c r="P77" s="3">
        <v>5843.7251889999998</v>
      </c>
      <c r="R77" s="4">
        <v>4601.3203059999996</v>
      </c>
      <c r="S77" s="4">
        <v>5511.4149630000002</v>
      </c>
      <c r="T77" s="4"/>
      <c r="AI77" s="18">
        <v>47</v>
      </c>
      <c r="AJ77" s="18">
        <v>35</v>
      </c>
    </row>
    <row r="78" spans="1:79" x14ac:dyDescent="0.25">
      <c r="A78">
        <f t="shared" si="2"/>
        <v>76</v>
      </c>
      <c r="B78" s="2" t="s">
        <v>700</v>
      </c>
      <c r="C78" t="s">
        <v>701</v>
      </c>
      <c r="P78" s="4">
        <v>4655.038055</v>
      </c>
      <c r="Q78" s="4">
        <v>5053.8065829999996</v>
      </c>
      <c r="R78" s="4">
        <v>4019.1749329999998</v>
      </c>
      <c r="S78" s="4"/>
      <c r="T78" s="4"/>
      <c r="U78" s="6" t="s">
        <v>98</v>
      </c>
      <c r="V78" s="6" t="s">
        <v>218</v>
      </c>
      <c r="AD78" s="9">
        <v>6.51</v>
      </c>
      <c r="AG78" t="s">
        <v>2103</v>
      </c>
      <c r="AH78" t="s">
        <v>2101</v>
      </c>
      <c r="AI78" s="18">
        <v>21</v>
      </c>
      <c r="AJ78" s="18">
        <v>16</v>
      </c>
      <c r="AL78" s="14" t="s">
        <v>2100</v>
      </c>
      <c r="AO78" s="14" t="s">
        <v>2104</v>
      </c>
      <c r="BF78" t="s">
        <v>2099</v>
      </c>
      <c r="BG78" s="46"/>
      <c r="BH78" s="46"/>
      <c r="BI78" s="46"/>
      <c r="BJ78" s="46"/>
      <c r="BK78" s="46"/>
      <c r="BL78" s="46"/>
      <c r="BM78" s="46"/>
      <c r="BN78" s="46"/>
      <c r="BO78" s="46"/>
      <c r="BP78" s="46"/>
      <c r="BQ78" s="46"/>
      <c r="BR78" s="46"/>
      <c r="BS78" s="46"/>
      <c r="BT78" s="46"/>
      <c r="BU78" s="46"/>
      <c r="BV78" s="46"/>
      <c r="BW78" s="46"/>
      <c r="BX78" s="46"/>
      <c r="BY78" s="46"/>
      <c r="BZ78" s="46"/>
      <c r="CA78" s="46"/>
    </row>
    <row r="79" spans="1:79" x14ac:dyDescent="0.25">
      <c r="A79">
        <f t="shared" si="2"/>
        <v>77</v>
      </c>
      <c r="B79" s="2" t="s">
        <v>28</v>
      </c>
      <c r="C79" t="s">
        <v>49</v>
      </c>
      <c r="K79" s="4">
        <v>3445.66</v>
      </c>
      <c r="P79" s="4">
        <v>4481.9567360000001</v>
      </c>
      <c r="Q79" s="4">
        <v>5757.9581449999996</v>
      </c>
      <c r="R79" s="4">
        <v>4199.4415429999999</v>
      </c>
      <c r="S79" s="40">
        <v>4726.7358299999996</v>
      </c>
      <c r="T79" s="4">
        <v>4726.7358299999996</v>
      </c>
      <c r="U79" s="6" t="s">
        <v>100</v>
      </c>
      <c r="V79" s="6" t="s">
        <v>218</v>
      </c>
      <c r="X79">
        <v>2000</v>
      </c>
      <c r="AA79" s="47">
        <v>0.2049</v>
      </c>
      <c r="AB79" s="47">
        <v>-0.24429999999999999</v>
      </c>
      <c r="AC79" s="7">
        <v>11</v>
      </c>
      <c r="AG79" t="s">
        <v>2882</v>
      </c>
      <c r="AI79" s="18">
        <v>52</v>
      </c>
      <c r="AJ79" s="18">
        <v>39</v>
      </c>
      <c r="AL79" s="14" t="s">
        <v>1868</v>
      </c>
      <c r="AM79" s="9" t="s">
        <v>1851</v>
      </c>
      <c r="AN79" s="9">
        <v>-0.26</v>
      </c>
      <c r="AO79" s="10" t="s">
        <v>1860</v>
      </c>
      <c r="AP79" s="9" t="s">
        <v>2034</v>
      </c>
      <c r="AQ79" s="45" t="s">
        <v>2033</v>
      </c>
      <c r="AR79" s="14" t="s">
        <v>2944</v>
      </c>
      <c r="AS79" s="9" t="s">
        <v>2881</v>
      </c>
      <c r="AT79" s="9">
        <v>1.6400000000000001E-2</v>
      </c>
      <c r="AU79" s="9" t="s">
        <v>2880</v>
      </c>
      <c r="AV79" s="10" t="s">
        <v>2005</v>
      </c>
      <c r="AW79" s="9" t="s">
        <v>2879</v>
      </c>
      <c r="AX79" s="9">
        <v>0.27750000000000002</v>
      </c>
    </row>
    <row r="80" spans="1:79" x14ac:dyDescent="0.25">
      <c r="A80">
        <f t="shared" si="2"/>
        <v>78</v>
      </c>
      <c r="B80" s="2" t="s">
        <v>74</v>
      </c>
      <c r="D80" s="3">
        <v>15702</v>
      </c>
      <c r="P80" s="4">
        <v>3938.719184</v>
      </c>
      <c r="Q80" s="4">
        <v>4466.283023</v>
      </c>
      <c r="R80" s="4">
        <v>4796.3262439999999</v>
      </c>
      <c r="S80" s="40">
        <v>4617.0036289999998</v>
      </c>
      <c r="T80" s="40">
        <v>4355.5822609999996</v>
      </c>
      <c r="AI80" s="18">
        <v>15</v>
      </c>
      <c r="AJ80" s="18">
        <v>7</v>
      </c>
    </row>
    <row r="81" spans="1:79" x14ac:dyDescent="0.25">
      <c r="A81">
        <f t="shared" si="2"/>
        <v>79</v>
      </c>
      <c r="B81" s="2" t="s">
        <v>646</v>
      </c>
      <c r="C81" t="s">
        <v>649</v>
      </c>
      <c r="P81" s="4">
        <v>2994.3490000000002</v>
      </c>
      <c r="Q81" s="4">
        <v>3491.0940839999998</v>
      </c>
      <c r="R81" s="4">
        <v>3350.3836879999999</v>
      </c>
      <c r="S81" s="4"/>
      <c r="T81" s="4">
        <v>2681.0371639999998</v>
      </c>
      <c r="U81" s="6" t="s">
        <v>100</v>
      </c>
      <c r="AI81" s="18">
        <v>17</v>
      </c>
      <c r="AJ81" s="18">
        <v>16</v>
      </c>
    </row>
    <row r="82" spans="1:79" x14ac:dyDescent="0.25">
      <c r="A82">
        <f t="shared" si="2"/>
        <v>80</v>
      </c>
      <c r="B82" s="2" t="s">
        <v>57</v>
      </c>
      <c r="C82" t="s">
        <v>2677</v>
      </c>
      <c r="S82" s="4">
        <v>2354.1819770000002</v>
      </c>
      <c r="T82" s="4">
        <v>2642.223313</v>
      </c>
      <c r="U82" s="6" t="s">
        <v>654</v>
      </c>
      <c r="V82" s="6" t="s">
        <v>2678</v>
      </c>
      <c r="W82" s="8" t="s">
        <v>2343</v>
      </c>
      <c r="X82">
        <v>1991</v>
      </c>
      <c r="Y82" s="14" t="s">
        <v>2129</v>
      </c>
      <c r="AG82" t="s">
        <v>2591</v>
      </c>
      <c r="AH82" t="s">
        <v>2638</v>
      </c>
      <c r="AS82" t="s">
        <v>2883</v>
      </c>
      <c r="AT82" t="s">
        <v>2884</v>
      </c>
      <c r="AZ82" s="9" t="s">
        <v>2851</v>
      </c>
      <c r="BA82" s="9">
        <v>0.44</v>
      </c>
      <c r="BB82" s="9">
        <v>-0.36</v>
      </c>
      <c r="BG82" s="9" t="s">
        <v>2637</v>
      </c>
      <c r="BH82" s="9">
        <v>-0.11</v>
      </c>
      <c r="BQ82" t="s">
        <v>2220</v>
      </c>
      <c r="BS82" t="s">
        <v>222</v>
      </c>
    </row>
    <row r="83" spans="1:79" x14ac:dyDescent="0.25">
      <c r="A83">
        <f t="shared" si="2"/>
        <v>81</v>
      </c>
      <c r="B83" s="2" t="s">
        <v>185</v>
      </c>
      <c r="C83" t="s">
        <v>2871</v>
      </c>
      <c r="D83" s="3">
        <v>16000</v>
      </c>
      <c r="P83" s="4">
        <v>4995.9489999999996</v>
      </c>
      <c r="Q83" s="4">
        <v>4543.0252979999996</v>
      </c>
      <c r="R83" s="4">
        <v>3556.2966700000002</v>
      </c>
      <c r="S83" s="4"/>
      <c r="T83" s="4"/>
      <c r="U83" s="6" t="s">
        <v>1299</v>
      </c>
      <c r="W83" s="8" t="s">
        <v>2163</v>
      </c>
      <c r="AI83" s="18">
        <v>29</v>
      </c>
      <c r="AJ83" s="18">
        <v>13</v>
      </c>
      <c r="AT83" s="9">
        <v>0.04</v>
      </c>
    </row>
    <row r="84" spans="1:79" x14ac:dyDescent="0.25">
      <c r="A84">
        <f t="shared" si="2"/>
        <v>82</v>
      </c>
      <c r="B84" s="2" t="s">
        <v>664</v>
      </c>
      <c r="C84" t="s">
        <v>665</v>
      </c>
      <c r="P84" s="4">
        <v>3284.2082740000001</v>
      </c>
      <c r="Q84" s="4">
        <v>18987.033237</v>
      </c>
      <c r="R84" s="4">
        <v>15970.332716000001</v>
      </c>
      <c r="S84" s="40">
        <v>6164.1379180000004</v>
      </c>
      <c r="T84" s="4">
        <v>10013.478741000001</v>
      </c>
      <c r="U84" s="6" t="s">
        <v>95</v>
      </c>
      <c r="V84" s="6" t="s">
        <v>99</v>
      </c>
      <c r="AI84" s="18">
        <v>359</v>
      </c>
      <c r="AJ84" s="18">
        <v>202</v>
      </c>
      <c r="AM84" s="9">
        <v>8.7999999999999995E-2</v>
      </c>
      <c r="AN84" s="9">
        <v>0.51</v>
      </c>
      <c r="AO84" s="9">
        <v>-0.26</v>
      </c>
      <c r="AP84" s="9">
        <v>0.43</v>
      </c>
    </row>
    <row r="85" spans="1:79" x14ac:dyDescent="0.25">
      <c r="A85">
        <f t="shared" si="2"/>
        <v>83</v>
      </c>
      <c r="B85" t="s">
        <v>1296</v>
      </c>
      <c r="Q85" s="3">
        <v>5013.1009530000001</v>
      </c>
      <c r="R85" s="4">
        <v>4625</v>
      </c>
      <c r="S85" s="40">
        <v>4359.4621029999998</v>
      </c>
      <c r="T85" s="4"/>
      <c r="AI85" s="18">
        <v>26</v>
      </c>
      <c r="AJ85" s="18">
        <v>6</v>
      </c>
    </row>
    <row r="86" spans="1:79" x14ac:dyDescent="0.25">
      <c r="A86">
        <f t="shared" si="2"/>
        <v>84</v>
      </c>
      <c r="B86" t="s">
        <v>1486</v>
      </c>
      <c r="R86" s="4"/>
      <c r="S86" s="4"/>
      <c r="T86" s="4"/>
      <c r="AI86" s="18">
        <v>7</v>
      </c>
      <c r="AJ86" s="18">
        <v>6</v>
      </c>
    </row>
    <row r="87" spans="1:79" x14ac:dyDescent="0.25">
      <c r="A87">
        <f t="shared" si="2"/>
        <v>85</v>
      </c>
      <c r="B87" t="s">
        <v>1721</v>
      </c>
      <c r="Q87" s="3">
        <v>14196.444460000001</v>
      </c>
      <c r="R87" s="40">
        <v>16632.114590000001</v>
      </c>
      <c r="S87" s="40">
        <v>16541.386345999999</v>
      </c>
      <c r="T87" s="4"/>
    </row>
    <row r="88" spans="1:79" x14ac:dyDescent="0.25">
      <c r="A88">
        <f t="shared" si="2"/>
        <v>86</v>
      </c>
      <c r="B88" t="s">
        <v>1722</v>
      </c>
      <c r="C88" t="s">
        <v>1723</v>
      </c>
      <c r="P88" s="3">
        <v>15900.292590999999</v>
      </c>
      <c r="R88" s="40">
        <v>14956.414349999999</v>
      </c>
      <c r="S88" s="40">
        <v>16353.138348</v>
      </c>
      <c r="T88" s="40">
        <v>16547.115111999999</v>
      </c>
      <c r="AI88" s="18">
        <v>25</v>
      </c>
      <c r="AJ88" s="18">
        <v>16</v>
      </c>
      <c r="BE88" s="50" t="s">
        <v>2770</v>
      </c>
      <c r="BG88" t="s">
        <v>2167</v>
      </c>
    </row>
    <row r="89" spans="1:79" x14ac:dyDescent="0.25">
      <c r="A89">
        <f t="shared" si="2"/>
        <v>87</v>
      </c>
      <c r="B89" t="s">
        <v>1484</v>
      </c>
      <c r="C89" t="s">
        <v>1485</v>
      </c>
      <c r="R89" s="4"/>
      <c r="S89" s="4"/>
      <c r="T89" s="4"/>
      <c r="AI89" s="18">
        <v>75</v>
      </c>
      <c r="AJ89" s="18">
        <v>69</v>
      </c>
    </row>
    <row r="90" spans="1:79" x14ac:dyDescent="0.25">
      <c r="A90">
        <f t="shared" si="2"/>
        <v>88</v>
      </c>
      <c r="B90" s="2" t="s">
        <v>679</v>
      </c>
      <c r="P90" s="4">
        <v>4062.169985</v>
      </c>
      <c r="Q90" s="4">
        <v>3938.8463550000001</v>
      </c>
      <c r="R90" s="4">
        <v>3322.3777700000001</v>
      </c>
      <c r="S90" s="4"/>
      <c r="T90" s="4">
        <v>2626.669578</v>
      </c>
      <c r="U90" s="6" t="s">
        <v>102</v>
      </c>
      <c r="AI90" s="18">
        <v>13</v>
      </c>
      <c r="AJ90" s="18">
        <v>6</v>
      </c>
    </row>
    <row r="91" spans="1:79" x14ac:dyDescent="0.25">
      <c r="A91">
        <f t="shared" si="2"/>
        <v>89</v>
      </c>
      <c r="B91" s="2" t="s">
        <v>1322</v>
      </c>
      <c r="C91" t="s">
        <v>1323</v>
      </c>
      <c r="P91" s="3">
        <v>3953.7103139999999</v>
      </c>
      <c r="R91" s="4">
        <v>3268.8816240000001</v>
      </c>
      <c r="S91" s="4"/>
      <c r="T91" s="4">
        <v>2645.0705469999998</v>
      </c>
      <c r="U91" s="6" t="s">
        <v>102</v>
      </c>
      <c r="W91" s="8" t="s">
        <v>2163</v>
      </c>
      <c r="X91">
        <v>2013</v>
      </c>
      <c r="AI91" s="18">
        <v>15</v>
      </c>
      <c r="AJ91" s="18">
        <v>6</v>
      </c>
      <c r="AL91" s="14" t="s">
        <v>1870</v>
      </c>
      <c r="AM91" s="14" t="s">
        <v>1855</v>
      </c>
      <c r="AN91" s="14" t="s">
        <v>1873</v>
      </c>
      <c r="AO91" s="9">
        <v>0.28999999999999998</v>
      </c>
      <c r="AP91" s="9">
        <v>0.42</v>
      </c>
      <c r="AQ91" s="9" t="s">
        <v>1874</v>
      </c>
      <c r="AR91" t="s">
        <v>1844</v>
      </c>
      <c r="AS91" s="9">
        <v>0.52600000000000002</v>
      </c>
      <c r="AT91" s="9">
        <v>0.13100000000000001</v>
      </c>
      <c r="AU91" t="s">
        <v>1845</v>
      </c>
      <c r="AV91" s="14" t="s">
        <v>1839</v>
      </c>
      <c r="AX91" t="s">
        <v>233</v>
      </c>
      <c r="AY91" t="s">
        <v>233</v>
      </c>
      <c r="AZ91" t="s">
        <v>233</v>
      </c>
      <c r="BA91" t="s">
        <v>233</v>
      </c>
      <c r="BB91" t="s">
        <v>233</v>
      </c>
      <c r="BC91" t="s">
        <v>233</v>
      </c>
      <c r="BD91" t="s">
        <v>233</v>
      </c>
      <c r="BE91" t="s">
        <v>233</v>
      </c>
      <c r="BF91" t="s">
        <v>233</v>
      </c>
      <c r="BG91" t="s">
        <v>233</v>
      </c>
      <c r="BH91" t="s">
        <v>233</v>
      </c>
      <c r="BI91" t="s">
        <v>233</v>
      </c>
      <c r="BJ91" t="s">
        <v>233</v>
      </c>
      <c r="BK91" t="s">
        <v>233</v>
      </c>
      <c r="BL91" t="s">
        <v>233</v>
      </c>
      <c r="BM91" t="s">
        <v>233</v>
      </c>
      <c r="BN91" t="s">
        <v>233</v>
      </c>
      <c r="BO91" t="s">
        <v>233</v>
      </c>
      <c r="BP91" t="s">
        <v>233</v>
      </c>
      <c r="BQ91" t="s">
        <v>233</v>
      </c>
      <c r="BR91" t="s">
        <v>233</v>
      </c>
      <c r="BS91" t="s">
        <v>233</v>
      </c>
    </row>
    <row r="92" spans="1:79" x14ac:dyDescent="0.25">
      <c r="A92">
        <f t="shared" si="2"/>
        <v>90</v>
      </c>
      <c r="B92" s="2" t="s">
        <v>52</v>
      </c>
      <c r="K92" s="4">
        <v>1100.212</v>
      </c>
      <c r="P92" s="4">
        <v>2334.1559999999999</v>
      </c>
      <c r="Q92" s="4">
        <v>2197.568025</v>
      </c>
      <c r="R92" s="4">
        <v>2050.2866260000001</v>
      </c>
      <c r="S92" s="4"/>
      <c r="T92" s="4">
        <v>3407.324169</v>
      </c>
      <c r="U92" s="6" t="s">
        <v>98</v>
      </c>
      <c r="W92" s="8" t="s">
        <v>2343</v>
      </c>
      <c r="AI92" s="18">
        <v>32</v>
      </c>
      <c r="AJ92" s="18">
        <v>22</v>
      </c>
    </row>
    <row r="93" spans="1:79" x14ac:dyDescent="0.25">
      <c r="A93">
        <f t="shared" si="2"/>
        <v>91</v>
      </c>
      <c r="B93" s="2" t="s">
        <v>1131</v>
      </c>
      <c r="C93" t="s">
        <v>1132</v>
      </c>
      <c r="P93" s="4">
        <v>3923.913</v>
      </c>
      <c r="Q93" s="4">
        <v>4080.4180000000001</v>
      </c>
      <c r="R93" s="4">
        <v>3613.4749999999999</v>
      </c>
      <c r="S93" s="4"/>
      <c r="T93" s="4"/>
      <c r="U93" s="6" t="s">
        <v>102</v>
      </c>
      <c r="AI93" s="18">
        <v>12</v>
      </c>
      <c r="AJ93" s="18">
        <v>9</v>
      </c>
    </row>
    <row r="94" spans="1:79" x14ac:dyDescent="0.25">
      <c r="A94">
        <f t="shared" si="2"/>
        <v>92</v>
      </c>
      <c r="B94" s="2" t="s">
        <v>1307</v>
      </c>
      <c r="C94" t="s">
        <v>1308</v>
      </c>
      <c r="P94" s="4">
        <v>2722.6707569999999</v>
      </c>
      <c r="Q94" s="4">
        <v>3102.7736410000002</v>
      </c>
      <c r="R94" s="4">
        <v>3187.7679090000001</v>
      </c>
      <c r="S94" s="4"/>
      <c r="T94" s="4"/>
      <c r="U94" s="6" t="s">
        <v>102</v>
      </c>
      <c r="AI94" s="18">
        <v>27</v>
      </c>
      <c r="AJ94" s="18">
        <v>21</v>
      </c>
    </row>
    <row r="95" spans="1:79" x14ac:dyDescent="0.25">
      <c r="A95">
        <f t="shared" si="2"/>
        <v>93</v>
      </c>
      <c r="B95" s="2" t="s">
        <v>199</v>
      </c>
      <c r="C95" t="s">
        <v>2278</v>
      </c>
      <c r="R95" s="4">
        <v>2925.13985</v>
      </c>
      <c r="S95" s="40">
        <v>2670.4672660000001</v>
      </c>
      <c r="T95" s="4">
        <v>16.637598000000001</v>
      </c>
      <c r="U95" s="6" t="s">
        <v>99</v>
      </c>
      <c r="W95" s="8" t="s">
        <v>2343</v>
      </c>
      <c r="X95">
        <v>1983</v>
      </c>
      <c r="Y95" s="56" t="s">
        <v>2633</v>
      </c>
      <c r="AA95" s="47">
        <v>0.1087</v>
      </c>
      <c r="AB95" s="47">
        <v>-0.13170000000000001</v>
      </c>
      <c r="AC95" s="7">
        <v>12</v>
      </c>
      <c r="AI95" s="18">
        <v>190</v>
      </c>
      <c r="AJ95" s="18">
        <v>95</v>
      </c>
      <c r="AN95" t="s">
        <v>1902</v>
      </c>
      <c r="AO95" s="9">
        <v>0.1</v>
      </c>
      <c r="AP95" s="9">
        <v>0.42</v>
      </c>
      <c r="AR95" s="14" t="s">
        <v>2011</v>
      </c>
      <c r="AS95" s="9">
        <v>-0.13170000000000001</v>
      </c>
      <c r="AT95" s="9">
        <v>6.3799999999999996E-2</v>
      </c>
      <c r="AU95" s="9">
        <v>3.5299999999999998E-2</v>
      </c>
      <c r="AV95" s="9">
        <v>-1.38E-2</v>
      </c>
      <c r="AW95" s="9">
        <v>0.18160000000000001</v>
      </c>
      <c r="AX95" s="9">
        <v>1.9599999999999999E-2</v>
      </c>
      <c r="AY95" t="s">
        <v>1903</v>
      </c>
      <c r="AZ95" s="14" t="s">
        <v>2836</v>
      </c>
      <c r="BD95" s="36">
        <v>0.13300000000000001</v>
      </c>
      <c r="BE95" t="s">
        <v>2760</v>
      </c>
      <c r="BF95" s="14" t="s">
        <v>2675</v>
      </c>
      <c r="BG95" s="14" t="s">
        <v>2632</v>
      </c>
      <c r="BH95" s="14" t="s">
        <v>2573</v>
      </c>
      <c r="BI95" s="14" t="s">
        <v>2121</v>
      </c>
      <c r="BP95" s="14" t="s">
        <v>2586</v>
      </c>
      <c r="BQ95" s="14" t="s">
        <v>2213</v>
      </c>
      <c r="BV95" t="s">
        <v>2301</v>
      </c>
      <c r="CA95" t="s">
        <v>222</v>
      </c>
    </row>
    <row r="96" spans="1:79" x14ac:dyDescent="0.25">
      <c r="A96">
        <f t="shared" si="2"/>
        <v>94</v>
      </c>
      <c r="B96" s="2" t="s">
        <v>1473</v>
      </c>
      <c r="C96" t="s">
        <v>2408</v>
      </c>
      <c r="D96" s="3">
        <v>16700</v>
      </c>
      <c r="R96" s="4">
        <v>1717.144172</v>
      </c>
      <c r="S96" s="4"/>
      <c r="T96" s="4"/>
      <c r="AG96" t="s">
        <v>2848</v>
      </c>
      <c r="AI96" s="18">
        <v>549</v>
      </c>
      <c r="AJ96" s="18">
        <v>296</v>
      </c>
      <c r="AP96" s="9">
        <v>0.95</v>
      </c>
      <c r="AQ96" s="36">
        <v>0.53500000000000003</v>
      </c>
      <c r="AS96" s="9">
        <v>0.54</v>
      </c>
      <c r="AT96" s="9">
        <v>0.5</v>
      </c>
      <c r="AV96" t="s">
        <v>2409</v>
      </c>
      <c r="AZ96" s="36" t="s">
        <v>2847</v>
      </c>
      <c r="BA96" s="14" t="s">
        <v>2560</v>
      </c>
    </row>
    <row r="97" spans="1:60" x14ac:dyDescent="0.25">
      <c r="A97">
        <f t="shared" si="2"/>
        <v>95</v>
      </c>
      <c r="B97" s="2" t="s">
        <v>110</v>
      </c>
      <c r="C97" t="s">
        <v>1912</v>
      </c>
      <c r="D97" s="3">
        <v>10196</v>
      </c>
      <c r="Q97" s="3">
        <v>4219.0843729999997</v>
      </c>
      <c r="R97" s="3">
        <v>12185.426366</v>
      </c>
      <c r="S97" s="3">
        <v>9854.5648980000005</v>
      </c>
      <c r="T97" s="4">
        <v>17188.313203000002</v>
      </c>
      <c r="U97" s="6" t="s">
        <v>99</v>
      </c>
      <c r="V97" s="6" t="s">
        <v>1913</v>
      </c>
      <c r="W97" s="8" t="s">
        <v>670</v>
      </c>
      <c r="X97">
        <v>2005</v>
      </c>
      <c r="AA97" s="47">
        <v>9.0399999999999994E-2</v>
      </c>
      <c r="AB97" s="47">
        <v>-7.4099999999999999E-2</v>
      </c>
      <c r="AC97" s="7">
        <v>2</v>
      </c>
      <c r="AI97" s="18">
        <v>5</v>
      </c>
      <c r="AJ97" s="18">
        <v>0</v>
      </c>
      <c r="AN97" s="9">
        <v>0.13</v>
      </c>
      <c r="AR97" s="10" t="s">
        <v>2010</v>
      </c>
      <c r="AS97" s="9">
        <v>3.8199999999999998E-2</v>
      </c>
      <c r="AT97" s="9">
        <v>8.3299999999999999E-2</v>
      </c>
      <c r="AU97" s="9">
        <v>7.5300000000000006E-2</v>
      </c>
      <c r="AV97" s="9">
        <v>8.1500000000000003E-2</v>
      </c>
      <c r="AW97" s="9">
        <v>7.5600000000000001E-2</v>
      </c>
      <c r="BA97" s="36">
        <v>0.1225</v>
      </c>
    </row>
    <row r="98" spans="1:60" x14ac:dyDescent="0.25">
      <c r="A98">
        <f t="shared" si="2"/>
        <v>96</v>
      </c>
      <c r="B98" t="s">
        <v>1989</v>
      </c>
      <c r="C98" t="s">
        <v>1990</v>
      </c>
      <c r="D98" s="3">
        <v>9835</v>
      </c>
      <c r="U98" s="6" t="s">
        <v>98</v>
      </c>
      <c r="V98" s="6" t="s">
        <v>2501</v>
      </c>
      <c r="W98" s="8" t="s">
        <v>670</v>
      </c>
      <c r="AL98" s="14"/>
      <c r="AM98" s="14"/>
      <c r="BA98" s="14" t="s">
        <v>2502</v>
      </c>
    </row>
    <row r="99" spans="1:60" x14ac:dyDescent="0.25">
      <c r="A99">
        <f t="shared" si="2"/>
        <v>97</v>
      </c>
      <c r="B99" s="2" t="s">
        <v>93</v>
      </c>
      <c r="C99" t="s">
        <v>1991</v>
      </c>
      <c r="D99" s="3">
        <v>9562</v>
      </c>
      <c r="P99" s="4">
        <v>1339.16731</v>
      </c>
      <c r="Q99" s="4">
        <v>1523.792498</v>
      </c>
      <c r="R99" s="4">
        <v>1259.015003</v>
      </c>
      <c r="S99" s="4"/>
      <c r="T99" s="4">
        <v>1376.4460320000001</v>
      </c>
      <c r="X99">
        <v>2001</v>
      </c>
      <c r="AA99" s="47">
        <v>0.12</v>
      </c>
      <c r="AB99" s="47">
        <v>-0.2</v>
      </c>
      <c r="AC99" s="7">
        <v>12</v>
      </c>
      <c r="AI99" s="18">
        <v>91</v>
      </c>
      <c r="AJ99" s="18">
        <v>35</v>
      </c>
      <c r="AR99" s="10" t="s">
        <v>1992</v>
      </c>
      <c r="AS99" s="9">
        <v>9.5899999999999999E-2</v>
      </c>
      <c r="AT99" s="9">
        <v>-0.1487</v>
      </c>
      <c r="AU99" s="9">
        <v>0.16880000000000001</v>
      </c>
      <c r="AV99" s="9">
        <v>0.11310000000000001</v>
      </c>
      <c r="AW99" s="9">
        <v>0.33110000000000001</v>
      </c>
      <c r="BD99" t="s">
        <v>2319</v>
      </c>
    </row>
    <row r="100" spans="1:60" x14ac:dyDescent="0.25">
      <c r="A100">
        <f t="shared" si="2"/>
        <v>98</v>
      </c>
      <c r="B100" s="2" t="s">
        <v>138</v>
      </c>
      <c r="C100" t="s">
        <v>2620</v>
      </c>
      <c r="D100" s="3">
        <v>7000</v>
      </c>
      <c r="P100" s="4">
        <v>741.80454199999997</v>
      </c>
      <c r="Q100" s="4"/>
      <c r="R100" s="4"/>
      <c r="S100" s="4"/>
      <c r="T100" s="4"/>
      <c r="U100" s="6" t="s">
        <v>2349</v>
      </c>
      <c r="V100" s="6" t="s">
        <v>2350</v>
      </c>
      <c r="AL100" s="9">
        <v>0.08</v>
      </c>
    </row>
    <row r="101" spans="1:60" x14ac:dyDescent="0.25">
      <c r="A101">
        <f t="shared" si="2"/>
        <v>99</v>
      </c>
      <c r="B101" s="2" t="s">
        <v>126</v>
      </c>
      <c r="C101" t="s">
        <v>1940</v>
      </c>
      <c r="D101" s="3">
        <v>25000</v>
      </c>
      <c r="P101" s="4">
        <v>70.898508000000007</v>
      </c>
      <c r="Q101" s="4"/>
      <c r="R101" s="4"/>
      <c r="S101" s="4"/>
      <c r="T101" s="4"/>
      <c r="U101" s="6" t="s">
        <v>1941</v>
      </c>
      <c r="X101" s="11">
        <v>35430</v>
      </c>
      <c r="AB101" s="47">
        <v>-0.13389999999999999</v>
      </c>
      <c r="AC101" s="7">
        <f>8+3</f>
        <v>11</v>
      </c>
      <c r="AG101" t="s">
        <v>2892</v>
      </c>
      <c r="AI101" s="18">
        <v>204</v>
      </c>
      <c r="AJ101" s="18">
        <v>120</v>
      </c>
      <c r="AL101" s="14" t="s">
        <v>1942</v>
      </c>
      <c r="AM101" s="9">
        <v>8.6900000000000005E-2</v>
      </c>
      <c r="AN101" s="9">
        <v>-6.2300000000000001E-2</v>
      </c>
      <c r="AO101" s="9">
        <v>0.14630000000000001</v>
      </c>
      <c r="AP101" s="9">
        <v>9.8299999999999998E-2</v>
      </c>
      <c r="AQ101" s="9">
        <v>2.24E-2</v>
      </c>
      <c r="AS101" t="s">
        <v>2186</v>
      </c>
      <c r="BA101" t="s">
        <v>2493</v>
      </c>
    </row>
    <row r="102" spans="1:60" x14ac:dyDescent="0.25">
      <c r="A102">
        <f t="shared" si="2"/>
        <v>100</v>
      </c>
      <c r="B102" t="s">
        <v>1970</v>
      </c>
      <c r="C102" t="s">
        <v>1971</v>
      </c>
      <c r="D102" s="3">
        <v>12000</v>
      </c>
      <c r="U102" s="6" t="s">
        <v>2349</v>
      </c>
      <c r="W102" s="8" t="s">
        <v>2495</v>
      </c>
      <c r="X102">
        <v>1996</v>
      </c>
      <c r="BA102" s="14" t="s">
        <v>2559</v>
      </c>
      <c r="BG102" s="14" t="s">
        <v>2671</v>
      </c>
      <c r="BH102" s="14" t="s">
        <v>2616</v>
      </c>
    </row>
    <row r="103" spans="1:60" x14ac:dyDescent="0.25">
      <c r="A103">
        <f t="shared" si="2"/>
        <v>101</v>
      </c>
      <c r="B103" t="s">
        <v>130</v>
      </c>
      <c r="C103" t="s">
        <v>1972</v>
      </c>
      <c r="D103" s="3">
        <v>11696</v>
      </c>
      <c r="T103" s="3">
        <v>39195.575370999999</v>
      </c>
    </row>
    <row r="104" spans="1:60" x14ac:dyDescent="0.25">
      <c r="A104">
        <f t="shared" si="2"/>
        <v>102</v>
      </c>
      <c r="B104" t="s">
        <v>1973</v>
      </c>
      <c r="C104" t="s">
        <v>1974</v>
      </c>
      <c r="D104" s="3">
        <v>6405</v>
      </c>
    </row>
    <row r="105" spans="1:60" x14ac:dyDescent="0.25">
      <c r="A105">
        <f t="shared" si="2"/>
        <v>103</v>
      </c>
      <c r="B105" t="s">
        <v>117</v>
      </c>
      <c r="C105" t="s">
        <v>2923</v>
      </c>
      <c r="D105" s="3" t="s">
        <v>2924</v>
      </c>
      <c r="U105" s="6" t="s">
        <v>97</v>
      </c>
      <c r="X105">
        <v>2015</v>
      </c>
    </row>
    <row r="106" spans="1:60" x14ac:dyDescent="0.25">
      <c r="A106">
        <f t="shared" si="2"/>
        <v>104</v>
      </c>
      <c r="B106" t="s">
        <v>1922</v>
      </c>
      <c r="D106" s="3">
        <v>2900</v>
      </c>
      <c r="U106" s="6" t="s">
        <v>98</v>
      </c>
      <c r="V106" s="6" t="s">
        <v>1966</v>
      </c>
      <c r="X106">
        <v>2013</v>
      </c>
      <c r="AA106" s="47">
        <v>9.3200000000000005E-2</v>
      </c>
      <c r="AB106" s="47">
        <v>-0.25650000000000001</v>
      </c>
      <c r="AC106" s="7">
        <v>3</v>
      </c>
      <c r="AL106" s="14" t="s">
        <v>2093</v>
      </c>
      <c r="AM106" s="9">
        <v>-9.8000000000000004E-2</v>
      </c>
      <c r="AN106" s="9">
        <v>8.5999999999999993E-2</v>
      </c>
      <c r="AO106" s="9">
        <v>0.129</v>
      </c>
      <c r="AP106" s="9">
        <v>0.37659999999999999</v>
      </c>
      <c r="AQ106" s="9">
        <v>7.4200000000000002E-2</v>
      </c>
      <c r="AR106" s="14" t="s">
        <v>2006</v>
      </c>
      <c r="AS106" s="9">
        <v>0.15</v>
      </c>
      <c r="AT106" s="9">
        <v>-3.2000000000000001E-2</v>
      </c>
      <c r="AU106" s="9">
        <v>0.17630000000000001</v>
      </c>
      <c r="AV106" s="9">
        <v>-2.8400000000000002E-2</v>
      </c>
      <c r="AW106" s="9">
        <v>0.14710000000000001</v>
      </c>
    </row>
    <row r="107" spans="1:60" x14ac:dyDescent="0.25">
      <c r="A107">
        <f t="shared" si="2"/>
        <v>105</v>
      </c>
      <c r="B107" t="s">
        <v>1816</v>
      </c>
      <c r="C107" t="s">
        <v>2009</v>
      </c>
      <c r="D107" s="3">
        <v>2130</v>
      </c>
      <c r="Q107" s="3">
        <v>8021.4892289999998</v>
      </c>
    </row>
    <row r="108" spans="1:60" x14ac:dyDescent="0.25">
      <c r="A108">
        <f t="shared" si="2"/>
        <v>106</v>
      </c>
      <c r="B108" s="2" t="s">
        <v>1305</v>
      </c>
      <c r="P108" s="40">
        <v>3127.8579159999999</v>
      </c>
      <c r="Q108" s="40"/>
      <c r="R108" s="4">
        <v>2919.2836120000002</v>
      </c>
      <c r="S108" s="40"/>
      <c r="T108" s="4">
        <v>3445.8629369999999</v>
      </c>
      <c r="AI108" s="18">
        <v>18</v>
      </c>
      <c r="AJ108" s="18">
        <v>14</v>
      </c>
    </row>
    <row r="109" spans="1:60" x14ac:dyDescent="0.25">
      <c r="A109">
        <f t="shared" si="2"/>
        <v>107</v>
      </c>
      <c r="B109" s="2" t="s">
        <v>1312</v>
      </c>
      <c r="C109" t="s">
        <v>1313</v>
      </c>
      <c r="R109" s="4">
        <v>2722.2935520000001</v>
      </c>
      <c r="S109" s="40"/>
      <c r="T109" s="4">
        <v>2934.2149920000002</v>
      </c>
      <c r="X109">
        <v>2011</v>
      </c>
      <c r="AI109" s="18">
        <v>32</v>
      </c>
      <c r="AJ109" s="18">
        <v>21</v>
      </c>
      <c r="AL109" s="14" t="s">
        <v>1871</v>
      </c>
      <c r="AO109" s="14" t="s">
        <v>1858</v>
      </c>
      <c r="AP109" s="14" t="s">
        <v>1859</v>
      </c>
    </row>
    <row r="110" spans="1:60" x14ac:dyDescent="0.25">
      <c r="A110">
        <f t="shared" si="2"/>
        <v>108</v>
      </c>
      <c r="B110" s="2" t="s">
        <v>1294</v>
      </c>
      <c r="C110" t="s">
        <v>60</v>
      </c>
      <c r="K110" s="4">
        <v>1412.152</v>
      </c>
      <c r="P110" s="4">
        <v>2047.9987269999999</v>
      </c>
      <c r="Q110" s="4"/>
      <c r="R110" s="4">
        <v>2044.4063249999999</v>
      </c>
      <c r="S110" s="4">
        <v>2402.9232769999999</v>
      </c>
      <c r="T110" s="4"/>
      <c r="U110" s="6" t="s">
        <v>98</v>
      </c>
      <c r="V110" s="6" t="s">
        <v>1919</v>
      </c>
      <c r="W110" s="8" t="s">
        <v>2343</v>
      </c>
      <c r="X110">
        <v>1996</v>
      </c>
      <c r="AA110" s="47">
        <v>0.12520000000000001</v>
      </c>
      <c r="AB110" s="47">
        <v>-0.2717</v>
      </c>
      <c r="AC110" s="7">
        <v>6</v>
      </c>
      <c r="AI110" s="18">
        <v>127</v>
      </c>
      <c r="AJ110" s="18">
        <v>19</v>
      </c>
      <c r="AK110" s="38" t="s">
        <v>2345</v>
      </c>
      <c r="AL110" s="14" t="s">
        <v>2346</v>
      </c>
      <c r="AN110" s="36" t="s">
        <v>1920</v>
      </c>
      <c r="AR110" s="10" t="s">
        <v>1984</v>
      </c>
      <c r="AS110" s="9">
        <v>1.47E-2</v>
      </c>
      <c r="AT110" s="9">
        <v>8.2000000000000003E-2</v>
      </c>
      <c r="AU110" s="9">
        <v>-0.2</v>
      </c>
      <c r="AV110" s="9">
        <v>7.51E-2</v>
      </c>
      <c r="AW110" s="9">
        <v>0.18759999999999999</v>
      </c>
      <c r="AX110" s="9">
        <v>7.6600000000000001E-2</v>
      </c>
      <c r="BB110" s="9">
        <v>-0.23</v>
      </c>
    </row>
    <row r="111" spans="1:60" x14ac:dyDescent="0.25">
      <c r="A111">
        <f t="shared" si="2"/>
        <v>109</v>
      </c>
      <c r="B111" s="2" t="s">
        <v>56</v>
      </c>
      <c r="C111" t="s">
        <v>2030</v>
      </c>
      <c r="P111" s="4">
        <v>1765.235518</v>
      </c>
      <c r="Q111" s="4">
        <v>1182.369925</v>
      </c>
      <c r="R111" s="4">
        <v>1063.3875740000001</v>
      </c>
      <c r="S111" s="4"/>
      <c r="T111" s="4"/>
      <c r="U111" s="6" t="s">
        <v>95</v>
      </c>
      <c r="W111" s="8" t="s">
        <v>2343</v>
      </c>
      <c r="AA111" s="47">
        <v>7.9699999999999993E-2</v>
      </c>
      <c r="AB111" s="47">
        <v>-0.40350000000000003</v>
      </c>
      <c r="AC111" s="7">
        <v>10</v>
      </c>
      <c r="AI111" s="18">
        <v>56</v>
      </c>
      <c r="AJ111" s="18">
        <v>21</v>
      </c>
      <c r="AU111" s="10" t="s">
        <v>2031</v>
      </c>
      <c r="AV111" s="9">
        <v>-2.3E-2</v>
      </c>
      <c r="AW111" s="9">
        <v>1.3899999999999999E-2</v>
      </c>
      <c r="AX111" s="9">
        <v>0.1469</v>
      </c>
    </row>
    <row r="112" spans="1:60" x14ac:dyDescent="0.25">
      <c r="A112">
        <f t="shared" si="2"/>
        <v>110</v>
      </c>
      <c r="B112" t="s">
        <v>1293</v>
      </c>
      <c r="R112" s="4">
        <v>2709.2641100000001</v>
      </c>
      <c r="S112" s="4"/>
      <c r="T112" s="4"/>
    </row>
    <row r="113" spans="1:56" x14ac:dyDescent="0.25">
      <c r="A113">
        <f t="shared" si="2"/>
        <v>111</v>
      </c>
      <c r="B113" t="s">
        <v>2083</v>
      </c>
      <c r="C113" t="s">
        <v>2084</v>
      </c>
      <c r="S113" s="3">
        <v>3564.5474840000002</v>
      </c>
      <c r="W113" s="8" t="s">
        <v>2343</v>
      </c>
    </row>
    <row r="114" spans="1:56" x14ac:dyDescent="0.25">
      <c r="A114">
        <f t="shared" si="2"/>
        <v>112</v>
      </c>
      <c r="B114" t="s">
        <v>1853</v>
      </c>
      <c r="R114" s="4"/>
      <c r="S114" s="4"/>
      <c r="T114" s="4"/>
      <c r="AL114" s="14" t="s">
        <v>1869</v>
      </c>
      <c r="AM114" s="14" t="s">
        <v>1854</v>
      </c>
    </row>
    <row r="115" spans="1:56" x14ac:dyDescent="0.25">
      <c r="A115">
        <f t="shared" si="2"/>
        <v>113</v>
      </c>
      <c r="B115" t="s">
        <v>2902</v>
      </c>
      <c r="C115" t="s">
        <v>2903</v>
      </c>
      <c r="D115" s="3">
        <v>7000</v>
      </c>
      <c r="R115" s="4"/>
      <c r="S115" s="4"/>
      <c r="T115" s="4"/>
      <c r="AL115" s="14"/>
      <c r="AM115" s="14"/>
    </row>
    <row r="116" spans="1:56" x14ac:dyDescent="0.25">
      <c r="A116">
        <f t="shared" si="2"/>
        <v>114</v>
      </c>
      <c r="B116" t="s">
        <v>1830</v>
      </c>
      <c r="Q116" s="3">
        <v>6361.3548099999998</v>
      </c>
      <c r="R116" s="3">
        <v>6295.3088070000003</v>
      </c>
      <c r="S116" s="3">
        <v>6238.5730400000002</v>
      </c>
      <c r="T116" s="3">
        <v>5635.080962</v>
      </c>
    </row>
    <row r="117" spans="1:56" x14ac:dyDescent="0.25">
      <c r="A117">
        <f t="shared" si="2"/>
        <v>115</v>
      </c>
      <c r="B117" s="2" t="s">
        <v>1474</v>
      </c>
      <c r="C117" t="s">
        <v>2937</v>
      </c>
      <c r="D117" s="3" t="s">
        <v>1915</v>
      </c>
      <c r="R117" s="4">
        <v>2521.5995160000002</v>
      </c>
      <c r="S117" s="4"/>
      <c r="T117" s="4"/>
      <c r="U117" s="6" t="s">
        <v>97</v>
      </c>
      <c r="V117" s="6" t="s">
        <v>2938</v>
      </c>
      <c r="W117" s="8" t="s">
        <v>220</v>
      </c>
      <c r="AI117" s="18">
        <v>2</v>
      </c>
      <c r="AJ117" s="18">
        <v>0</v>
      </c>
      <c r="AP117" s="1" t="s">
        <v>2932</v>
      </c>
      <c r="AQ117" s="1" t="s">
        <v>2935</v>
      </c>
      <c r="AR117" s="1" t="s">
        <v>2936</v>
      </c>
    </row>
    <row r="118" spans="1:56" x14ac:dyDescent="0.25">
      <c r="A118">
        <f t="shared" si="2"/>
        <v>116</v>
      </c>
      <c r="B118" s="2" t="s">
        <v>183</v>
      </c>
      <c r="C118" t="s">
        <v>2816</v>
      </c>
      <c r="P118" s="4">
        <v>1549.0588190000001</v>
      </c>
      <c r="Q118" s="4">
        <v>1829.5737349999999</v>
      </c>
      <c r="R118" s="4">
        <v>1709.7065090000001</v>
      </c>
      <c r="S118" s="4"/>
      <c r="T118" s="4"/>
      <c r="X118">
        <v>2001</v>
      </c>
      <c r="Y118" s="14" t="s">
        <v>2154</v>
      </c>
      <c r="AI118" s="18">
        <v>29</v>
      </c>
      <c r="AJ118" s="18">
        <v>11</v>
      </c>
      <c r="BD118" s="36">
        <v>0.16300000000000001</v>
      </c>
    </row>
    <row r="119" spans="1:56" x14ac:dyDescent="0.25">
      <c r="A119">
        <f t="shared" si="2"/>
        <v>117</v>
      </c>
      <c r="B119" s="2" t="s">
        <v>46</v>
      </c>
      <c r="K119" s="4">
        <v>1264.742</v>
      </c>
      <c r="P119" s="4">
        <v>1106.539</v>
      </c>
      <c r="Q119" s="4">
        <v>886.72607700000003</v>
      </c>
      <c r="R119" s="4">
        <v>862.98003200000005</v>
      </c>
      <c r="S119" s="4"/>
      <c r="T119" s="4"/>
      <c r="U119" s="6" t="s">
        <v>100</v>
      </c>
    </row>
    <row r="120" spans="1:56" x14ac:dyDescent="0.25">
      <c r="A120">
        <f t="shared" si="2"/>
        <v>118</v>
      </c>
      <c r="B120" s="2" t="s">
        <v>667</v>
      </c>
      <c r="P120" s="4">
        <v>1101.3968339999999</v>
      </c>
      <c r="Q120" s="4">
        <v>1333.7237869999999</v>
      </c>
      <c r="R120" s="4">
        <v>1412.847262</v>
      </c>
      <c r="S120" s="4"/>
      <c r="T120" s="4"/>
      <c r="W120" s="8" t="s">
        <v>668</v>
      </c>
    </row>
    <row r="121" spans="1:56" x14ac:dyDescent="0.25">
      <c r="A121">
        <f t="shared" si="2"/>
        <v>119</v>
      </c>
      <c r="B121" s="2" t="s">
        <v>47</v>
      </c>
      <c r="C121" t="s">
        <v>69</v>
      </c>
      <c r="K121" s="4">
        <v>815.42100000000005</v>
      </c>
      <c r="P121" s="4">
        <v>1082.240147</v>
      </c>
      <c r="Q121" s="4">
        <v>960.44607399999995</v>
      </c>
      <c r="R121" s="4">
        <v>981.87468000000001</v>
      </c>
      <c r="S121" s="4"/>
      <c r="T121" s="4"/>
      <c r="U121" s="6" t="s">
        <v>100</v>
      </c>
      <c r="V121" s="6" t="s">
        <v>218</v>
      </c>
      <c r="W121" s="8" t="s">
        <v>2344</v>
      </c>
    </row>
    <row r="122" spans="1:56" x14ac:dyDescent="0.25">
      <c r="A122">
        <f t="shared" si="2"/>
        <v>120</v>
      </c>
      <c r="B122" s="2" t="s">
        <v>203</v>
      </c>
      <c r="C122" t="s">
        <v>1203</v>
      </c>
      <c r="P122" s="4">
        <v>2093.868226</v>
      </c>
      <c r="Q122" s="4">
        <v>2279.648201</v>
      </c>
      <c r="R122" s="4">
        <v>1731.086869</v>
      </c>
      <c r="S122" s="4"/>
      <c r="T122" s="4"/>
      <c r="U122" s="6" t="s">
        <v>100</v>
      </c>
      <c r="W122" s="8" t="s">
        <v>1201</v>
      </c>
      <c r="AL122" s="14" t="s">
        <v>1872</v>
      </c>
      <c r="AM122" s="14" t="s">
        <v>1852</v>
      </c>
      <c r="AO122" s="14" t="s">
        <v>1842</v>
      </c>
    </row>
    <row r="123" spans="1:56" x14ac:dyDescent="0.25">
      <c r="A123">
        <f t="shared" si="2"/>
        <v>121</v>
      </c>
      <c r="B123" s="2" t="s">
        <v>652</v>
      </c>
      <c r="C123" t="s">
        <v>653</v>
      </c>
      <c r="P123" s="4">
        <v>1018.739</v>
      </c>
      <c r="Q123" s="4">
        <v>1345.1919969999999</v>
      </c>
      <c r="R123" s="4">
        <v>1304.5958989999999</v>
      </c>
      <c r="S123" s="4"/>
      <c r="T123" s="4"/>
      <c r="U123" s="6" t="s">
        <v>100</v>
      </c>
      <c r="AL123" s="14" t="s">
        <v>1865</v>
      </c>
      <c r="AM123" s="14" t="s">
        <v>1849</v>
      </c>
      <c r="AO123" s="9">
        <v>-0.3</v>
      </c>
    </row>
    <row r="124" spans="1:56" x14ac:dyDescent="0.25">
      <c r="A124">
        <f t="shared" si="2"/>
        <v>122</v>
      </c>
      <c r="B124" s="2" t="s">
        <v>1302</v>
      </c>
      <c r="P124" s="4">
        <v>1150.712</v>
      </c>
      <c r="Q124" s="4">
        <v>1225.489343</v>
      </c>
      <c r="R124" s="4">
        <v>1211.5763959999999</v>
      </c>
      <c r="S124" s="4"/>
      <c r="T124" s="4"/>
    </row>
    <row r="125" spans="1:56" x14ac:dyDescent="0.25">
      <c r="A125">
        <f t="shared" si="2"/>
        <v>123</v>
      </c>
      <c r="B125" s="2" t="s">
        <v>1263</v>
      </c>
      <c r="R125" s="4">
        <v>840.39369999999997</v>
      </c>
      <c r="S125" s="4"/>
      <c r="T125" s="4"/>
    </row>
    <row r="126" spans="1:56" x14ac:dyDescent="0.25">
      <c r="A126">
        <f t="shared" si="2"/>
        <v>124</v>
      </c>
      <c r="B126" s="2" t="s">
        <v>195</v>
      </c>
      <c r="C126" t="s">
        <v>1306</v>
      </c>
      <c r="R126" s="4">
        <v>778.69210999999996</v>
      </c>
      <c r="S126" s="4"/>
      <c r="T126" s="4"/>
      <c r="W126" s="8" t="s">
        <v>235</v>
      </c>
      <c r="AI126" s="18">
        <v>61</v>
      </c>
      <c r="AJ126" s="18">
        <v>29</v>
      </c>
      <c r="AK126" s="38" t="s">
        <v>2357</v>
      </c>
      <c r="AL126" s="9">
        <v>0.52</v>
      </c>
      <c r="AM126" s="9">
        <v>0.48</v>
      </c>
      <c r="AW126" s="9">
        <v>0.27</v>
      </c>
      <c r="BA126" s="36">
        <v>0.64980000000000004</v>
      </c>
      <c r="BB126" s="36">
        <v>-0.33300000000000002</v>
      </c>
    </row>
    <row r="127" spans="1:56" x14ac:dyDescent="0.25">
      <c r="A127">
        <f t="shared" si="2"/>
        <v>125</v>
      </c>
      <c r="B127" s="2" t="s">
        <v>45</v>
      </c>
      <c r="K127" s="4">
        <v>1092.9059999999999</v>
      </c>
      <c r="P127" s="4">
        <v>808.65300000000002</v>
      </c>
      <c r="Q127" s="4">
        <v>913.78966700000001</v>
      </c>
      <c r="R127" s="4">
        <v>675.32564400000001</v>
      </c>
      <c r="S127" s="4"/>
      <c r="T127" s="4"/>
      <c r="U127" s="6" t="s">
        <v>98</v>
      </c>
      <c r="AL127" s="14" t="s">
        <v>2060</v>
      </c>
      <c r="AM127" s="14" t="s">
        <v>2059</v>
      </c>
      <c r="AN127" s="14" t="s">
        <v>2058</v>
      </c>
      <c r="AO127" s="14" t="s">
        <v>2057</v>
      </c>
      <c r="AP127" s="14" t="s">
        <v>2056</v>
      </c>
      <c r="AQ127" s="14" t="s">
        <v>2055</v>
      </c>
      <c r="AR127" s="14" t="s">
        <v>2054</v>
      </c>
      <c r="AS127" t="s">
        <v>2053</v>
      </c>
    </row>
    <row r="128" spans="1:56" x14ac:dyDescent="0.25">
      <c r="A128">
        <f t="shared" si="2"/>
        <v>126</v>
      </c>
      <c r="B128" s="2" t="s">
        <v>1295</v>
      </c>
      <c r="R128" s="4">
        <v>529.70181100000002</v>
      </c>
      <c r="S128" s="4"/>
      <c r="T128" s="4">
        <v>500.37118199999998</v>
      </c>
    </row>
    <row r="129" spans="1:68" x14ac:dyDescent="0.25">
      <c r="A129">
        <f t="shared" si="2"/>
        <v>127</v>
      </c>
      <c r="B129" s="2" t="s">
        <v>1298</v>
      </c>
      <c r="P129" s="4">
        <v>273.69799999999998</v>
      </c>
      <c r="Q129" s="4">
        <v>272.0761</v>
      </c>
      <c r="R129" s="4">
        <v>353.461074</v>
      </c>
      <c r="S129" s="4"/>
      <c r="T129" s="4"/>
    </row>
    <row r="130" spans="1:68" x14ac:dyDescent="0.25">
      <c r="A130">
        <f t="shared" si="2"/>
        <v>128</v>
      </c>
      <c r="B130" s="2" t="s">
        <v>1317</v>
      </c>
      <c r="C130" t="s">
        <v>1318</v>
      </c>
      <c r="R130" s="4">
        <v>52</v>
      </c>
      <c r="S130" s="4"/>
      <c r="T130" s="4"/>
    </row>
    <row r="131" spans="1:68" x14ac:dyDescent="0.25">
      <c r="A131">
        <f t="shared" si="2"/>
        <v>129</v>
      </c>
      <c r="B131" s="2" t="s">
        <v>53</v>
      </c>
      <c r="C131" t="s">
        <v>2313</v>
      </c>
      <c r="P131" s="4">
        <v>332.71594900000002</v>
      </c>
      <c r="Q131" s="4"/>
      <c r="R131" s="4"/>
      <c r="S131" s="4"/>
      <c r="T131" s="4"/>
      <c r="U131" s="6" t="s">
        <v>660</v>
      </c>
      <c r="X131">
        <v>1991</v>
      </c>
      <c r="AS131" s="50" t="s">
        <v>2885</v>
      </c>
      <c r="AZ131" s="14" t="s">
        <v>2906</v>
      </c>
      <c r="BA131" s="14" t="s">
        <v>2568</v>
      </c>
      <c r="BP131" s="14" t="s">
        <v>2314</v>
      </c>
    </row>
    <row r="132" spans="1:68" x14ac:dyDescent="0.25">
      <c r="A132">
        <f t="shared" si="2"/>
        <v>130</v>
      </c>
      <c r="B132" s="2" t="s">
        <v>41</v>
      </c>
      <c r="C132" t="s">
        <v>68</v>
      </c>
      <c r="K132" s="4">
        <v>799.58</v>
      </c>
      <c r="P132" s="4">
        <v>109.111527</v>
      </c>
      <c r="Q132" s="4"/>
      <c r="R132" s="4"/>
      <c r="S132" s="4"/>
      <c r="T132" s="4"/>
      <c r="U132" s="6" t="s">
        <v>102</v>
      </c>
      <c r="V132" s="6" t="s">
        <v>217</v>
      </c>
      <c r="W132" s="8" t="s">
        <v>651</v>
      </c>
    </row>
    <row r="133" spans="1:68" x14ac:dyDescent="0.25">
      <c r="A133">
        <f t="shared" si="2"/>
        <v>131</v>
      </c>
      <c r="B133" t="s">
        <v>104</v>
      </c>
    </row>
    <row r="134" spans="1:68" x14ac:dyDescent="0.25">
      <c r="A134">
        <f t="shared" ref="A134:A197" si="3">+A133+1</f>
        <v>132</v>
      </c>
      <c r="B134" t="s">
        <v>65</v>
      </c>
      <c r="C134" t="s">
        <v>695</v>
      </c>
      <c r="AA134" s="47"/>
      <c r="AB134" s="47"/>
    </row>
    <row r="135" spans="1:68" x14ac:dyDescent="0.25">
      <c r="A135">
        <f t="shared" si="3"/>
        <v>133</v>
      </c>
      <c r="B135" t="s">
        <v>1321</v>
      </c>
      <c r="Q135" s="3">
        <v>45325.166977000001</v>
      </c>
      <c r="R135" s="3">
        <v>44293.440425000001</v>
      </c>
      <c r="S135" s="3">
        <v>51025.841389000001</v>
      </c>
      <c r="T135" s="3">
        <v>55847.70003</v>
      </c>
      <c r="AA135" s="47"/>
      <c r="AB135" s="47"/>
      <c r="AI135" s="18">
        <v>13</v>
      </c>
      <c r="AJ135" s="18">
        <v>11</v>
      </c>
    </row>
    <row r="136" spans="1:68" x14ac:dyDescent="0.25">
      <c r="A136">
        <f t="shared" si="3"/>
        <v>134</v>
      </c>
      <c r="B136" t="s">
        <v>1577</v>
      </c>
      <c r="Q136" s="3">
        <v>44657.690703</v>
      </c>
      <c r="R136" s="3">
        <v>46451.579060999997</v>
      </c>
      <c r="S136" s="3">
        <v>54941.363611000001</v>
      </c>
      <c r="AA136" s="47"/>
      <c r="AB136" s="47"/>
      <c r="AI136" s="18">
        <v>35</v>
      </c>
      <c r="AJ136" s="18">
        <v>21</v>
      </c>
    </row>
    <row r="137" spans="1:68" x14ac:dyDescent="0.25">
      <c r="A137">
        <f t="shared" si="3"/>
        <v>135</v>
      </c>
      <c r="B137" t="s">
        <v>1916</v>
      </c>
      <c r="C137" t="s">
        <v>1917</v>
      </c>
      <c r="U137" s="6" t="s">
        <v>99</v>
      </c>
      <c r="V137" s="6" t="s">
        <v>1918</v>
      </c>
      <c r="X137">
        <v>2018</v>
      </c>
      <c r="AN137" s="9">
        <v>0.2</v>
      </c>
    </row>
    <row r="138" spans="1:68" x14ac:dyDescent="0.25">
      <c r="A138">
        <f t="shared" si="3"/>
        <v>136</v>
      </c>
      <c r="B138" t="s">
        <v>1967</v>
      </c>
      <c r="AN138" s="9"/>
      <c r="AS138" s="36">
        <v>0.38350000000000001</v>
      </c>
      <c r="AX138" t="s">
        <v>2326</v>
      </c>
    </row>
    <row r="139" spans="1:68" x14ac:dyDescent="0.25">
      <c r="A139">
        <f t="shared" si="3"/>
        <v>137</v>
      </c>
      <c r="B139" t="s">
        <v>70</v>
      </c>
    </row>
    <row r="140" spans="1:68" x14ac:dyDescent="0.25">
      <c r="A140">
        <f t="shared" si="3"/>
        <v>138</v>
      </c>
      <c r="B140" t="s">
        <v>112</v>
      </c>
    </row>
    <row r="141" spans="1:68" x14ac:dyDescent="0.25">
      <c r="A141">
        <f t="shared" si="3"/>
        <v>139</v>
      </c>
      <c r="B141" t="s">
        <v>1856</v>
      </c>
      <c r="AL141" s="14" t="s">
        <v>1857</v>
      </c>
      <c r="AM141" s="14"/>
    </row>
    <row r="142" spans="1:68" x14ac:dyDescent="0.25">
      <c r="A142">
        <f t="shared" si="3"/>
        <v>140</v>
      </c>
      <c r="B142" t="s">
        <v>677</v>
      </c>
    </row>
    <row r="143" spans="1:68" x14ac:dyDescent="0.25">
      <c r="A143">
        <f t="shared" si="3"/>
        <v>141</v>
      </c>
      <c r="B143" t="s">
        <v>2085</v>
      </c>
      <c r="C143" t="s">
        <v>2112</v>
      </c>
      <c r="BH143" t="s">
        <v>2113</v>
      </c>
    </row>
    <row r="144" spans="1:68" x14ac:dyDescent="0.25">
      <c r="A144">
        <f t="shared" si="3"/>
        <v>142</v>
      </c>
      <c r="B144" t="s">
        <v>114</v>
      </c>
    </row>
    <row r="145" spans="1:69" x14ac:dyDescent="0.25">
      <c r="A145">
        <f t="shared" si="3"/>
        <v>143</v>
      </c>
      <c r="B145" t="s">
        <v>2021</v>
      </c>
      <c r="C145" t="s">
        <v>2022</v>
      </c>
    </row>
    <row r="146" spans="1:69" x14ac:dyDescent="0.25">
      <c r="A146">
        <f t="shared" si="3"/>
        <v>144</v>
      </c>
      <c r="B146" t="s">
        <v>1818</v>
      </c>
      <c r="Q146" s="3">
        <v>5016.0044969999999</v>
      </c>
      <c r="R146" s="3">
        <v>6555.041682</v>
      </c>
      <c r="S146" s="3">
        <v>7899.1673190000001</v>
      </c>
      <c r="T146" s="3">
        <v>8579.2385410000006</v>
      </c>
    </row>
    <row r="147" spans="1:69" x14ac:dyDescent="0.25">
      <c r="A147">
        <f t="shared" si="3"/>
        <v>145</v>
      </c>
      <c r="B147" t="s">
        <v>2088</v>
      </c>
      <c r="C147" t="s">
        <v>2089</v>
      </c>
      <c r="U147" s="6" t="s">
        <v>98</v>
      </c>
      <c r="V147" s="6" t="s">
        <v>2090</v>
      </c>
      <c r="AH147" t="s">
        <v>2091</v>
      </c>
      <c r="AK147" s="38" t="s">
        <v>2347</v>
      </c>
      <c r="AL147" s="27" t="s">
        <v>2348</v>
      </c>
    </row>
    <row r="148" spans="1:69" x14ac:dyDescent="0.25">
      <c r="A148">
        <f t="shared" si="3"/>
        <v>146</v>
      </c>
      <c r="B148" t="s">
        <v>118</v>
      </c>
    </row>
    <row r="149" spans="1:69" x14ac:dyDescent="0.25">
      <c r="A149">
        <f t="shared" si="3"/>
        <v>147</v>
      </c>
      <c r="B149" s="2" t="s">
        <v>1498</v>
      </c>
      <c r="C149" t="s">
        <v>2858</v>
      </c>
      <c r="T149" s="4">
        <v>106.02606900000001</v>
      </c>
      <c r="AI149" s="18">
        <v>10</v>
      </c>
      <c r="AJ149" s="18">
        <v>0</v>
      </c>
      <c r="AV149" s="36">
        <v>0.20599999999999999</v>
      </c>
    </row>
    <row r="150" spans="1:69" x14ac:dyDescent="0.25">
      <c r="A150">
        <f t="shared" si="3"/>
        <v>148</v>
      </c>
      <c r="B150" t="s">
        <v>1507</v>
      </c>
      <c r="C150" t="s">
        <v>2206</v>
      </c>
      <c r="D150" s="3" t="s">
        <v>2494</v>
      </c>
      <c r="T150" s="4">
        <v>1425.217337</v>
      </c>
      <c r="AG150" t="s">
        <v>2850</v>
      </c>
      <c r="AI150" s="18">
        <v>45</v>
      </c>
      <c r="AJ150" s="18">
        <v>14</v>
      </c>
      <c r="AP150" t="s">
        <v>2372</v>
      </c>
      <c r="AY150" s="14" t="s">
        <v>2828</v>
      </c>
      <c r="AZ150" s="14" t="s">
        <v>2827</v>
      </c>
      <c r="BA150" t="s">
        <v>2429</v>
      </c>
    </row>
    <row r="151" spans="1:69" x14ac:dyDescent="0.25">
      <c r="A151">
        <f t="shared" si="3"/>
        <v>149</v>
      </c>
      <c r="B151" t="s">
        <v>2859</v>
      </c>
      <c r="C151" t="s">
        <v>2860</v>
      </c>
      <c r="T151" s="4"/>
      <c r="AY151" s="14"/>
      <c r="AZ151" s="14"/>
    </row>
    <row r="152" spans="1:69" x14ac:dyDescent="0.25">
      <c r="A152">
        <f t="shared" si="3"/>
        <v>150</v>
      </c>
      <c r="B152" t="s">
        <v>1324</v>
      </c>
    </row>
    <row r="153" spans="1:69" x14ac:dyDescent="0.25">
      <c r="A153">
        <f t="shared" si="3"/>
        <v>151</v>
      </c>
      <c r="B153" s="2" t="s">
        <v>1497</v>
      </c>
    </row>
    <row r="154" spans="1:69" x14ac:dyDescent="0.25">
      <c r="A154">
        <f t="shared" si="3"/>
        <v>152</v>
      </c>
      <c r="B154" t="s">
        <v>121</v>
      </c>
      <c r="C154" t="s">
        <v>1929</v>
      </c>
      <c r="AB154" s="47">
        <v>-0.34</v>
      </c>
      <c r="AC154" s="7">
        <v>2</v>
      </c>
      <c r="AD154">
        <v>2009</v>
      </c>
      <c r="AI154" s="18">
        <v>347</v>
      </c>
      <c r="AJ154" s="18">
        <v>126</v>
      </c>
      <c r="AL154" s="10" t="s">
        <v>1928</v>
      </c>
      <c r="AM154" s="9">
        <v>0.11260000000000001</v>
      </c>
      <c r="AN154" s="9">
        <v>-2.5600000000000001E-2</v>
      </c>
      <c r="AO154" s="9">
        <v>0.1143</v>
      </c>
      <c r="AP154" s="9">
        <v>-0.04</v>
      </c>
      <c r="AQ154" s="9">
        <v>8.8900000000000007E-2</v>
      </c>
    </row>
    <row r="155" spans="1:69" x14ac:dyDescent="0.25">
      <c r="A155">
        <f t="shared" si="3"/>
        <v>153</v>
      </c>
      <c r="B155" s="2" t="s">
        <v>1505</v>
      </c>
      <c r="T155" s="4">
        <v>1691.8504539999999</v>
      </c>
    </row>
    <row r="156" spans="1:69" x14ac:dyDescent="0.25">
      <c r="A156">
        <f t="shared" si="3"/>
        <v>154</v>
      </c>
      <c r="B156" t="s">
        <v>122</v>
      </c>
      <c r="D156" s="3">
        <v>7689</v>
      </c>
      <c r="AI156" s="18">
        <v>123</v>
      </c>
      <c r="AJ156" s="18">
        <v>73</v>
      </c>
    </row>
    <row r="157" spans="1:69" x14ac:dyDescent="0.25">
      <c r="A157">
        <f t="shared" si="3"/>
        <v>155</v>
      </c>
      <c r="B157" t="s">
        <v>124</v>
      </c>
    </row>
    <row r="158" spans="1:69" x14ac:dyDescent="0.25">
      <c r="A158">
        <f t="shared" si="3"/>
        <v>156</v>
      </c>
      <c r="B158" t="s">
        <v>1508</v>
      </c>
      <c r="C158" t="s">
        <v>2050</v>
      </c>
      <c r="X158">
        <v>2010</v>
      </c>
      <c r="AI158" s="18">
        <v>55</v>
      </c>
      <c r="AJ158" s="18">
        <v>12</v>
      </c>
      <c r="AO158" s="14" t="s">
        <v>2052</v>
      </c>
      <c r="AP158" s="36">
        <v>-0.38350000000000001</v>
      </c>
      <c r="AQ158" s="36">
        <v>-0.10050000000000001</v>
      </c>
      <c r="AR158" s="36">
        <v>-1.14E-2</v>
      </c>
      <c r="AS158" s="9" t="s">
        <v>2051</v>
      </c>
      <c r="AT158" s="36">
        <v>0.50570000000000004</v>
      </c>
      <c r="AU158" s="36">
        <v>-1.9800000000000002E-2</v>
      </c>
      <c r="AV158" s="36">
        <v>0.26369999999999999</v>
      </c>
      <c r="AW158" s="36">
        <v>4.0099999999999997E-2</v>
      </c>
    </row>
    <row r="159" spans="1:69" x14ac:dyDescent="0.25">
      <c r="A159">
        <f t="shared" si="3"/>
        <v>157</v>
      </c>
      <c r="B159" t="s">
        <v>1982</v>
      </c>
      <c r="C159" t="s">
        <v>2250</v>
      </c>
      <c r="AS159" s="9"/>
      <c r="BA159" s="14" t="s">
        <v>2466</v>
      </c>
      <c r="BO159" s="9">
        <v>0.34</v>
      </c>
      <c r="BQ159" s="14" t="s">
        <v>2251</v>
      </c>
    </row>
    <row r="160" spans="1:69" x14ac:dyDescent="0.25">
      <c r="A160">
        <f t="shared" si="3"/>
        <v>158</v>
      </c>
      <c r="B160" t="s">
        <v>2679</v>
      </c>
      <c r="C160" t="s">
        <v>2680</v>
      </c>
      <c r="D160" s="3">
        <v>1700</v>
      </c>
      <c r="U160" s="6" t="s">
        <v>98</v>
      </c>
      <c r="V160" s="6" t="s">
        <v>218</v>
      </c>
      <c r="X160">
        <v>1995</v>
      </c>
      <c r="Y160" s="14" t="s">
        <v>2129</v>
      </c>
      <c r="AA160" s="49">
        <v>0.222</v>
      </c>
      <c r="AG160" t="s">
        <v>2108</v>
      </c>
      <c r="AH160" t="s">
        <v>2682</v>
      </c>
      <c r="AS160" s="9"/>
      <c r="BA160" s="14"/>
      <c r="BF160" s="36">
        <v>0.19600000000000001</v>
      </c>
      <c r="BG160" s="9">
        <v>0.16</v>
      </c>
      <c r="BH160" s="9">
        <v>5.1999999999999998E-2</v>
      </c>
      <c r="BI160" s="9">
        <v>0.128</v>
      </c>
      <c r="BJ160" s="9">
        <v>0.40600000000000003</v>
      </c>
      <c r="BK160" s="9">
        <v>0.27</v>
      </c>
      <c r="BL160" s="10" t="s">
        <v>2685</v>
      </c>
      <c r="BM160" t="s">
        <v>2684</v>
      </c>
      <c r="BN160" t="s">
        <v>2683</v>
      </c>
      <c r="BO160" s="9">
        <v>0.314</v>
      </c>
      <c r="BQ160" s="14"/>
    </row>
    <row r="161" spans="1:79" x14ac:dyDescent="0.25">
      <c r="A161">
        <f t="shared" si="3"/>
        <v>159</v>
      </c>
      <c r="B161" t="s">
        <v>125</v>
      </c>
    </row>
    <row r="162" spans="1:79" x14ac:dyDescent="0.25">
      <c r="A162">
        <f t="shared" si="3"/>
        <v>160</v>
      </c>
      <c r="B162" s="2" t="s">
        <v>1496</v>
      </c>
      <c r="T162" s="4">
        <v>991.22738300000003</v>
      </c>
      <c r="AL162" s="9">
        <v>0.1003</v>
      </c>
      <c r="AM162" s="9">
        <v>0.18790000000000001</v>
      </c>
      <c r="AN162" s="9">
        <v>7.5999999999999998E-2</v>
      </c>
      <c r="AO162" s="9">
        <v>0.45469999999999999</v>
      </c>
      <c r="AP162" s="9">
        <v>0.44619999999999999</v>
      </c>
      <c r="AQ162" s="9">
        <v>0.1021</v>
      </c>
      <c r="AR162" s="9">
        <v>0.19189999999999999</v>
      </c>
      <c r="AS162" s="9">
        <v>-9.8000000000000004E-2</v>
      </c>
      <c r="AT162" s="9">
        <v>3.7400000000000003E-2</v>
      </c>
      <c r="AU162" s="9">
        <v>0.16170000000000001</v>
      </c>
      <c r="AV162" s="9">
        <v>0.25600000000000001</v>
      </c>
      <c r="AW162" s="9">
        <v>2.7099999999999999E-2</v>
      </c>
      <c r="AX162" s="9">
        <v>5.2900000000000003E-2</v>
      </c>
      <c r="AY162" s="9">
        <v>0.23699999999999999</v>
      </c>
      <c r="AZ162" s="9">
        <v>0.23350000000000001</v>
      </c>
      <c r="BA162" s="9">
        <v>0.19620000000000001</v>
      </c>
      <c r="BB162" s="9">
        <v>1.77E-2</v>
      </c>
      <c r="BC162" s="9">
        <v>0.10970000000000001</v>
      </c>
    </row>
    <row r="163" spans="1:79" x14ac:dyDescent="0.25">
      <c r="A163">
        <f t="shared" si="3"/>
        <v>161</v>
      </c>
      <c r="B163" t="s">
        <v>127</v>
      </c>
    </row>
    <row r="164" spans="1:79" x14ac:dyDescent="0.25">
      <c r="A164">
        <f t="shared" si="3"/>
        <v>162</v>
      </c>
      <c r="B164" s="2" t="s">
        <v>1506</v>
      </c>
      <c r="T164" s="4">
        <v>854.64591399999995</v>
      </c>
      <c r="X164">
        <v>2020</v>
      </c>
      <c r="AO164" s="14" t="s">
        <v>1841</v>
      </c>
      <c r="AP164" s="9">
        <v>0.68</v>
      </c>
      <c r="AQ164" s="60"/>
      <c r="AR164" s="60"/>
      <c r="AS164" s="60"/>
      <c r="AT164" s="60"/>
      <c r="AU164" s="60"/>
      <c r="AV164" s="60"/>
      <c r="AW164" s="60"/>
      <c r="AX164" s="60"/>
      <c r="AY164" s="60"/>
      <c r="AZ164" s="60"/>
      <c r="BA164" s="60"/>
      <c r="BB164" s="60"/>
      <c r="BC164" s="60"/>
      <c r="BD164" s="60"/>
      <c r="BE164" s="60"/>
      <c r="BF164" s="60"/>
      <c r="BG164" s="60"/>
      <c r="BH164" s="60"/>
      <c r="BI164" s="60"/>
      <c r="BJ164" s="60"/>
      <c r="BK164" s="60"/>
      <c r="BL164" s="60"/>
      <c r="BM164" s="60"/>
      <c r="BN164" s="60"/>
      <c r="BO164" s="60"/>
      <c r="BP164" s="60"/>
      <c r="BQ164" s="60"/>
      <c r="BR164" s="60"/>
      <c r="BS164" s="60"/>
      <c r="BT164" s="46"/>
      <c r="BU164" s="46"/>
      <c r="BV164" s="46"/>
      <c r="BW164" s="46"/>
      <c r="BX164" s="46"/>
      <c r="BY164" s="46"/>
      <c r="BZ164" s="46"/>
      <c r="CA164" s="46"/>
    </row>
    <row r="165" spans="1:79" x14ac:dyDescent="0.25">
      <c r="A165">
        <f t="shared" si="3"/>
        <v>163</v>
      </c>
      <c r="B165" t="s">
        <v>128</v>
      </c>
    </row>
    <row r="166" spans="1:79" x14ac:dyDescent="0.25">
      <c r="A166">
        <f t="shared" si="3"/>
        <v>164</v>
      </c>
      <c r="B166" s="2" t="s">
        <v>1500</v>
      </c>
      <c r="R166" s="3">
        <v>5924.685219</v>
      </c>
      <c r="T166" s="4">
        <v>5039.1852209999997</v>
      </c>
      <c r="AI166" s="18">
        <v>141</v>
      </c>
      <c r="AJ166" s="18">
        <v>62</v>
      </c>
    </row>
    <row r="167" spans="1:79" x14ac:dyDescent="0.25">
      <c r="A167">
        <f t="shared" si="3"/>
        <v>165</v>
      </c>
      <c r="B167" t="s">
        <v>1316</v>
      </c>
    </row>
    <row r="168" spans="1:79" x14ac:dyDescent="0.25">
      <c r="A168">
        <f t="shared" si="3"/>
        <v>166</v>
      </c>
      <c r="B168" s="2" t="s">
        <v>1501</v>
      </c>
      <c r="T168" s="4">
        <v>1216.8430000000001</v>
      </c>
      <c r="AI168" s="18">
        <v>74</v>
      </c>
      <c r="AJ168" s="18">
        <v>40</v>
      </c>
    </row>
    <row r="169" spans="1:79" x14ac:dyDescent="0.25">
      <c r="A169">
        <f t="shared" si="3"/>
        <v>167</v>
      </c>
      <c r="B169" t="s">
        <v>129</v>
      </c>
    </row>
    <row r="170" spans="1:79" x14ac:dyDescent="0.25">
      <c r="A170">
        <f t="shared" si="3"/>
        <v>168</v>
      </c>
      <c r="B170" t="s">
        <v>1499</v>
      </c>
      <c r="T170" s="4">
        <v>1769.7803570000001</v>
      </c>
    </row>
    <row r="171" spans="1:79" x14ac:dyDescent="0.25">
      <c r="A171">
        <f t="shared" si="3"/>
        <v>169</v>
      </c>
      <c r="B171" s="2" t="s">
        <v>1503</v>
      </c>
      <c r="C171" t="s">
        <v>1836</v>
      </c>
      <c r="D171" s="3">
        <f>410+1810</f>
        <v>2220</v>
      </c>
      <c r="Q171" s="3">
        <v>5192.7570269999997</v>
      </c>
      <c r="R171" s="3">
        <v>4222.3551509999998</v>
      </c>
      <c r="S171" s="3">
        <v>4396.6962030000004</v>
      </c>
      <c r="T171" s="4">
        <v>4054.7216349999999</v>
      </c>
      <c r="W171" s="8" t="s">
        <v>2343</v>
      </c>
      <c r="X171">
        <v>2014</v>
      </c>
      <c r="AA171" s="49">
        <v>9.3100000000000002E-2</v>
      </c>
      <c r="AB171" s="49">
        <v>-2.41E-2</v>
      </c>
      <c r="AC171" s="7">
        <v>3</v>
      </c>
      <c r="AI171" s="9">
        <v>0.19</v>
      </c>
      <c r="AJ171" s="9">
        <v>0.14000000000000001</v>
      </c>
      <c r="AK171" s="9"/>
      <c r="AL171" s="14" t="s">
        <v>1969</v>
      </c>
      <c r="AM171" s="9">
        <v>6.7000000000000004E-2</v>
      </c>
      <c r="AN171" s="9">
        <v>1.2699999999999999E-2</v>
      </c>
      <c r="AO171" s="9">
        <v>0.1138</v>
      </c>
      <c r="AP171" s="9">
        <v>0.25240000000000001</v>
      </c>
      <c r="AQ171" s="9">
        <v>0.1182</v>
      </c>
      <c r="AR171" s="10" t="s">
        <v>2016</v>
      </c>
      <c r="AS171" s="9">
        <v>0.16009999999999999</v>
      </c>
      <c r="AT171" s="9">
        <v>3.8399999999999997E-2</v>
      </c>
      <c r="AU171" s="9">
        <v>0.1014</v>
      </c>
      <c r="AV171" s="9">
        <v>1.4999999999999999E-2</v>
      </c>
      <c r="AW171" s="46"/>
    </row>
    <row r="172" spans="1:79" x14ac:dyDescent="0.25">
      <c r="A172">
        <f t="shared" si="3"/>
        <v>170</v>
      </c>
      <c r="B172" t="s">
        <v>131</v>
      </c>
      <c r="C172" t="s">
        <v>2857</v>
      </c>
      <c r="AI172" s="18">
        <v>185</v>
      </c>
      <c r="AJ172" s="18">
        <v>56</v>
      </c>
      <c r="AM172" s="9"/>
      <c r="AN172" s="9"/>
      <c r="AO172" s="9"/>
      <c r="AP172" s="9"/>
      <c r="AQ172" s="9"/>
    </row>
    <row r="173" spans="1:79" x14ac:dyDescent="0.25">
      <c r="A173">
        <f t="shared" si="3"/>
        <v>171</v>
      </c>
      <c r="B173" s="2" t="s">
        <v>1502</v>
      </c>
      <c r="C173" t="s">
        <v>1952</v>
      </c>
      <c r="D173" s="3">
        <v>225</v>
      </c>
      <c r="T173" s="4">
        <v>701.97274100000004</v>
      </c>
      <c r="U173" s="6" t="s">
        <v>98</v>
      </c>
      <c r="W173" s="8" t="s">
        <v>2343</v>
      </c>
      <c r="X173">
        <v>1986</v>
      </c>
      <c r="AA173" s="49">
        <v>0.1168</v>
      </c>
      <c r="AB173" s="53" t="s">
        <v>1994</v>
      </c>
      <c r="AC173" s="7" t="s">
        <v>1995</v>
      </c>
      <c r="AL173" s="14" t="s">
        <v>1953</v>
      </c>
      <c r="AM173" s="9">
        <v>7.5600000000000001E-2</v>
      </c>
      <c r="AN173" s="9">
        <v>-0.16880000000000001</v>
      </c>
      <c r="AO173" s="9">
        <v>4.4999999999999998E-2</v>
      </c>
      <c r="AP173" s="9">
        <v>6.6699999999999995E-2</v>
      </c>
      <c r="AQ173" s="9">
        <v>0.14460000000000001</v>
      </c>
      <c r="AR173" s="14" t="s">
        <v>1993</v>
      </c>
      <c r="AS173" s="36">
        <v>9.0800000000000006E-2</v>
      </c>
      <c r="AT173" s="36">
        <v>-2.24E-2</v>
      </c>
      <c r="AU173" s="36">
        <v>3.3399999999999999E-2</v>
      </c>
      <c r="AV173" s="36">
        <v>8.2299999999999998E-2</v>
      </c>
      <c r="AW173" s="36">
        <v>0.2382</v>
      </c>
      <c r="BF173" t="s">
        <v>2640</v>
      </c>
      <c r="BG173" t="s">
        <v>2639</v>
      </c>
      <c r="BH173" t="s">
        <v>2642</v>
      </c>
      <c r="BI173" t="s">
        <v>2642</v>
      </c>
      <c r="BJ173" t="s">
        <v>2641</v>
      </c>
      <c r="BO173" s="9">
        <v>0.31</v>
      </c>
      <c r="BQ173" s="14" t="s">
        <v>2242</v>
      </c>
      <c r="BY173" s="9">
        <v>1.2</v>
      </c>
    </row>
    <row r="174" spans="1:79" x14ac:dyDescent="0.25">
      <c r="A174">
        <f t="shared" si="3"/>
        <v>172</v>
      </c>
      <c r="B174" t="s">
        <v>132</v>
      </c>
      <c r="D174" s="3">
        <v>1400</v>
      </c>
      <c r="U174" s="6" t="s">
        <v>2457</v>
      </c>
      <c r="W174" s="8" t="s">
        <v>2534</v>
      </c>
      <c r="BA174" s="14" t="s">
        <v>2533</v>
      </c>
    </row>
    <row r="175" spans="1:79" x14ac:dyDescent="0.25">
      <c r="A175">
        <f t="shared" si="3"/>
        <v>173</v>
      </c>
      <c r="B175" t="s">
        <v>133</v>
      </c>
    </row>
    <row r="176" spans="1:79" x14ac:dyDescent="0.25">
      <c r="A176">
        <f t="shared" si="3"/>
        <v>174</v>
      </c>
      <c r="B176" t="s">
        <v>1863</v>
      </c>
      <c r="AL176" s="14" t="s">
        <v>1864</v>
      </c>
    </row>
    <row r="177" spans="1:53" x14ac:dyDescent="0.25">
      <c r="A177">
        <f t="shared" si="3"/>
        <v>175</v>
      </c>
      <c r="B177" t="s">
        <v>134</v>
      </c>
    </row>
    <row r="178" spans="1:53" x14ac:dyDescent="0.25">
      <c r="A178">
        <f t="shared" si="3"/>
        <v>176</v>
      </c>
      <c r="B178" t="s">
        <v>135</v>
      </c>
    </row>
    <row r="179" spans="1:53" x14ac:dyDescent="0.25">
      <c r="A179">
        <f t="shared" si="3"/>
        <v>177</v>
      </c>
      <c r="B179" s="2" t="s">
        <v>1495</v>
      </c>
      <c r="T179" s="4">
        <v>295.99487199999999</v>
      </c>
    </row>
    <row r="180" spans="1:53" x14ac:dyDescent="0.25">
      <c r="A180">
        <f t="shared" si="3"/>
        <v>178</v>
      </c>
      <c r="B180" t="s">
        <v>136</v>
      </c>
    </row>
    <row r="181" spans="1:53" x14ac:dyDescent="0.25">
      <c r="A181">
        <f t="shared" si="3"/>
        <v>179</v>
      </c>
      <c r="B181" t="s">
        <v>137</v>
      </c>
    </row>
    <row r="182" spans="1:53" x14ac:dyDescent="0.25">
      <c r="A182">
        <f t="shared" si="3"/>
        <v>180</v>
      </c>
      <c r="B182" t="s">
        <v>2092</v>
      </c>
    </row>
    <row r="183" spans="1:53" x14ac:dyDescent="0.25">
      <c r="A183">
        <f t="shared" si="3"/>
        <v>181</v>
      </c>
      <c r="B183" t="s">
        <v>139</v>
      </c>
      <c r="BA183" t="s">
        <v>2465</v>
      </c>
    </row>
    <row r="184" spans="1:53" x14ac:dyDescent="0.25">
      <c r="A184">
        <f t="shared" si="3"/>
        <v>182</v>
      </c>
      <c r="B184" t="s">
        <v>140</v>
      </c>
    </row>
    <row r="185" spans="1:53" x14ac:dyDescent="0.25">
      <c r="A185">
        <f t="shared" si="3"/>
        <v>183</v>
      </c>
      <c r="B185" t="s">
        <v>1289</v>
      </c>
    </row>
    <row r="186" spans="1:53" x14ac:dyDescent="0.25">
      <c r="A186">
        <f t="shared" si="3"/>
        <v>184</v>
      </c>
      <c r="B186" t="s">
        <v>141</v>
      </c>
    </row>
    <row r="187" spans="1:53" x14ac:dyDescent="0.25">
      <c r="A187">
        <f t="shared" si="3"/>
        <v>185</v>
      </c>
      <c r="B187" t="s">
        <v>142</v>
      </c>
      <c r="C187" t="s">
        <v>1930</v>
      </c>
      <c r="D187" s="3">
        <v>2370</v>
      </c>
      <c r="AB187" s="47">
        <v>-0.30199999999999999</v>
      </c>
      <c r="AC187" s="7">
        <v>8</v>
      </c>
      <c r="AD187" s="11"/>
      <c r="AL187" s="14" t="s">
        <v>1931</v>
      </c>
      <c r="AM187" s="9">
        <v>7.5600000000000001E-2</v>
      </c>
      <c r="AN187" s="9">
        <v>8.9999999999999993E-3</v>
      </c>
      <c r="AO187" s="9">
        <v>8.2900000000000001E-2</v>
      </c>
      <c r="AP187" s="9">
        <v>0.2213</v>
      </c>
      <c r="AQ187" s="9">
        <v>6.1899999999999997E-2</v>
      </c>
    </row>
    <row r="188" spans="1:53" x14ac:dyDescent="0.25">
      <c r="A188">
        <f t="shared" si="3"/>
        <v>186</v>
      </c>
      <c r="B188" t="s">
        <v>1904</v>
      </c>
      <c r="AD188" s="11"/>
    </row>
    <row r="189" spans="1:53" x14ac:dyDescent="0.25">
      <c r="A189">
        <f t="shared" si="3"/>
        <v>187</v>
      </c>
      <c r="B189" t="s">
        <v>1932</v>
      </c>
      <c r="D189" s="3">
        <v>3170</v>
      </c>
      <c r="X189" s="11">
        <v>39538</v>
      </c>
      <c r="AB189" s="47">
        <v>-0.1699</v>
      </c>
      <c r="AC189" s="7">
        <v>3</v>
      </c>
      <c r="AL189" s="10" t="s">
        <v>1934</v>
      </c>
      <c r="AM189" s="9">
        <v>9.8199999999999996E-2</v>
      </c>
      <c r="AN189" s="9">
        <v>5.6599999999999998E-2</v>
      </c>
      <c r="AO189" s="9">
        <v>0.1094</v>
      </c>
      <c r="AP189" s="9">
        <v>2.18E-2</v>
      </c>
      <c r="AQ189" s="9">
        <v>6.7299999999999999E-2</v>
      </c>
    </row>
    <row r="190" spans="1:53" x14ac:dyDescent="0.25">
      <c r="A190">
        <f t="shared" si="3"/>
        <v>188</v>
      </c>
      <c r="B190" t="s">
        <v>1933</v>
      </c>
      <c r="D190" s="3">
        <v>6671</v>
      </c>
      <c r="X190" s="11">
        <v>41305</v>
      </c>
      <c r="AB190" s="47">
        <v>-0.1517</v>
      </c>
      <c r="AC190" s="7">
        <v>2</v>
      </c>
      <c r="AL190" s="10" t="s">
        <v>1935</v>
      </c>
      <c r="AM190" s="9">
        <v>0.14699999999999999</v>
      </c>
      <c r="AN190" s="9">
        <v>-4.6399999999999997E-2</v>
      </c>
      <c r="AO190" s="9">
        <v>0.12740000000000001</v>
      </c>
      <c r="AP190" s="9">
        <v>3.9399999999999998E-2</v>
      </c>
      <c r="AQ190" s="9">
        <v>7.4099999999999999E-2</v>
      </c>
    </row>
    <row r="191" spans="1:53" x14ac:dyDescent="0.25">
      <c r="A191">
        <f t="shared" si="3"/>
        <v>189</v>
      </c>
      <c r="B191" t="s">
        <v>143</v>
      </c>
    </row>
    <row r="192" spans="1:53" x14ac:dyDescent="0.25">
      <c r="A192">
        <f t="shared" si="3"/>
        <v>190</v>
      </c>
      <c r="B192" t="s">
        <v>145</v>
      </c>
      <c r="D192" s="3">
        <v>1120</v>
      </c>
      <c r="AB192" s="47">
        <v>-0.2384</v>
      </c>
      <c r="AC192" s="7">
        <v>3</v>
      </c>
      <c r="AL192" s="14" t="s">
        <v>1924</v>
      </c>
      <c r="AM192" s="9">
        <v>0.18079999999999999</v>
      </c>
      <c r="AN192" s="9">
        <v>1.8200000000000001E-2</v>
      </c>
      <c r="AO192" s="9">
        <v>0.1573</v>
      </c>
      <c r="AP192" s="9">
        <v>0.28899999999999998</v>
      </c>
      <c r="AQ192" s="9">
        <v>5.0500000000000003E-2</v>
      </c>
    </row>
    <row r="193" spans="1:74" x14ac:dyDescent="0.25">
      <c r="A193">
        <f t="shared" si="3"/>
        <v>191</v>
      </c>
      <c r="B193" t="s">
        <v>1980</v>
      </c>
      <c r="D193" s="3">
        <v>7398</v>
      </c>
      <c r="AB193" s="47"/>
      <c r="AL193" s="14"/>
      <c r="AM193" s="9"/>
      <c r="AN193" s="9"/>
      <c r="AO193" s="9"/>
      <c r="AP193" s="9"/>
      <c r="AQ193" s="9"/>
    </row>
    <row r="194" spans="1:74" x14ac:dyDescent="0.25">
      <c r="A194">
        <f t="shared" si="3"/>
        <v>192</v>
      </c>
      <c r="B194" t="s">
        <v>2086</v>
      </c>
      <c r="C194" t="s">
        <v>2087</v>
      </c>
      <c r="Q194" s="3">
        <v>3202.2072290000001</v>
      </c>
      <c r="R194" s="3">
        <v>5114.8834749999996</v>
      </c>
      <c r="S194" s="3">
        <v>6227.2319450000005</v>
      </c>
      <c r="T194" s="3">
        <v>6216.6473210000004</v>
      </c>
      <c r="AB194" s="47"/>
      <c r="AL194" s="14"/>
      <c r="AM194" s="9"/>
      <c r="AN194" s="9"/>
      <c r="AO194" s="9"/>
      <c r="AP194" s="9"/>
      <c r="AQ194" s="9"/>
    </row>
    <row r="195" spans="1:74" x14ac:dyDescent="0.25">
      <c r="A195">
        <f t="shared" si="3"/>
        <v>193</v>
      </c>
      <c r="B195" t="s">
        <v>146</v>
      </c>
    </row>
    <row r="196" spans="1:74" x14ac:dyDescent="0.25">
      <c r="A196">
        <f t="shared" si="3"/>
        <v>194</v>
      </c>
      <c r="B196" t="s">
        <v>147</v>
      </c>
    </row>
    <row r="197" spans="1:74" x14ac:dyDescent="0.25">
      <c r="A197">
        <f t="shared" si="3"/>
        <v>195</v>
      </c>
      <c r="B197" t="s">
        <v>149</v>
      </c>
    </row>
    <row r="198" spans="1:74" x14ac:dyDescent="0.25">
      <c r="A198">
        <f t="shared" ref="A198:A261" si="4">+A197+1</f>
        <v>196</v>
      </c>
      <c r="B198" t="s">
        <v>2352</v>
      </c>
      <c r="C198" t="s">
        <v>2353</v>
      </c>
      <c r="AK198" s="36" t="s">
        <v>2354</v>
      </c>
      <c r="AL198" s="36"/>
    </row>
    <row r="199" spans="1:74" x14ac:dyDescent="0.25">
      <c r="A199">
        <f t="shared" si="4"/>
        <v>197</v>
      </c>
      <c r="B199" t="s">
        <v>151</v>
      </c>
    </row>
    <row r="200" spans="1:74" x14ac:dyDescent="0.25">
      <c r="A200">
        <f t="shared" si="4"/>
        <v>198</v>
      </c>
      <c r="B200" t="s">
        <v>152</v>
      </c>
      <c r="C200" t="s">
        <v>1975</v>
      </c>
      <c r="D200" s="3">
        <v>1233</v>
      </c>
      <c r="R200" s="3">
        <v>3552.251471</v>
      </c>
      <c r="S200" s="3">
        <v>3609.5168399999998</v>
      </c>
      <c r="X200">
        <v>2002</v>
      </c>
      <c r="AB200" s="49">
        <v>-6.9000000000000006E-2</v>
      </c>
      <c r="AC200" s="7">
        <v>7</v>
      </c>
      <c r="AL200" s="14" t="s">
        <v>1976</v>
      </c>
      <c r="AM200" s="9">
        <v>6.9199999999999998E-2</v>
      </c>
      <c r="AN200" s="9">
        <v>1.09E-2</v>
      </c>
      <c r="AO200" s="9">
        <v>0.1</v>
      </c>
      <c r="AP200" s="9">
        <v>1.8100000000000002E-2</v>
      </c>
      <c r="AQ200" s="9">
        <v>6.6500000000000004E-2</v>
      </c>
      <c r="BQ200" s="14" t="s">
        <v>2237</v>
      </c>
    </row>
    <row r="201" spans="1:74" x14ac:dyDescent="0.25">
      <c r="A201">
        <f t="shared" si="4"/>
        <v>199</v>
      </c>
      <c r="B201" t="s">
        <v>153</v>
      </c>
      <c r="C201" t="s">
        <v>2840</v>
      </c>
      <c r="X201">
        <v>1999</v>
      </c>
      <c r="AI201" s="18">
        <v>7</v>
      </c>
      <c r="AJ201" s="18">
        <v>4</v>
      </c>
      <c r="AS201" s="14" t="s">
        <v>2897</v>
      </c>
      <c r="AZ201" s="36" t="s">
        <v>1509</v>
      </c>
    </row>
    <row r="202" spans="1:74" x14ac:dyDescent="0.25">
      <c r="A202">
        <f t="shared" si="4"/>
        <v>200</v>
      </c>
      <c r="B202" t="s">
        <v>1981</v>
      </c>
      <c r="AZ202" s="36"/>
    </row>
    <row r="203" spans="1:74" x14ac:dyDescent="0.25">
      <c r="A203">
        <f t="shared" si="4"/>
        <v>201</v>
      </c>
      <c r="B203" t="s">
        <v>1968</v>
      </c>
      <c r="C203" t="s">
        <v>2304</v>
      </c>
      <c r="W203" s="8" t="s">
        <v>219</v>
      </c>
      <c r="AZ203" s="36"/>
      <c r="BA203" s="14" t="s">
        <v>2570</v>
      </c>
      <c r="BV203" s="9">
        <v>0</v>
      </c>
    </row>
    <row r="204" spans="1:74" x14ac:dyDescent="0.25">
      <c r="A204">
        <f t="shared" si="4"/>
        <v>202</v>
      </c>
      <c r="B204" t="s">
        <v>154</v>
      </c>
    </row>
    <row r="205" spans="1:74" x14ac:dyDescent="0.25">
      <c r="A205">
        <f t="shared" si="4"/>
        <v>203</v>
      </c>
      <c r="B205" t="s">
        <v>1987</v>
      </c>
      <c r="C205" t="s">
        <v>1988</v>
      </c>
    </row>
    <row r="206" spans="1:74" x14ac:dyDescent="0.25">
      <c r="A206">
        <f t="shared" si="4"/>
        <v>204</v>
      </c>
      <c r="B206" t="s">
        <v>155</v>
      </c>
    </row>
    <row r="207" spans="1:74" x14ac:dyDescent="0.25">
      <c r="A207">
        <f t="shared" si="4"/>
        <v>205</v>
      </c>
      <c r="B207" t="s">
        <v>156</v>
      </c>
      <c r="C207" t="s">
        <v>1900</v>
      </c>
      <c r="D207" s="3">
        <v>746</v>
      </c>
      <c r="U207" s="6" t="s">
        <v>1901</v>
      </c>
      <c r="AK207" s="38" t="s">
        <v>2358</v>
      </c>
      <c r="AL207" s="9">
        <v>-0.32</v>
      </c>
      <c r="AM207" s="9">
        <v>-0.43</v>
      </c>
      <c r="AN207" s="9">
        <v>1.93</v>
      </c>
      <c r="AO207" s="9">
        <v>0.7</v>
      </c>
    </row>
    <row r="208" spans="1:74" x14ac:dyDescent="0.25">
      <c r="A208">
        <f t="shared" si="4"/>
        <v>206</v>
      </c>
      <c r="B208" t="s">
        <v>157</v>
      </c>
    </row>
    <row r="209" spans="1:79" x14ac:dyDescent="0.25">
      <c r="A209">
        <f t="shared" si="4"/>
        <v>207</v>
      </c>
      <c r="B209" t="s">
        <v>158</v>
      </c>
    </row>
    <row r="210" spans="1:79" x14ac:dyDescent="0.25">
      <c r="A210">
        <f t="shared" si="4"/>
        <v>208</v>
      </c>
      <c r="B210" t="s">
        <v>159</v>
      </c>
    </row>
    <row r="211" spans="1:79" x14ac:dyDescent="0.25">
      <c r="A211">
        <f t="shared" si="4"/>
        <v>209</v>
      </c>
      <c r="B211" t="s">
        <v>160</v>
      </c>
    </row>
    <row r="212" spans="1:79" x14ac:dyDescent="0.25">
      <c r="A212">
        <f t="shared" si="4"/>
        <v>210</v>
      </c>
      <c r="B212" t="s">
        <v>1793</v>
      </c>
      <c r="C212" t="s">
        <v>2802</v>
      </c>
      <c r="Q212" s="3">
        <v>11917.788479000001</v>
      </c>
      <c r="R212" s="3">
        <v>10843.027486999999</v>
      </c>
      <c r="S212" s="3">
        <v>9877.1963230000001</v>
      </c>
      <c r="AI212" s="18">
        <v>232</v>
      </c>
      <c r="AJ212" s="18">
        <v>15</v>
      </c>
      <c r="AZ212" s="14" t="s">
        <v>2835</v>
      </c>
      <c r="BD212" s="9">
        <v>0.3</v>
      </c>
    </row>
    <row r="213" spans="1:79" x14ac:dyDescent="0.25">
      <c r="A213">
        <f t="shared" si="4"/>
        <v>211</v>
      </c>
      <c r="B213" t="s">
        <v>1956</v>
      </c>
      <c r="C213" t="s">
        <v>1957</v>
      </c>
      <c r="D213" s="3">
        <v>89</v>
      </c>
      <c r="X213" s="11">
        <v>34485</v>
      </c>
      <c r="AA213" s="47">
        <v>8.5900000000000004E-2</v>
      </c>
      <c r="AB213" s="47">
        <v>-0.30480000000000002</v>
      </c>
      <c r="AC213" s="7">
        <f>12+2+2</f>
        <v>16</v>
      </c>
      <c r="AL213" s="10" t="s">
        <v>1958</v>
      </c>
      <c r="AM213" s="9">
        <v>4.1399999999999999E-2</v>
      </c>
      <c r="AN213" s="9">
        <v>-7.7700000000000005E-2</v>
      </c>
      <c r="AO213" s="9">
        <v>3.5700000000000003E-2</v>
      </c>
      <c r="AP213" s="9">
        <v>0.1036</v>
      </c>
      <c r="AQ213" s="9">
        <v>0.14530000000000001</v>
      </c>
    </row>
    <row r="214" spans="1:79" x14ac:dyDescent="0.25">
      <c r="A214">
        <f t="shared" si="4"/>
        <v>212</v>
      </c>
      <c r="B214" t="s">
        <v>1673</v>
      </c>
      <c r="Q214" s="3">
        <f>11924.669628+4032.123139</f>
        <v>15956.792766999999</v>
      </c>
      <c r="R214" s="3">
        <f>15537.360186+5599.471223</f>
        <v>21136.831408999999</v>
      </c>
      <c r="S214" s="3">
        <f>21675.245333+4668.623977</f>
        <v>26343.869309999998</v>
      </c>
      <c r="AI214" s="18">
        <v>89</v>
      </c>
      <c r="AJ214" s="18">
        <v>71</v>
      </c>
      <c r="AM214" s="9">
        <v>9.8000000000000004E-2</v>
      </c>
    </row>
    <row r="215" spans="1:79" x14ac:dyDescent="0.25">
      <c r="A215">
        <f t="shared" si="4"/>
        <v>213</v>
      </c>
      <c r="B215" t="s">
        <v>161</v>
      </c>
      <c r="C215" t="s">
        <v>2530</v>
      </c>
      <c r="D215" s="3">
        <v>3600</v>
      </c>
      <c r="U215" s="6" t="s">
        <v>2531</v>
      </c>
      <c r="W215" s="8" t="s">
        <v>1201</v>
      </c>
      <c r="X215">
        <v>1991</v>
      </c>
      <c r="BA215" s="14" t="s">
        <v>2532</v>
      </c>
    </row>
    <row r="216" spans="1:79" x14ac:dyDescent="0.25">
      <c r="A216">
        <f t="shared" si="4"/>
        <v>214</v>
      </c>
      <c r="B216" t="s">
        <v>2910</v>
      </c>
      <c r="C216" t="s">
        <v>2911</v>
      </c>
      <c r="D216" s="3">
        <v>2000</v>
      </c>
      <c r="U216" s="6" t="s">
        <v>2489</v>
      </c>
      <c r="W216" s="8" t="s">
        <v>670</v>
      </c>
      <c r="X216">
        <v>2016</v>
      </c>
      <c r="AL216" s="9">
        <v>0.24299999999999999</v>
      </c>
      <c r="BA216" s="14"/>
    </row>
    <row r="217" spans="1:79" x14ac:dyDescent="0.25">
      <c r="A217">
        <f t="shared" si="4"/>
        <v>215</v>
      </c>
      <c r="B217" t="s">
        <v>1487</v>
      </c>
      <c r="AL217" s="9"/>
    </row>
    <row r="218" spans="1:79" x14ac:dyDescent="0.25">
      <c r="A218">
        <f t="shared" si="4"/>
        <v>216</v>
      </c>
      <c r="B218" t="s">
        <v>162</v>
      </c>
      <c r="U218" s="6" t="s">
        <v>2497</v>
      </c>
      <c r="AL218" s="9">
        <v>0.253</v>
      </c>
    </row>
    <row r="219" spans="1:79" x14ac:dyDescent="0.25">
      <c r="A219">
        <f t="shared" si="4"/>
        <v>217</v>
      </c>
      <c r="B219" s="2" t="s">
        <v>163</v>
      </c>
      <c r="T219" s="4">
        <v>383.18159200000002</v>
      </c>
    </row>
    <row r="220" spans="1:79" x14ac:dyDescent="0.25">
      <c r="A220">
        <f t="shared" si="4"/>
        <v>218</v>
      </c>
      <c r="B220" t="s">
        <v>1326</v>
      </c>
    </row>
    <row r="221" spans="1:79" x14ac:dyDescent="0.25">
      <c r="A221">
        <f t="shared" si="4"/>
        <v>219</v>
      </c>
      <c r="B221" t="s">
        <v>164</v>
      </c>
    </row>
    <row r="222" spans="1:79" x14ac:dyDescent="0.25">
      <c r="A222">
        <f t="shared" si="4"/>
        <v>220</v>
      </c>
      <c r="B222" t="s">
        <v>2142</v>
      </c>
      <c r="C222" t="s">
        <v>2143</v>
      </c>
      <c r="U222" s="6" t="s">
        <v>217</v>
      </c>
      <c r="V222" s="6" t="s">
        <v>2144</v>
      </c>
      <c r="BH222" t="s">
        <v>2583</v>
      </c>
      <c r="BI222" s="9" t="s">
        <v>2145</v>
      </c>
      <c r="BN222" t="s">
        <v>222</v>
      </c>
      <c r="BO222" s="46"/>
      <c r="BP222" s="46"/>
      <c r="BQ222" s="46"/>
      <c r="BR222" s="46"/>
      <c r="BS222" s="46"/>
      <c r="BT222" s="46"/>
      <c r="BU222" s="46"/>
      <c r="BV222" s="46"/>
      <c r="BW222" s="46"/>
      <c r="BX222" s="46"/>
      <c r="BY222" s="46"/>
      <c r="BZ222" s="46"/>
      <c r="CA222" s="46"/>
    </row>
    <row r="223" spans="1:79" x14ac:dyDescent="0.25">
      <c r="A223">
        <f t="shared" si="4"/>
        <v>221</v>
      </c>
      <c r="B223" t="s">
        <v>165</v>
      </c>
    </row>
    <row r="224" spans="1:79" x14ac:dyDescent="0.25">
      <c r="A224">
        <f t="shared" si="4"/>
        <v>222</v>
      </c>
      <c r="B224" t="s">
        <v>166</v>
      </c>
      <c r="AX224" t="s">
        <v>2328</v>
      </c>
    </row>
    <row r="225" spans="1:79" x14ac:dyDescent="0.25">
      <c r="A225">
        <f t="shared" si="4"/>
        <v>223</v>
      </c>
      <c r="B225" t="s">
        <v>1112</v>
      </c>
      <c r="C225" t="s">
        <v>1113</v>
      </c>
    </row>
    <row r="226" spans="1:79" x14ac:dyDescent="0.25">
      <c r="A226">
        <f t="shared" si="4"/>
        <v>224</v>
      </c>
      <c r="B226" t="s">
        <v>167</v>
      </c>
    </row>
    <row r="227" spans="1:79" x14ac:dyDescent="0.25">
      <c r="A227">
        <f t="shared" si="4"/>
        <v>225</v>
      </c>
      <c r="B227" t="s">
        <v>2329</v>
      </c>
      <c r="C227" t="s">
        <v>2330</v>
      </c>
      <c r="BI227" s="14" t="s">
        <v>2336</v>
      </c>
      <c r="BJ227" s="9">
        <v>0.41</v>
      </c>
      <c r="BL227" t="s">
        <v>222</v>
      </c>
      <c r="BM227" s="46"/>
      <c r="BN227" s="46"/>
      <c r="BO227" s="46"/>
      <c r="BP227" s="46"/>
      <c r="BQ227" s="46"/>
      <c r="BR227" s="46"/>
      <c r="BS227" s="46"/>
      <c r="BT227" s="46"/>
      <c r="BU227" s="46"/>
      <c r="BV227" s="46"/>
      <c r="BW227" s="46"/>
      <c r="BX227" s="46"/>
      <c r="BY227" s="46"/>
      <c r="BZ227" s="46"/>
      <c r="CA227" s="46"/>
    </row>
    <row r="228" spans="1:79" x14ac:dyDescent="0.25">
      <c r="A228">
        <f t="shared" si="4"/>
        <v>226</v>
      </c>
      <c r="B228" t="s">
        <v>168</v>
      </c>
    </row>
    <row r="229" spans="1:79" x14ac:dyDescent="0.25">
      <c r="A229">
        <f t="shared" si="4"/>
        <v>227</v>
      </c>
      <c r="B229" t="s">
        <v>169</v>
      </c>
      <c r="C229" t="s">
        <v>1964</v>
      </c>
      <c r="D229" s="3">
        <v>2304</v>
      </c>
      <c r="X229">
        <v>1997</v>
      </c>
      <c r="AA229" s="47">
        <v>0.1658</v>
      </c>
      <c r="AB229" s="47">
        <v>-0.70540000000000003</v>
      </c>
      <c r="AC229" s="7">
        <f>12+9+10</f>
        <v>31</v>
      </c>
      <c r="AI229" s="18">
        <v>30</v>
      </c>
      <c r="AJ229" s="18">
        <v>20</v>
      </c>
      <c r="AL229" s="14" t="s">
        <v>1965</v>
      </c>
      <c r="AM229" s="9">
        <v>4.9399999999999999E-2</v>
      </c>
      <c r="AN229" s="9">
        <v>-0.1976</v>
      </c>
      <c r="AO229" s="9">
        <v>0.86199999999999999</v>
      </c>
      <c r="AP229" s="9">
        <v>0.30640000000000001</v>
      </c>
      <c r="AQ229" s="9">
        <v>0.1797</v>
      </c>
    </row>
    <row r="230" spans="1:79" x14ac:dyDescent="0.25">
      <c r="A230">
        <f t="shared" si="4"/>
        <v>228</v>
      </c>
      <c r="B230" t="s">
        <v>170</v>
      </c>
    </row>
    <row r="231" spans="1:79" x14ac:dyDescent="0.25">
      <c r="A231">
        <f t="shared" si="4"/>
        <v>229</v>
      </c>
      <c r="B231" t="s">
        <v>171</v>
      </c>
    </row>
    <row r="232" spans="1:79" x14ac:dyDescent="0.25">
      <c r="A232">
        <f t="shared" si="4"/>
        <v>230</v>
      </c>
      <c r="B232" t="s">
        <v>172</v>
      </c>
    </row>
    <row r="233" spans="1:79" x14ac:dyDescent="0.25">
      <c r="A233">
        <f t="shared" si="4"/>
        <v>231</v>
      </c>
      <c r="B233" t="s">
        <v>173</v>
      </c>
      <c r="U233" s="6" t="s">
        <v>1262</v>
      </c>
      <c r="W233" s="8" t="s">
        <v>2343</v>
      </c>
      <c r="BA233" s="14" t="s">
        <v>2550</v>
      </c>
    </row>
    <row r="234" spans="1:79" x14ac:dyDescent="0.25">
      <c r="A234">
        <f t="shared" si="4"/>
        <v>232</v>
      </c>
      <c r="B234" t="s">
        <v>174</v>
      </c>
    </row>
    <row r="235" spans="1:79" x14ac:dyDescent="0.25">
      <c r="A235">
        <f t="shared" si="4"/>
        <v>233</v>
      </c>
      <c r="B235" t="s">
        <v>175</v>
      </c>
    </row>
    <row r="236" spans="1:79" x14ac:dyDescent="0.25">
      <c r="A236">
        <f t="shared" si="4"/>
        <v>234</v>
      </c>
      <c r="B236" t="s">
        <v>176</v>
      </c>
      <c r="C236" t="s">
        <v>1325</v>
      </c>
    </row>
    <row r="237" spans="1:79" x14ac:dyDescent="0.25">
      <c r="A237">
        <f t="shared" si="4"/>
        <v>235</v>
      </c>
      <c r="B237" t="s">
        <v>177</v>
      </c>
    </row>
    <row r="238" spans="1:79" x14ac:dyDescent="0.25">
      <c r="A238">
        <f t="shared" si="4"/>
        <v>236</v>
      </c>
      <c r="B238" t="s">
        <v>178</v>
      </c>
    </row>
    <row r="239" spans="1:79" x14ac:dyDescent="0.25">
      <c r="A239">
        <f t="shared" si="4"/>
        <v>237</v>
      </c>
      <c r="B239" t="s">
        <v>179</v>
      </c>
    </row>
    <row r="240" spans="1:79" x14ac:dyDescent="0.25">
      <c r="A240">
        <f t="shared" si="4"/>
        <v>238</v>
      </c>
      <c r="B240" t="s">
        <v>2139</v>
      </c>
      <c r="C240" t="s">
        <v>2140</v>
      </c>
      <c r="U240" s="6" t="s">
        <v>2457</v>
      </c>
      <c r="W240" s="8" t="s">
        <v>2544</v>
      </c>
      <c r="Y240" s="14" t="s">
        <v>2606</v>
      </c>
      <c r="AH240" t="s">
        <v>2545</v>
      </c>
      <c r="BA240" s="14" t="s">
        <v>2546</v>
      </c>
      <c r="BG240" s="36">
        <v>0.10730000000000001</v>
      </c>
      <c r="BH240" s="62">
        <v>0.11899999999999999</v>
      </c>
      <c r="BI240" s="14" t="s">
        <v>2668</v>
      </c>
      <c r="BJ240" s="46"/>
      <c r="BK240" s="46"/>
      <c r="BL240" s="46"/>
      <c r="BM240" s="46"/>
      <c r="BN240" s="46"/>
      <c r="BO240" s="46"/>
      <c r="BP240" s="46"/>
      <c r="BQ240" s="46"/>
      <c r="BR240" s="46"/>
      <c r="BS240" s="46"/>
      <c r="BT240" s="46"/>
      <c r="BU240" s="46"/>
      <c r="BV240" s="46"/>
      <c r="BW240" s="46"/>
      <c r="BX240" s="46"/>
      <c r="BY240" s="46"/>
      <c r="BZ240" s="46"/>
      <c r="CA240" s="46"/>
    </row>
    <row r="241" spans="1:70" x14ac:dyDescent="0.25">
      <c r="A241">
        <f t="shared" si="4"/>
        <v>239</v>
      </c>
      <c r="B241" t="s">
        <v>180</v>
      </c>
    </row>
    <row r="242" spans="1:70" x14ac:dyDescent="0.25">
      <c r="A242">
        <f t="shared" si="4"/>
        <v>240</v>
      </c>
      <c r="B242" t="s">
        <v>181</v>
      </c>
    </row>
    <row r="243" spans="1:70" x14ac:dyDescent="0.25">
      <c r="A243">
        <f t="shared" si="4"/>
        <v>241</v>
      </c>
      <c r="B243" t="s">
        <v>2480</v>
      </c>
      <c r="BA243" s="14" t="s">
        <v>2481</v>
      </c>
    </row>
    <row r="244" spans="1:70" x14ac:dyDescent="0.25">
      <c r="A244">
        <f t="shared" si="4"/>
        <v>242</v>
      </c>
      <c r="B244" t="s">
        <v>2491</v>
      </c>
      <c r="U244" s="6" t="s">
        <v>98</v>
      </c>
      <c r="BA244" s="14" t="s">
        <v>2492</v>
      </c>
    </row>
    <row r="245" spans="1:70" x14ac:dyDescent="0.25">
      <c r="A245">
        <f t="shared" si="4"/>
        <v>243</v>
      </c>
      <c r="B245" t="s">
        <v>182</v>
      </c>
    </row>
    <row r="246" spans="1:70" x14ac:dyDescent="0.25">
      <c r="A246">
        <f t="shared" si="4"/>
        <v>244</v>
      </c>
      <c r="B246" t="s">
        <v>186</v>
      </c>
      <c r="C246" t="s">
        <v>2496</v>
      </c>
      <c r="U246" s="6" t="s">
        <v>2497</v>
      </c>
      <c r="V246" s="6" t="s">
        <v>217</v>
      </c>
      <c r="BA246" s="14" t="s">
        <v>2498</v>
      </c>
    </row>
    <row r="247" spans="1:70" x14ac:dyDescent="0.25">
      <c r="A247">
        <f t="shared" si="4"/>
        <v>245</v>
      </c>
      <c r="B247" t="s">
        <v>2485</v>
      </c>
      <c r="BA247" t="s">
        <v>2486</v>
      </c>
    </row>
    <row r="248" spans="1:70" x14ac:dyDescent="0.25">
      <c r="A248">
        <f t="shared" si="4"/>
        <v>246</v>
      </c>
      <c r="B248" t="s">
        <v>2482</v>
      </c>
      <c r="U248" s="6" t="s">
        <v>2483</v>
      </c>
      <c r="BA248" t="s">
        <v>2484</v>
      </c>
    </row>
    <row r="249" spans="1:70" x14ac:dyDescent="0.25">
      <c r="A249">
        <f t="shared" si="4"/>
        <v>247</v>
      </c>
      <c r="B249" t="s">
        <v>2499</v>
      </c>
      <c r="U249" s="6" t="s">
        <v>2457</v>
      </c>
      <c r="BA249" s="14" t="s">
        <v>2500</v>
      </c>
    </row>
    <row r="250" spans="1:70" x14ac:dyDescent="0.25">
      <c r="A250">
        <f t="shared" si="4"/>
        <v>248</v>
      </c>
      <c r="B250" t="s">
        <v>187</v>
      </c>
    </row>
    <row r="251" spans="1:70" x14ac:dyDescent="0.25">
      <c r="A251">
        <f t="shared" si="4"/>
        <v>249</v>
      </c>
      <c r="B251" t="s">
        <v>188</v>
      </c>
    </row>
    <row r="252" spans="1:70" x14ac:dyDescent="0.25">
      <c r="A252">
        <f t="shared" si="4"/>
        <v>250</v>
      </c>
      <c r="B252" t="s">
        <v>189</v>
      </c>
      <c r="C252" t="s">
        <v>2166</v>
      </c>
      <c r="X252">
        <v>1992</v>
      </c>
      <c r="Y252" s="14" t="s">
        <v>2122</v>
      </c>
      <c r="AH252" s="14" t="s">
        <v>2169</v>
      </c>
      <c r="AI252" s="18">
        <v>67</v>
      </c>
      <c r="AJ252" s="18">
        <v>52</v>
      </c>
      <c r="BD252" t="s">
        <v>2811</v>
      </c>
      <c r="BE252" t="s">
        <v>2810</v>
      </c>
      <c r="BG252" s="14" t="s">
        <v>2659</v>
      </c>
      <c r="BH252" t="s">
        <v>2608</v>
      </c>
      <c r="BI252" t="s">
        <v>2168</v>
      </c>
      <c r="BP252" t="s">
        <v>2308</v>
      </c>
      <c r="BR252" t="s">
        <v>2167</v>
      </c>
    </row>
    <row r="253" spans="1:70" x14ac:dyDescent="0.25">
      <c r="A253">
        <f t="shared" si="4"/>
        <v>251</v>
      </c>
      <c r="B253" t="s">
        <v>193</v>
      </c>
      <c r="C253" t="s">
        <v>2318</v>
      </c>
      <c r="U253" s="6" t="s">
        <v>1941</v>
      </c>
      <c r="W253" s="8" t="s">
        <v>2343</v>
      </c>
      <c r="X253">
        <v>1995</v>
      </c>
      <c r="Y253" s="14" t="s">
        <v>2154</v>
      </c>
      <c r="AG253" t="s">
        <v>2645</v>
      </c>
      <c r="AH253" t="s">
        <v>2646</v>
      </c>
      <c r="AI253" s="18">
        <v>90</v>
      </c>
      <c r="AJ253" s="18">
        <v>36</v>
      </c>
      <c r="AZ253" s="14" t="s">
        <v>2841</v>
      </c>
      <c r="BD253" s="14" t="s">
        <v>2807</v>
      </c>
      <c r="BE253" s="14" t="s">
        <v>2778</v>
      </c>
      <c r="BG253" s="14" t="s">
        <v>2647</v>
      </c>
    </row>
    <row r="254" spans="1:70" x14ac:dyDescent="0.25">
      <c r="A254">
        <f t="shared" si="4"/>
        <v>252</v>
      </c>
      <c r="B254" t="s">
        <v>194</v>
      </c>
    </row>
    <row r="255" spans="1:70" x14ac:dyDescent="0.25">
      <c r="A255">
        <f t="shared" si="4"/>
        <v>253</v>
      </c>
      <c r="B255" t="s">
        <v>196</v>
      </c>
    </row>
    <row r="256" spans="1:70" x14ac:dyDescent="0.25">
      <c r="A256">
        <f t="shared" si="4"/>
        <v>254</v>
      </c>
      <c r="B256" t="s">
        <v>197</v>
      </c>
    </row>
    <row r="257" spans="1:53" x14ac:dyDescent="0.25">
      <c r="A257">
        <f t="shared" si="4"/>
        <v>255</v>
      </c>
      <c r="B257" t="s">
        <v>198</v>
      </c>
      <c r="C257" t="s">
        <v>2864</v>
      </c>
      <c r="U257" s="6" t="s">
        <v>99</v>
      </c>
      <c r="AP257" s="9">
        <v>0.19</v>
      </c>
      <c r="AQ257" s="9">
        <v>0.12</v>
      </c>
      <c r="AR257" s="9">
        <v>0.17</v>
      </c>
      <c r="AS257" s="36">
        <v>5.4600000000000003E-2</v>
      </c>
      <c r="AU257" s="36">
        <v>0.22700000000000001</v>
      </c>
      <c r="AZ257" s="36">
        <v>0.27600000000000002</v>
      </c>
      <c r="BA257" s="36">
        <v>0.78820000000000001</v>
      </c>
    </row>
    <row r="258" spans="1:53" x14ac:dyDescent="0.25">
      <c r="A258">
        <f t="shared" si="4"/>
        <v>256</v>
      </c>
      <c r="B258" t="s">
        <v>2488</v>
      </c>
      <c r="U258" s="6" t="s">
        <v>2489</v>
      </c>
      <c r="W258" s="8" t="s">
        <v>670</v>
      </c>
      <c r="AS258" s="36"/>
      <c r="AZ258" s="36"/>
      <c r="BA258" s="36" t="s">
        <v>2490</v>
      </c>
    </row>
    <row r="259" spans="1:53" x14ac:dyDescent="0.25">
      <c r="A259">
        <f t="shared" si="4"/>
        <v>257</v>
      </c>
      <c r="B259" t="s">
        <v>200</v>
      </c>
    </row>
    <row r="260" spans="1:53" x14ac:dyDescent="0.25">
      <c r="A260">
        <f t="shared" si="4"/>
        <v>258</v>
      </c>
      <c r="B260" t="s">
        <v>201</v>
      </c>
    </row>
    <row r="261" spans="1:53" x14ac:dyDescent="0.25">
      <c r="A261">
        <f t="shared" si="4"/>
        <v>259</v>
      </c>
      <c r="B261" s="2" t="s">
        <v>202</v>
      </c>
      <c r="Q261" s="3">
        <v>98453.034830000004</v>
      </c>
      <c r="R261" s="3">
        <v>94972.191493999999</v>
      </c>
      <c r="S261" s="3">
        <v>94787.498084999999</v>
      </c>
      <c r="T261" s="4">
        <v>106431.56024000001</v>
      </c>
      <c r="AI261" s="18">
        <v>37</v>
      </c>
      <c r="AJ261" s="18">
        <v>14</v>
      </c>
    </row>
    <row r="262" spans="1:53" x14ac:dyDescent="0.25">
      <c r="A262">
        <f t="shared" ref="A262:A278" si="5">+A261+1</f>
        <v>260</v>
      </c>
      <c r="B262" t="s">
        <v>204</v>
      </c>
      <c r="C262" t="s">
        <v>1937</v>
      </c>
      <c r="D262" s="3">
        <v>1222</v>
      </c>
      <c r="AB262" s="49">
        <v>-0.24060000000000001</v>
      </c>
      <c r="AC262" s="7">
        <f>12+4+4</f>
        <v>20</v>
      </c>
      <c r="AL262" s="14" t="s">
        <v>1939</v>
      </c>
      <c r="AM262" s="36">
        <v>5.0000000000000001E-4</v>
      </c>
      <c r="AN262" s="36">
        <v>7.8799999999999995E-2</v>
      </c>
      <c r="AO262" s="36">
        <v>3.0200000000000001E-2</v>
      </c>
      <c r="AP262" s="36">
        <v>-6.5299999999999997E-2</v>
      </c>
      <c r="AQ262" s="36">
        <v>1.8700000000000001E-2</v>
      </c>
      <c r="AR262" s="36">
        <v>7.6999999999999999E-2</v>
      </c>
    </row>
    <row r="263" spans="1:53" x14ac:dyDescent="0.25">
      <c r="A263">
        <f t="shared" si="5"/>
        <v>261</v>
      </c>
      <c r="B263" t="s">
        <v>205</v>
      </c>
      <c r="Q263" s="3">
        <v>3637.4015709999999</v>
      </c>
      <c r="R263" s="3">
        <v>3567.995778</v>
      </c>
    </row>
    <row r="264" spans="1:53" x14ac:dyDescent="0.25">
      <c r="A264">
        <f t="shared" si="5"/>
        <v>262</v>
      </c>
      <c r="B264" t="s">
        <v>1938</v>
      </c>
      <c r="Q264" s="3">
        <v>3637.4015709999999</v>
      </c>
      <c r="R264" s="3">
        <v>3567.995778</v>
      </c>
    </row>
    <row r="265" spans="1:53" x14ac:dyDescent="0.25">
      <c r="A265">
        <f t="shared" si="5"/>
        <v>263</v>
      </c>
      <c r="B265" t="s">
        <v>207</v>
      </c>
      <c r="U265" s="6" t="s">
        <v>1320</v>
      </c>
      <c r="BA265" s="14" t="s">
        <v>2472</v>
      </c>
    </row>
    <row r="266" spans="1:53" x14ac:dyDescent="0.25">
      <c r="A266">
        <f t="shared" si="5"/>
        <v>264</v>
      </c>
      <c r="B266" t="s">
        <v>2473</v>
      </c>
      <c r="D266" s="3">
        <v>4700</v>
      </c>
      <c r="U266" s="6" t="s">
        <v>1908</v>
      </c>
      <c r="V266" s="6" t="s">
        <v>2475</v>
      </c>
      <c r="W266" s="8" t="s">
        <v>2474</v>
      </c>
      <c r="X266">
        <v>1991</v>
      </c>
      <c r="Z266" s="18">
        <v>80</v>
      </c>
      <c r="BA266" s="14" t="s">
        <v>2476</v>
      </c>
    </row>
    <row r="267" spans="1:53" x14ac:dyDescent="0.25">
      <c r="A267">
        <f t="shared" si="5"/>
        <v>265</v>
      </c>
      <c r="B267" t="s">
        <v>208</v>
      </c>
      <c r="C267" t="s">
        <v>2507</v>
      </c>
      <c r="D267" s="3">
        <v>5000</v>
      </c>
      <c r="U267" s="6" t="s">
        <v>2349</v>
      </c>
      <c r="W267" s="8" t="s">
        <v>2508</v>
      </c>
      <c r="AI267" s="18">
        <v>172</v>
      </c>
      <c r="AJ267" s="18">
        <v>24</v>
      </c>
      <c r="BA267" s="14" t="s">
        <v>2509</v>
      </c>
    </row>
    <row r="268" spans="1:53" x14ac:dyDescent="0.25">
      <c r="A268">
        <f t="shared" si="5"/>
        <v>266</v>
      </c>
      <c r="B268" t="s">
        <v>2477</v>
      </c>
      <c r="U268" s="6" t="s">
        <v>98</v>
      </c>
      <c r="W268" s="8" t="s">
        <v>670</v>
      </c>
      <c r="BA268" s="14" t="s">
        <v>2478</v>
      </c>
    </row>
    <row r="269" spans="1:53" x14ac:dyDescent="0.25">
      <c r="A269">
        <f t="shared" si="5"/>
        <v>267</v>
      </c>
      <c r="B269" t="s">
        <v>1786</v>
      </c>
      <c r="Q269" s="3">
        <v>12906.951204000001</v>
      </c>
      <c r="R269" s="3">
        <v>12181.775838</v>
      </c>
      <c r="S269" s="3">
        <v>13667.960621</v>
      </c>
      <c r="AI269" s="18">
        <v>16</v>
      </c>
      <c r="AJ269" s="18">
        <v>3</v>
      </c>
    </row>
    <row r="270" spans="1:53" x14ac:dyDescent="0.25">
      <c r="A270">
        <f t="shared" si="5"/>
        <v>268</v>
      </c>
      <c r="B270" t="s">
        <v>2561</v>
      </c>
      <c r="U270" s="6" t="s">
        <v>98</v>
      </c>
      <c r="W270" s="8" t="s">
        <v>670</v>
      </c>
      <c r="BA270" s="14" t="s">
        <v>2562</v>
      </c>
    </row>
    <row r="271" spans="1:53" x14ac:dyDescent="0.25">
      <c r="A271">
        <f t="shared" si="5"/>
        <v>269</v>
      </c>
      <c r="B271" t="s">
        <v>2542</v>
      </c>
      <c r="U271" s="6" t="s">
        <v>2483</v>
      </c>
      <c r="W271" s="8" t="s">
        <v>2515</v>
      </c>
      <c r="BA271" s="14" t="s">
        <v>2543</v>
      </c>
    </row>
    <row r="272" spans="1:53" x14ac:dyDescent="0.25">
      <c r="A272">
        <f t="shared" si="5"/>
        <v>270</v>
      </c>
      <c r="B272" t="s">
        <v>209</v>
      </c>
      <c r="Q272" s="3">
        <v>21037.455046999999</v>
      </c>
      <c r="R272" s="3">
        <v>20512.844263999999</v>
      </c>
      <c r="S272" s="3">
        <v>6284.8983900000003</v>
      </c>
    </row>
    <row r="273" spans="1:79" x14ac:dyDescent="0.25">
      <c r="A273">
        <f t="shared" si="5"/>
        <v>271</v>
      </c>
      <c r="B273" t="s">
        <v>228</v>
      </c>
      <c r="C273" t="s">
        <v>229</v>
      </c>
    </row>
    <row r="274" spans="1:79" x14ac:dyDescent="0.25">
      <c r="A274">
        <f t="shared" si="5"/>
        <v>272</v>
      </c>
      <c r="B274" s="2" t="s">
        <v>699</v>
      </c>
      <c r="Q274" s="3">
        <f>56144.174025+47031.923457</f>
        <v>103176.097482</v>
      </c>
      <c r="R274" s="3">
        <f>56070.043125+42151.390902</f>
        <v>98221.434026999996</v>
      </c>
      <c r="S274" s="3">
        <f>48058.679014+47600.059402</f>
        <v>95658.738416000007</v>
      </c>
      <c r="T274" s="4">
        <f>47571.848086+40921.265812</f>
        <v>88493.113897999996</v>
      </c>
      <c r="V274" s="6" t="s">
        <v>1589</v>
      </c>
      <c r="AI274" s="18">
        <v>257</v>
      </c>
      <c r="AJ274" s="18">
        <v>159</v>
      </c>
      <c r="AL274" s="9">
        <v>0.18</v>
      </c>
    </row>
    <row r="275" spans="1:79" x14ac:dyDescent="0.25">
      <c r="A275">
        <f t="shared" si="5"/>
        <v>273</v>
      </c>
      <c r="B275" t="s">
        <v>1118</v>
      </c>
    </row>
    <row r="276" spans="1:79" x14ac:dyDescent="0.25">
      <c r="A276">
        <f t="shared" si="5"/>
        <v>274</v>
      </c>
      <c r="B276" s="2" t="s">
        <v>1119</v>
      </c>
      <c r="Q276" s="3">
        <v>58266.629423999999</v>
      </c>
      <c r="R276" s="3">
        <v>60990.876565999999</v>
      </c>
      <c r="S276" s="3">
        <v>58348.942078</v>
      </c>
      <c r="T276" s="4">
        <v>49150.035915</v>
      </c>
      <c r="AI276" s="18">
        <v>36</v>
      </c>
      <c r="AJ276" s="18">
        <v>32</v>
      </c>
    </row>
    <row r="277" spans="1:79" x14ac:dyDescent="0.25">
      <c r="A277">
        <f t="shared" si="5"/>
        <v>275</v>
      </c>
      <c r="B277" t="s">
        <v>1315</v>
      </c>
    </row>
    <row r="278" spans="1:79" x14ac:dyDescent="0.25">
      <c r="A278">
        <f t="shared" si="5"/>
        <v>276</v>
      </c>
      <c r="B278" t="s">
        <v>1483</v>
      </c>
    </row>
    <row r="280" spans="1:79" s="22" customFormat="1" x14ac:dyDescent="0.25">
      <c r="B280" s="22" t="s">
        <v>2387</v>
      </c>
      <c r="C280" s="22" t="s">
        <v>2388</v>
      </c>
      <c r="D280" s="23">
        <v>26500</v>
      </c>
      <c r="E280" s="24"/>
      <c r="F280" s="24"/>
      <c r="G280" s="24"/>
      <c r="H280" s="24"/>
      <c r="I280" s="23"/>
      <c r="J280" s="23"/>
      <c r="K280" s="23"/>
      <c r="L280" s="23"/>
      <c r="M280" s="23"/>
      <c r="N280" s="23"/>
      <c r="O280" s="23"/>
      <c r="P280" s="23"/>
      <c r="Q280" s="23"/>
      <c r="R280" s="23"/>
      <c r="S280" s="23"/>
      <c r="T280" s="23"/>
      <c r="U280" s="6" t="s">
        <v>1320</v>
      </c>
      <c r="V280" s="6" t="s">
        <v>1941</v>
      </c>
      <c r="W280" s="8" t="s">
        <v>2343</v>
      </c>
      <c r="X280">
        <v>2001</v>
      </c>
      <c r="Z280" s="41"/>
      <c r="AA280" s="26"/>
      <c r="AB280" s="26"/>
      <c r="AC280" s="48"/>
      <c r="AI280" s="41"/>
      <c r="AJ280" s="41"/>
      <c r="AK280" s="41"/>
      <c r="AZ280" t="s">
        <v>2389</v>
      </c>
      <c r="BA280" s="14" t="s">
        <v>2390</v>
      </c>
      <c r="BB280" s="14" t="s">
        <v>2391</v>
      </c>
      <c r="BQ280" s="59"/>
    </row>
    <row r="281" spans="1:79" x14ac:dyDescent="0.25">
      <c r="B281" s="22" t="s">
        <v>720</v>
      </c>
      <c r="C281" t="s">
        <v>2159</v>
      </c>
      <c r="D281" s="3">
        <v>6500</v>
      </c>
      <c r="Y281" s="55" t="s">
        <v>2129</v>
      </c>
      <c r="Z281" s="57"/>
      <c r="AG281" t="s">
        <v>2370</v>
      </c>
      <c r="BK281" s="14" t="s">
        <v>2368</v>
      </c>
      <c r="BL281" s="14" t="s">
        <v>2369</v>
      </c>
      <c r="BO281" s="14" t="s">
        <v>2207</v>
      </c>
      <c r="BP281" s="9" t="s">
        <v>2309</v>
      </c>
      <c r="BQ281" s="14" t="s">
        <v>2260</v>
      </c>
      <c r="BT281" t="s">
        <v>2173</v>
      </c>
      <c r="BW281" t="s">
        <v>2160</v>
      </c>
    </row>
    <row r="282" spans="1:79" x14ac:dyDescent="0.25">
      <c r="B282" s="22" t="s">
        <v>1264</v>
      </c>
      <c r="C282" t="s">
        <v>2151</v>
      </c>
      <c r="D282" s="3">
        <v>15000</v>
      </c>
      <c r="BP282" t="s">
        <v>2152</v>
      </c>
    </row>
    <row r="283" spans="1:79" x14ac:dyDescent="0.25">
      <c r="B283" s="22" t="s">
        <v>1268</v>
      </c>
      <c r="C283" t="s">
        <v>1314</v>
      </c>
      <c r="D283" s="3">
        <v>8000</v>
      </c>
      <c r="BA283" s="14" t="s">
        <v>2467</v>
      </c>
    </row>
    <row r="284" spans="1:79" x14ac:dyDescent="0.25">
      <c r="B284" s="22" t="s">
        <v>1269</v>
      </c>
      <c r="C284" t="s">
        <v>2156</v>
      </c>
      <c r="D284" s="3">
        <v>6900</v>
      </c>
      <c r="U284" s="6" t="s">
        <v>98</v>
      </c>
      <c r="V284" s="6" t="s">
        <v>217</v>
      </c>
      <c r="W284" s="8" t="s">
        <v>2157</v>
      </c>
      <c r="X284">
        <v>1996</v>
      </c>
      <c r="AK284" s="57"/>
      <c r="AL284" s="46"/>
      <c r="AM284" s="46"/>
      <c r="BA284" s="36">
        <v>7.6999999999999999E-2</v>
      </c>
      <c r="BE284" t="s">
        <v>2773</v>
      </c>
      <c r="BG284" s="14" t="s">
        <v>2667</v>
      </c>
      <c r="BH284" t="s">
        <v>2603</v>
      </c>
      <c r="BI284" s="14" t="s">
        <v>2161</v>
      </c>
      <c r="BN284" t="s">
        <v>2158</v>
      </c>
      <c r="BO284" s="46"/>
      <c r="BP284" s="46"/>
      <c r="BQ284" s="46"/>
      <c r="BR284" s="46"/>
      <c r="BS284" s="46"/>
      <c r="BT284" s="46"/>
      <c r="BU284" s="46"/>
      <c r="BV284" s="46"/>
      <c r="BW284" s="46"/>
      <c r="BX284" s="46"/>
      <c r="BY284" s="46"/>
      <c r="BZ284" s="46"/>
      <c r="CA284" s="46"/>
    </row>
    <row r="285" spans="1:79" x14ac:dyDescent="0.25">
      <c r="B285" s="22" t="s">
        <v>2134</v>
      </c>
      <c r="C285" t="s">
        <v>2135</v>
      </c>
      <c r="D285" s="3">
        <v>3000</v>
      </c>
      <c r="X285">
        <v>1988</v>
      </c>
      <c r="Y285" s="56" t="s">
        <v>2138</v>
      </c>
      <c r="Z285" s="57"/>
      <c r="AA285" s="6" t="s">
        <v>2137</v>
      </c>
      <c r="AI285" s="57"/>
      <c r="AJ285" s="57"/>
      <c r="AK285" s="57"/>
      <c r="AL285" s="46"/>
      <c r="AM285" s="46"/>
      <c r="AN285" s="46"/>
      <c r="AO285" s="46"/>
      <c r="AP285" s="46"/>
      <c r="AQ285" s="46"/>
      <c r="AR285" s="46"/>
      <c r="AS285" s="46"/>
      <c r="AT285" s="46"/>
      <c r="AU285" s="46"/>
      <c r="AV285" s="46"/>
      <c r="AW285" s="46"/>
      <c r="AX285" s="46"/>
      <c r="AY285" s="46"/>
      <c r="AZ285" s="46"/>
      <c r="BA285" s="46"/>
      <c r="BB285" s="46"/>
      <c r="BC285" s="46"/>
      <c r="BD285" s="46"/>
      <c r="BE285" s="46"/>
      <c r="BF285" s="46"/>
      <c r="BG285" s="46"/>
      <c r="BH285" s="46"/>
      <c r="BI285" s="14" t="s">
        <v>2136</v>
      </c>
      <c r="BQ285" t="s">
        <v>2248</v>
      </c>
      <c r="BR285" t="s">
        <v>2607</v>
      </c>
      <c r="BV285" t="s">
        <v>222</v>
      </c>
      <c r="BX285" t="s">
        <v>2249</v>
      </c>
      <c r="BY285" s="46"/>
      <c r="BZ285" s="46"/>
      <c r="CA285" s="46"/>
    </row>
    <row r="286" spans="1:79" x14ac:dyDescent="0.25">
      <c r="B286" s="22" t="s">
        <v>1265</v>
      </c>
      <c r="C286" t="s">
        <v>2222</v>
      </c>
      <c r="AG286" t="s">
        <v>2290</v>
      </c>
      <c r="BO286" t="s">
        <v>2289</v>
      </c>
      <c r="BQ286" t="s">
        <v>2223</v>
      </c>
    </row>
    <row r="287" spans="1:79" s="22" customFormat="1" x14ac:dyDescent="0.25">
      <c r="B287" s="22" t="s">
        <v>1206</v>
      </c>
      <c r="C287" s="22" t="s">
        <v>2392</v>
      </c>
      <c r="D287" s="23"/>
      <c r="E287" s="24"/>
      <c r="F287" s="24"/>
      <c r="G287" s="24"/>
      <c r="H287" s="24"/>
      <c r="I287" s="23"/>
      <c r="J287" s="23"/>
      <c r="K287" s="23"/>
      <c r="L287" s="23"/>
      <c r="M287" s="23"/>
      <c r="N287" s="23"/>
      <c r="O287" s="23"/>
      <c r="P287" s="23"/>
      <c r="Q287" s="23"/>
      <c r="R287" s="23"/>
      <c r="S287" s="23"/>
      <c r="T287" s="23"/>
      <c r="U287" s="25"/>
      <c r="V287" s="25"/>
      <c r="W287" s="26"/>
      <c r="Z287" s="41"/>
      <c r="AA287" s="26"/>
      <c r="AB287" s="26"/>
      <c r="AC287" s="48"/>
      <c r="AI287" s="41"/>
      <c r="AJ287" s="41"/>
      <c r="AK287" s="41"/>
    </row>
    <row r="288" spans="1:79" s="22" customFormat="1" x14ac:dyDescent="0.25">
      <c r="B288" s="22" t="s">
        <v>58</v>
      </c>
      <c r="C288" s="22" t="s">
        <v>58</v>
      </c>
      <c r="D288" s="23"/>
      <c r="E288" s="24"/>
      <c r="F288" s="24"/>
      <c r="G288" s="24"/>
      <c r="H288" s="24"/>
      <c r="I288" s="23"/>
      <c r="J288" s="23"/>
      <c r="K288" s="23"/>
      <c r="L288" s="23"/>
      <c r="M288" s="23"/>
      <c r="N288" s="23"/>
      <c r="O288" s="23"/>
      <c r="P288" s="23"/>
      <c r="Q288" s="23"/>
      <c r="R288" s="23"/>
      <c r="S288" s="23"/>
      <c r="T288" s="23"/>
      <c r="U288" s="6" t="s">
        <v>651</v>
      </c>
      <c r="V288" s="6"/>
      <c r="W288" s="8"/>
      <c r="X288"/>
      <c r="Z288" s="41"/>
      <c r="AA288" s="26"/>
      <c r="AB288" s="26"/>
      <c r="AC288" s="48"/>
      <c r="AI288" s="41"/>
      <c r="AJ288" s="41"/>
      <c r="AK288" s="41"/>
      <c r="BQ288" s="59" t="s">
        <v>2224</v>
      </c>
    </row>
    <row r="289" spans="2:67" x14ac:dyDescent="0.25">
      <c r="B289" s="22" t="s">
        <v>1266</v>
      </c>
    </row>
    <row r="290" spans="2:67" x14ac:dyDescent="0.25">
      <c r="B290" s="22" t="s">
        <v>1267</v>
      </c>
      <c r="C290" t="s">
        <v>2393</v>
      </c>
    </row>
    <row r="291" spans="2:67" x14ac:dyDescent="0.25">
      <c r="B291" s="22" t="s">
        <v>1270</v>
      </c>
      <c r="C291" t="s">
        <v>2768</v>
      </c>
      <c r="AH291" t="s">
        <v>2800</v>
      </c>
      <c r="BD291" s="14" t="s">
        <v>2799</v>
      </c>
      <c r="BE291" s="10" t="s">
        <v>2769</v>
      </c>
      <c r="BO291" t="s">
        <v>2167</v>
      </c>
    </row>
    <row r="292" spans="2:67" x14ac:dyDescent="0.25">
      <c r="B292" s="22" t="s">
        <v>1271</v>
      </c>
      <c r="AK292" s="57"/>
      <c r="AL292" s="46"/>
      <c r="AM292" s="46"/>
      <c r="AN292" s="46"/>
      <c r="AO292" s="46"/>
      <c r="AP292" s="46"/>
      <c r="AQ292" s="46"/>
      <c r="AR292" s="46"/>
      <c r="AS292" s="46"/>
      <c r="AT292" s="46"/>
      <c r="AU292" s="46"/>
      <c r="AV292" s="46"/>
      <c r="AW292" s="46"/>
      <c r="AX292" s="46"/>
      <c r="AY292" s="46"/>
      <c r="AZ292" s="46"/>
      <c r="BA292" s="46"/>
      <c r="BB292" s="46"/>
      <c r="BC292" s="46"/>
      <c r="BD292" t="s">
        <v>2315</v>
      </c>
    </row>
    <row r="293" spans="2:67" x14ac:dyDescent="0.25">
      <c r="B293" s="22" t="s">
        <v>1272</v>
      </c>
      <c r="C293" t="s">
        <v>2394</v>
      </c>
      <c r="AK293" s="57"/>
      <c r="AL293" s="46"/>
      <c r="AM293" s="46"/>
      <c r="AN293" s="46"/>
      <c r="AO293" s="46"/>
      <c r="AP293" s="46"/>
      <c r="AQ293" s="46"/>
      <c r="AR293" s="46"/>
      <c r="AS293" s="46"/>
      <c r="AT293" t="s">
        <v>2200</v>
      </c>
    </row>
    <row r="294" spans="2:67" x14ac:dyDescent="0.25">
      <c r="B294" s="22" t="s">
        <v>1273</v>
      </c>
      <c r="C294" t="s">
        <v>2395</v>
      </c>
      <c r="AK294" s="57"/>
      <c r="AL294" s="46"/>
      <c r="AM294" s="46"/>
      <c r="AN294" s="46"/>
      <c r="AO294" s="46"/>
      <c r="AP294" s="46"/>
      <c r="AQ294" s="46"/>
      <c r="AR294" s="46"/>
      <c r="AS294" s="46"/>
      <c r="AT294" s="46"/>
      <c r="AU294" s="46"/>
      <c r="AV294" s="46"/>
      <c r="AW294" s="46"/>
      <c r="AX294" s="46"/>
      <c r="AY294" s="46"/>
      <c r="AZ294" s="46"/>
      <c r="BA294" t="s">
        <v>2200</v>
      </c>
    </row>
    <row r="295" spans="2:67" x14ac:dyDescent="0.25">
      <c r="B295" s="22" t="s">
        <v>72</v>
      </c>
      <c r="AK295" s="57"/>
      <c r="AL295" t="s">
        <v>2201</v>
      </c>
    </row>
    <row r="296" spans="2:67" x14ac:dyDescent="0.25">
      <c r="B296" s="22" t="s">
        <v>1274</v>
      </c>
      <c r="C296" t="s">
        <v>2396</v>
      </c>
      <c r="AK296" s="57"/>
      <c r="AL296" s="57"/>
      <c r="AM296" s="57"/>
      <c r="AN296" t="s">
        <v>2202</v>
      </c>
    </row>
    <row r="297" spans="2:67" x14ac:dyDescent="0.25">
      <c r="B297" s="22" t="s">
        <v>1275</v>
      </c>
      <c r="C297" t="s">
        <v>2397</v>
      </c>
      <c r="AK297" s="57"/>
      <c r="AL297" s="57"/>
      <c r="AM297" s="57"/>
      <c r="AN297" s="57"/>
      <c r="AO297" s="57"/>
      <c r="AP297" s="57"/>
      <c r="AQ297" s="57"/>
      <c r="AR297" s="57"/>
      <c r="AS297" s="57"/>
      <c r="AT297" s="57"/>
      <c r="AU297" s="57"/>
      <c r="AV297" s="57"/>
      <c r="AW297" t="s">
        <v>2203</v>
      </c>
    </row>
    <row r="298" spans="2:67" x14ac:dyDescent="0.25">
      <c r="B298" s="22" t="s">
        <v>192</v>
      </c>
      <c r="C298" t="s">
        <v>2363</v>
      </c>
      <c r="AK298" s="57"/>
      <c r="AL298" s="57"/>
      <c r="AM298" s="57"/>
      <c r="AN298" s="57"/>
      <c r="AO298" t="s">
        <v>2204</v>
      </c>
    </row>
    <row r="299" spans="2:67" x14ac:dyDescent="0.25">
      <c r="B299" s="22" t="s">
        <v>1276</v>
      </c>
      <c r="C299" t="s">
        <v>2399</v>
      </c>
      <c r="AK299" s="57"/>
      <c r="AL299" s="57"/>
      <c r="AM299" s="57"/>
      <c r="AN299" s="57"/>
      <c r="AO299" s="57"/>
      <c r="AP299" s="57"/>
      <c r="AQ299" s="57"/>
      <c r="AR299" s="57"/>
      <c r="AS299" s="57"/>
      <c r="AT299" s="57"/>
      <c r="AU299" s="57"/>
      <c r="AV299" s="57"/>
      <c r="AW299" s="57"/>
      <c r="AX299" s="57"/>
      <c r="AY299" s="57"/>
      <c r="AZ299" s="57"/>
      <c r="BA299" s="57"/>
      <c r="BB299" s="57"/>
      <c r="BC299" s="57"/>
      <c r="BD299" s="57"/>
      <c r="BE299" s="57"/>
      <c r="BF299" s="57"/>
      <c r="BG299" s="57"/>
      <c r="BH299" s="57"/>
      <c r="BI299" s="57"/>
      <c r="BJ299" s="57"/>
      <c r="BK299" s="57"/>
      <c r="BL299" t="s">
        <v>2205</v>
      </c>
    </row>
    <row r="300" spans="2:67" x14ac:dyDescent="0.25">
      <c r="B300" s="22" t="s">
        <v>1277</v>
      </c>
      <c r="C300" t="s">
        <v>2398</v>
      </c>
      <c r="AK300" s="57"/>
      <c r="AL300" s="57"/>
      <c r="AM300" s="57"/>
      <c r="AN300" s="57"/>
      <c r="AO300" s="57"/>
      <c r="AP300" s="57"/>
      <c r="AQ300" s="57"/>
      <c r="AR300" s="57"/>
      <c r="AS300" s="57"/>
      <c r="AT300" s="57"/>
      <c r="AU300" s="57"/>
      <c r="AV300" s="57"/>
      <c r="AW300" s="57"/>
      <c r="AX300" s="57"/>
      <c r="AY300" s="57"/>
      <c r="AZ300" s="57"/>
      <c r="BA300" s="57"/>
      <c r="BB300" t="s">
        <v>2202</v>
      </c>
    </row>
    <row r="301" spans="2:67" x14ac:dyDescent="0.25">
      <c r="B301" s="22" t="s">
        <v>2406</v>
      </c>
      <c r="C301" t="s">
        <v>1955</v>
      </c>
      <c r="D301" s="3">
        <v>562</v>
      </c>
      <c r="W301" s="8" t="s">
        <v>2157</v>
      </c>
      <c r="AH301" t="s">
        <v>2407</v>
      </c>
      <c r="BA301" s="36">
        <v>0.20860000000000001</v>
      </c>
    </row>
    <row r="302" spans="2:67" x14ac:dyDescent="0.25">
      <c r="B302" s="22" t="s">
        <v>1278</v>
      </c>
      <c r="AP302" s="9">
        <v>0.53</v>
      </c>
      <c r="AQ302" s="9">
        <v>0.46</v>
      </c>
      <c r="AR302" s="9">
        <v>-0.08</v>
      </c>
    </row>
    <row r="303" spans="2:67" x14ac:dyDescent="0.25">
      <c r="B303" s="22" t="s">
        <v>1279</v>
      </c>
    </row>
    <row r="304" spans="2:67" x14ac:dyDescent="0.25">
      <c r="B304" s="22" t="s">
        <v>1280</v>
      </c>
    </row>
    <row r="305" spans="2:79" x14ac:dyDescent="0.25">
      <c r="B305" s="22" t="s">
        <v>41</v>
      </c>
    </row>
    <row r="306" spans="2:79" x14ac:dyDescent="0.25">
      <c r="B306" s="22" t="s">
        <v>1281</v>
      </c>
      <c r="C306" t="s">
        <v>2208</v>
      </c>
      <c r="AG306" t="s">
        <v>2307</v>
      </c>
      <c r="BN306" s="14" t="s">
        <v>2211</v>
      </c>
      <c r="BO306" s="14" t="s">
        <v>2210</v>
      </c>
      <c r="BP306" s="14" t="s">
        <v>2277</v>
      </c>
      <c r="BQ306" s="14" t="s">
        <v>2209</v>
      </c>
      <c r="BU306" s="9"/>
      <c r="BV306" s="9">
        <v>0.42</v>
      </c>
    </row>
    <row r="307" spans="2:79" x14ac:dyDescent="0.25">
      <c r="B307" s="22" t="s">
        <v>1282</v>
      </c>
      <c r="C307" t="s">
        <v>2803</v>
      </c>
      <c r="BD307" s="9" t="s">
        <v>2804</v>
      </c>
      <c r="BE307" s="9">
        <v>1.6</v>
      </c>
      <c r="BH307" t="s">
        <v>2167</v>
      </c>
    </row>
    <row r="308" spans="2:79" x14ac:dyDescent="0.25">
      <c r="B308" s="22" t="s">
        <v>1283</v>
      </c>
    </row>
    <row r="309" spans="2:79" x14ac:dyDescent="0.25">
      <c r="B309" s="22" t="s">
        <v>1284</v>
      </c>
      <c r="C309" t="s">
        <v>2128</v>
      </c>
      <c r="X309">
        <v>1988</v>
      </c>
      <c r="Y309" s="55" t="s">
        <v>2129</v>
      </c>
      <c r="AG309" t="s">
        <v>2656</v>
      </c>
      <c r="AH309" t="s">
        <v>1177</v>
      </c>
      <c r="AK309" s="57"/>
      <c r="AL309" s="46"/>
      <c r="AM309" s="46"/>
      <c r="AN309" s="46"/>
      <c r="AO309" s="46"/>
      <c r="AP309" s="46"/>
      <c r="AQ309" s="46"/>
      <c r="AR309" s="46"/>
      <c r="AS309" t="s">
        <v>2199</v>
      </c>
      <c r="BA309" t="s">
        <v>2479</v>
      </c>
      <c r="BG309" t="s">
        <v>2655</v>
      </c>
      <c r="BH309" s="14" t="s">
        <v>2613</v>
      </c>
      <c r="BI309" s="14" t="s">
        <v>2130</v>
      </c>
      <c r="BV309" t="s">
        <v>2131</v>
      </c>
      <c r="BW309" s="46"/>
      <c r="BX309" s="46"/>
      <c r="BY309" s="46"/>
      <c r="BZ309" s="46"/>
      <c r="CA309" s="46"/>
    </row>
    <row r="310" spans="2:79" x14ac:dyDescent="0.25">
      <c r="B310" s="22" t="s">
        <v>1285</v>
      </c>
    </row>
    <row r="311" spans="2:79" x14ac:dyDescent="0.25">
      <c r="B311" s="22" t="s">
        <v>186</v>
      </c>
    </row>
    <row r="312" spans="2:79" x14ac:dyDescent="0.25">
      <c r="B312" s="22" t="s">
        <v>1286</v>
      </c>
    </row>
    <row r="313" spans="2:79" x14ac:dyDescent="0.25">
      <c r="B313" s="22" t="s">
        <v>1287</v>
      </c>
    </row>
    <row r="314" spans="2:79" x14ac:dyDescent="0.25">
      <c r="B314" s="22" t="s">
        <v>104</v>
      </c>
    </row>
    <row r="315" spans="2:79" x14ac:dyDescent="0.25">
      <c r="B315" s="22" t="s">
        <v>190</v>
      </c>
      <c r="D315" s="3">
        <v>12100</v>
      </c>
    </row>
    <row r="316" spans="2:79" x14ac:dyDescent="0.25">
      <c r="B316" s="22" t="s">
        <v>1300</v>
      </c>
    </row>
    <row r="317" spans="2:79" x14ac:dyDescent="0.25">
      <c r="B317" s="22" t="s">
        <v>1301</v>
      </c>
      <c r="C317" t="s">
        <v>2117</v>
      </c>
      <c r="X317">
        <v>1988</v>
      </c>
      <c r="AH317" t="s">
        <v>1177</v>
      </c>
      <c r="AZ317" s="36">
        <v>0.183</v>
      </c>
      <c r="BD317" s="36">
        <v>0.245</v>
      </c>
      <c r="BE317" s="9">
        <v>0.09</v>
      </c>
      <c r="BF317" s="14" t="s">
        <v>2674</v>
      </c>
      <c r="BG317" t="s">
        <v>2631</v>
      </c>
      <c r="BH317" s="9">
        <v>-0.15</v>
      </c>
      <c r="BI317" t="s">
        <v>2124</v>
      </c>
      <c r="BV317" t="s">
        <v>2123</v>
      </c>
    </row>
    <row r="318" spans="2:79" x14ac:dyDescent="0.25">
      <c r="B318" s="22" t="s">
        <v>1770</v>
      </c>
      <c r="C318" t="s">
        <v>2776</v>
      </c>
      <c r="BE318" t="s">
        <v>2777</v>
      </c>
    </row>
    <row r="319" spans="2:79" x14ac:dyDescent="0.25">
      <c r="B319" s="22" t="s">
        <v>1771</v>
      </c>
      <c r="C319" t="s">
        <v>2758</v>
      </c>
      <c r="BD319" s="14" t="s">
        <v>2809</v>
      </c>
      <c r="BE319" s="14" t="s">
        <v>2759</v>
      </c>
    </row>
    <row r="320" spans="2:79" x14ac:dyDescent="0.25">
      <c r="B320" s="22" t="s">
        <v>1772</v>
      </c>
      <c r="D320" s="3">
        <v>10500</v>
      </c>
      <c r="BD320" t="s">
        <v>2320</v>
      </c>
      <c r="BE320" t="s">
        <v>2321</v>
      </c>
    </row>
    <row r="321" spans="2:79" x14ac:dyDescent="0.25">
      <c r="B321" s="22" t="s">
        <v>1773</v>
      </c>
    </row>
    <row r="322" spans="2:79" x14ac:dyDescent="0.25">
      <c r="B322" s="22" t="s">
        <v>1774</v>
      </c>
      <c r="C322" t="s">
        <v>2783</v>
      </c>
      <c r="BE322" s="9">
        <v>-0.09</v>
      </c>
    </row>
    <row r="323" spans="2:79" x14ac:dyDescent="0.25">
      <c r="B323" s="22" t="s">
        <v>1775</v>
      </c>
    </row>
    <row r="324" spans="2:79" x14ac:dyDescent="0.25">
      <c r="B324" s="22" t="s">
        <v>1813</v>
      </c>
    </row>
    <row r="325" spans="2:79" x14ac:dyDescent="0.25">
      <c r="B325" s="22" t="s">
        <v>1843</v>
      </c>
    </row>
    <row r="326" spans="2:79" x14ac:dyDescent="0.25">
      <c r="B326" s="22" t="s">
        <v>1983</v>
      </c>
    </row>
    <row r="327" spans="2:79" x14ac:dyDescent="0.25">
      <c r="B327" s="22" t="s">
        <v>1985</v>
      </c>
      <c r="C327" t="s">
        <v>2414</v>
      </c>
      <c r="U327" s="6" t="s">
        <v>98</v>
      </c>
      <c r="W327" s="8" t="s">
        <v>2163</v>
      </c>
      <c r="BA327" t="s">
        <v>2415</v>
      </c>
    </row>
    <row r="328" spans="2:79" x14ac:dyDescent="0.25">
      <c r="B328" s="22" t="s">
        <v>1986</v>
      </c>
    </row>
    <row r="329" spans="2:79" x14ac:dyDescent="0.25">
      <c r="B329" s="22" t="s">
        <v>2114</v>
      </c>
      <c r="C329" t="s">
        <v>2626</v>
      </c>
      <c r="D329" s="3">
        <v>2900</v>
      </c>
      <c r="U329" s="6" t="s">
        <v>2349</v>
      </c>
      <c r="W329" s="8" t="s">
        <v>219</v>
      </c>
      <c r="X329" s="63">
        <v>36831</v>
      </c>
      <c r="BA329" s="14" t="s">
        <v>2512</v>
      </c>
    </row>
    <row r="330" spans="2:79" x14ac:dyDescent="0.25">
      <c r="B330" s="22" t="s">
        <v>2115</v>
      </c>
      <c r="C330" t="s">
        <v>2116</v>
      </c>
      <c r="U330" s="6" t="s">
        <v>98</v>
      </c>
      <c r="Y330" s="55" t="s">
        <v>2154</v>
      </c>
      <c r="BG330" s="14" t="s">
        <v>2664</v>
      </c>
      <c r="BH330" s="14" t="s">
        <v>2451</v>
      </c>
      <c r="BI330" s="14" t="s">
        <v>2153</v>
      </c>
      <c r="BO330" s="36">
        <v>9.8000000000000004E-2</v>
      </c>
    </row>
    <row r="331" spans="2:79" x14ac:dyDescent="0.25">
      <c r="B331" s="22" t="s">
        <v>2170</v>
      </c>
      <c r="C331" t="s">
        <v>2171</v>
      </c>
      <c r="X331">
        <v>1995</v>
      </c>
      <c r="Z331" s="57"/>
      <c r="BH331" s="9">
        <v>0.01</v>
      </c>
      <c r="BI331" s="9">
        <v>0.08</v>
      </c>
      <c r="BJ331" s="9">
        <v>0.22</v>
      </c>
      <c r="BO331" t="s">
        <v>222</v>
      </c>
      <c r="BP331" s="46"/>
      <c r="BQ331" s="46"/>
      <c r="BR331" s="46"/>
      <c r="BS331" s="46"/>
      <c r="BT331" s="46"/>
      <c r="BU331" s="46"/>
      <c r="BV331" s="46"/>
      <c r="BW331" s="46"/>
      <c r="BX331" s="46"/>
      <c r="BY331" s="46"/>
      <c r="BZ331" s="46"/>
      <c r="CA331" s="46"/>
    </row>
    <row r="332" spans="2:79" x14ac:dyDescent="0.25">
      <c r="B332" s="22" t="s">
        <v>2175</v>
      </c>
      <c r="C332" t="s">
        <v>2176</v>
      </c>
      <c r="Z332" s="57"/>
      <c r="BH332" s="14" t="s">
        <v>2605</v>
      </c>
      <c r="BI332" t="s">
        <v>2177</v>
      </c>
      <c r="BS332" t="s">
        <v>222</v>
      </c>
      <c r="BT332" s="46"/>
      <c r="BU332" s="46"/>
      <c r="BV332" s="46"/>
      <c r="BW332" s="46"/>
      <c r="BX332" s="46"/>
      <c r="BY332" s="46"/>
      <c r="BZ332" s="46"/>
      <c r="CA332" s="46"/>
    </row>
    <row r="333" spans="2:79" x14ac:dyDescent="0.25">
      <c r="B333" s="22" t="s">
        <v>2182</v>
      </c>
      <c r="C333" t="s">
        <v>2183</v>
      </c>
      <c r="U333" s="6" t="s">
        <v>98</v>
      </c>
      <c r="V333" s="6" t="s">
        <v>218</v>
      </c>
      <c r="X333">
        <v>1997</v>
      </c>
      <c r="Z333" s="57"/>
      <c r="AH333" t="s">
        <v>2184</v>
      </c>
      <c r="BD333" s="14" t="s">
        <v>2815</v>
      </c>
      <c r="BE333" s="50" t="s">
        <v>2764</v>
      </c>
      <c r="BF333" s="50" t="s">
        <v>2765</v>
      </c>
      <c r="BG333" s="14" t="s">
        <v>2661</v>
      </c>
      <c r="BH333" t="s">
        <v>2577</v>
      </c>
      <c r="BI333" s="9" t="s">
        <v>2187</v>
      </c>
      <c r="BJ333" t="s">
        <v>2186</v>
      </c>
      <c r="BK333" t="s">
        <v>2186</v>
      </c>
      <c r="BL333" s="14" t="s">
        <v>2185</v>
      </c>
    </row>
    <row r="334" spans="2:79" x14ac:dyDescent="0.25">
      <c r="B334" s="22" t="s">
        <v>2188</v>
      </c>
      <c r="C334" t="s">
        <v>2189</v>
      </c>
      <c r="Z334" s="57"/>
      <c r="BH334" t="s">
        <v>2585</v>
      </c>
      <c r="BI334" t="s">
        <v>2190</v>
      </c>
      <c r="BM334" t="s">
        <v>222</v>
      </c>
      <c r="BN334" s="46"/>
      <c r="BO334" s="46"/>
      <c r="BP334" s="46"/>
      <c r="BQ334" s="46"/>
      <c r="BR334" s="46"/>
      <c r="BS334" s="46"/>
      <c r="BT334" s="46"/>
      <c r="BU334" s="46"/>
      <c r="BV334" s="46"/>
      <c r="BW334" s="46"/>
      <c r="BX334" s="46"/>
      <c r="BY334" s="46"/>
      <c r="BZ334" s="46"/>
      <c r="CA334" s="46"/>
    </row>
    <row r="335" spans="2:79" x14ac:dyDescent="0.25">
      <c r="B335" s="22" t="s">
        <v>2193</v>
      </c>
      <c r="C335" t="s">
        <v>2194</v>
      </c>
      <c r="D335" s="3">
        <v>2000</v>
      </c>
      <c r="U335" s="6" t="s">
        <v>98</v>
      </c>
      <c r="V335" s="6" t="s">
        <v>217</v>
      </c>
      <c r="W335" s="8" t="s">
        <v>2157</v>
      </c>
      <c r="X335">
        <v>1998</v>
      </c>
      <c r="AG335" t="s">
        <v>2197</v>
      </c>
      <c r="AH335" t="s">
        <v>2198</v>
      </c>
      <c r="BD335" t="s">
        <v>2196</v>
      </c>
      <c r="BF335" t="s">
        <v>2195</v>
      </c>
      <c r="BH335" s="9">
        <v>3.5999999999999997E-2</v>
      </c>
      <c r="BI335" s="9">
        <v>0.21</v>
      </c>
      <c r="BJ335" s="9">
        <v>0.72</v>
      </c>
      <c r="BK335" s="9">
        <v>0.57999999999999996</v>
      </c>
      <c r="BL335" t="s">
        <v>2167</v>
      </c>
    </row>
    <row r="336" spans="2:79" x14ac:dyDescent="0.25">
      <c r="B336" s="22" t="s">
        <v>2214</v>
      </c>
      <c r="C336" t="s">
        <v>2215</v>
      </c>
    </row>
    <row r="337" spans="2:79" x14ac:dyDescent="0.25">
      <c r="B337" s="22" t="s">
        <v>2216</v>
      </c>
      <c r="C337" t="s">
        <v>2217</v>
      </c>
      <c r="AG337" t="s">
        <v>2261</v>
      </c>
      <c r="BP337" s="14" t="s">
        <v>2219</v>
      </c>
      <c r="BQ337" s="14" t="s">
        <v>2218</v>
      </c>
    </row>
    <row r="338" spans="2:79" x14ac:dyDescent="0.25">
      <c r="B338" s="22" t="s">
        <v>2225</v>
      </c>
      <c r="C338" t="s">
        <v>2226</v>
      </c>
      <c r="BQ338" t="s">
        <v>2227</v>
      </c>
    </row>
    <row r="339" spans="2:79" x14ac:dyDescent="0.25">
      <c r="B339" s="22" t="s">
        <v>2228</v>
      </c>
      <c r="C339" t="s">
        <v>2229</v>
      </c>
      <c r="AG339" t="s">
        <v>2275</v>
      </c>
      <c r="BC339" s="9">
        <f>1.18^2-1</f>
        <v>0.39239999999999986</v>
      </c>
      <c r="BQ339" t="s">
        <v>2230</v>
      </c>
    </row>
    <row r="340" spans="2:79" x14ac:dyDescent="0.25">
      <c r="B340" s="22" t="s">
        <v>2231</v>
      </c>
      <c r="C340" t="s">
        <v>2232</v>
      </c>
      <c r="BP340" s="14" t="s">
        <v>2281</v>
      </c>
      <c r="BQ340" t="s">
        <v>2233</v>
      </c>
      <c r="BV340" t="s">
        <v>222</v>
      </c>
    </row>
    <row r="341" spans="2:79" x14ac:dyDescent="0.25">
      <c r="B341" s="22" t="s">
        <v>2234</v>
      </c>
      <c r="C341" t="s">
        <v>2234</v>
      </c>
      <c r="BG341" s="14" t="s">
        <v>2669</v>
      </c>
      <c r="BH341" s="14" t="s">
        <v>2611</v>
      </c>
      <c r="BP341" s="14" t="s">
        <v>2280</v>
      </c>
      <c r="BQ341" s="14" t="s">
        <v>2236</v>
      </c>
      <c r="BR341" s="14" t="s">
        <v>2235</v>
      </c>
      <c r="BV341" t="s">
        <v>2306</v>
      </c>
    </row>
    <row r="342" spans="2:79" x14ac:dyDescent="0.25">
      <c r="B342" s="22" t="s">
        <v>2239</v>
      </c>
      <c r="C342" t="s">
        <v>2240</v>
      </c>
      <c r="BQ342" s="14" t="s">
        <v>2241</v>
      </c>
    </row>
    <row r="343" spans="2:79" x14ac:dyDescent="0.25">
      <c r="B343" s="22" t="s">
        <v>2243</v>
      </c>
      <c r="C343" t="s">
        <v>2244</v>
      </c>
      <c r="BQ343" s="14" t="s">
        <v>2245</v>
      </c>
    </row>
    <row r="344" spans="2:79" x14ac:dyDescent="0.25">
      <c r="B344" s="22" t="s">
        <v>2246</v>
      </c>
      <c r="C344" t="s">
        <v>2247</v>
      </c>
    </row>
    <row r="345" spans="2:79" x14ac:dyDescent="0.25">
      <c r="B345" s="22" t="s">
        <v>2253</v>
      </c>
      <c r="C345" t="s">
        <v>2254</v>
      </c>
      <c r="AG345" t="s">
        <v>2256</v>
      </c>
      <c r="BQ345" s="14" t="s">
        <v>2255</v>
      </c>
      <c r="BV345" s="9">
        <v>0.46</v>
      </c>
    </row>
    <row r="346" spans="2:79" x14ac:dyDescent="0.25">
      <c r="B346" s="22" t="s">
        <v>2257</v>
      </c>
      <c r="C346" t="s">
        <v>2258</v>
      </c>
      <c r="BQ346" s="14" t="s">
        <v>2259</v>
      </c>
    </row>
    <row r="347" spans="2:79" x14ac:dyDescent="0.25">
      <c r="B347" s="22" t="s">
        <v>2262</v>
      </c>
      <c r="C347" t="s">
        <v>2263</v>
      </c>
      <c r="AG347" t="s">
        <v>2681</v>
      </c>
      <c r="BH347" s="14" t="s">
        <v>2371</v>
      </c>
      <c r="BQ347" t="s">
        <v>2264</v>
      </c>
      <c r="BT347" s="9">
        <v>-0.18</v>
      </c>
      <c r="CA347" t="s">
        <v>222</v>
      </c>
    </row>
    <row r="348" spans="2:79" x14ac:dyDescent="0.25">
      <c r="B348" s="22" t="s">
        <v>2265</v>
      </c>
      <c r="C348" t="s">
        <v>2266</v>
      </c>
      <c r="BQ348" s="36" t="s">
        <v>2267</v>
      </c>
      <c r="BR348" t="s">
        <v>222</v>
      </c>
    </row>
    <row r="349" spans="2:79" x14ac:dyDescent="0.25">
      <c r="B349" s="22" t="s">
        <v>2269</v>
      </c>
      <c r="C349" t="s">
        <v>2270</v>
      </c>
      <c r="AG349" t="s">
        <v>2294</v>
      </c>
      <c r="BO349" s="9">
        <v>0.15</v>
      </c>
      <c r="BQ349" t="s">
        <v>2271</v>
      </c>
    </row>
    <row r="350" spans="2:79" x14ac:dyDescent="0.25">
      <c r="B350" s="22" t="s">
        <v>2272</v>
      </c>
      <c r="C350" t="s">
        <v>2273</v>
      </c>
      <c r="BQ350" s="14" t="s">
        <v>2274</v>
      </c>
      <c r="BT350" t="s">
        <v>222</v>
      </c>
    </row>
    <row r="351" spans="2:79" x14ac:dyDescent="0.25">
      <c r="B351" s="22" t="s">
        <v>2282</v>
      </c>
      <c r="C351" t="s">
        <v>2283</v>
      </c>
      <c r="BO351" s="9">
        <v>0.5</v>
      </c>
    </row>
    <row r="352" spans="2:79" x14ac:dyDescent="0.25">
      <c r="B352" s="22" t="s">
        <v>2284</v>
      </c>
      <c r="C352" t="s">
        <v>2285</v>
      </c>
      <c r="BO352" t="s">
        <v>2286</v>
      </c>
    </row>
    <row r="353" spans="2:67" x14ac:dyDescent="0.25">
      <c r="B353" s="22" t="s">
        <v>2287</v>
      </c>
      <c r="C353" t="s">
        <v>2288</v>
      </c>
      <c r="BO353" s="9">
        <v>0.64</v>
      </c>
    </row>
    <row r="354" spans="2:67" x14ac:dyDescent="0.25">
      <c r="B354" s="22" t="s">
        <v>2291</v>
      </c>
      <c r="C354" t="s">
        <v>2292</v>
      </c>
      <c r="BO354" t="s">
        <v>2293</v>
      </c>
    </row>
    <row r="355" spans="2:67" x14ac:dyDescent="0.25">
      <c r="B355" s="22" t="s">
        <v>2295</v>
      </c>
      <c r="C355" t="s">
        <v>2296</v>
      </c>
    </row>
    <row r="356" spans="2:67" x14ac:dyDescent="0.25">
      <c r="B356" s="22" t="s">
        <v>2297</v>
      </c>
      <c r="C356" t="s">
        <v>2296</v>
      </c>
    </row>
    <row r="357" spans="2:67" x14ac:dyDescent="0.25">
      <c r="B357" s="22" t="s">
        <v>2299</v>
      </c>
      <c r="C357" t="s">
        <v>2300</v>
      </c>
    </row>
    <row r="358" spans="2:67" x14ac:dyDescent="0.25">
      <c r="B358" s="22" t="s">
        <v>2302</v>
      </c>
      <c r="C358" t="s">
        <v>2303</v>
      </c>
    </row>
    <row r="359" spans="2:67" x14ac:dyDescent="0.25">
      <c r="B359" s="22" t="s">
        <v>2317</v>
      </c>
      <c r="C359" t="s">
        <v>2782</v>
      </c>
      <c r="BD359" s="9">
        <v>-0.06</v>
      </c>
      <c r="BE359" s="36">
        <v>0.39900000000000002</v>
      </c>
    </row>
    <row r="360" spans="2:67" x14ac:dyDescent="0.25">
      <c r="B360" s="22" t="s">
        <v>2324</v>
      </c>
    </row>
    <row r="361" spans="2:67" x14ac:dyDescent="0.25">
      <c r="B361" s="22" t="s">
        <v>2325</v>
      </c>
    </row>
    <row r="362" spans="2:67" x14ac:dyDescent="0.25">
      <c r="B362" s="22" t="s">
        <v>2331</v>
      </c>
      <c r="C362" t="s">
        <v>2332</v>
      </c>
      <c r="BJ362" s="36">
        <v>0.56189999999999996</v>
      </c>
      <c r="BL362" t="s">
        <v>222</v>
      </c>
    </row>
    <row r="363" spans="2:67" x14ac:dyDescent="0.25">
      <c r="B363" s="22" t="s">
        <v>2333</v>
      </c>
      <c r="BI363" t="s">
        <v>2334</v>
      </c>
      <c r="BJ363" s="36">
        <v>0.39529999999999998</v>
      </c>
    </row>
    <row r="364" spans="2:67" x14ac:dyDescent="0.25">
      <c r="B364" s="22" t="s">
        <v>2339</v>
      </c>
      <c r="C364" t="s">
        <v>2340</v>
      </c>
      <c r="AY364" s="14" t="s">
        <v>2341</v>
      </c>
      <c r="AZ364" s="14" t="s">
        <v>2342</v>
      </c>
    </row>
    <row r="365" spans="2:67" x14ac:dyDescent="0.25">
      <c r="B365" s="22" t="s">
        <v>2362</v>
      </c>
      <c r="C365" t="s">
        <v>2363</v>
      </c>
      <c r="BH365" s="14" t="s">
        <v>2364</v>
      </c>
      <c r="BI365" s="9">
        <v>0.7</v>
      </c>
    </row>
    <row r="366" spans="2:67" x14ac:dyDescent="0.25">
      <c r="B366" s="22" t="s">
        <v>2365</v>
      </c>
      <c r="C366" t="s">
        <v>2366</v>
      </c>
      <c r="BH366" t="s">
        <v>2367</v>
      </c>
      <c r="BI366" s="9">
        <v>0.38</v>
      </c>
    </row>
    <row r="367" spans="2:67" x14ac:dyDescent="0.25">
      <c r="B367" s="22" t="s">
        <v>2373</v>
      </c>
      <c r="C367" t="s">
        <v>2374</v>
      </c>
      <c r="U367" s="6" t="s">
        <v>99</v>
      </c>
      <c r="W367" s="8" t="s">
        <v>2343</v>
      </c>
      <c r="X367">
        <v>1979</v>
      </c>
      <c r="AV367" s="14" t="s">
        <v>2376</v>
      </c>
      <c r="AW367" s="36">
        <v>7.8200000000000006E-2</v>
      </c>
      <c r="AX367" s="14" t="s">
        <v>2375</v>
      </c>
      <c r="BA367" t="s">
        <v>2378</v>
      </c>
      <c r="BB367" s="36">
        <v>0.45800000000000002</v>
      </c>
      <c r="BC367" s="36">
        <v>1.998</v>
      </c>
    </row>
    <row r="368" spans="2:67" x14ac:dyDescent="0.25">
      <c r="B368" s="22" t="s">
        <v>2377</v>
      </c>
      <c r="C368" t="s">
        <v>2854</v>
      </c>
      <c r="U368" s="6" t="s">
        <v>99</v>
      </c>
      <c r="W368" s="8" t="s">
        <v>2343</v>
      </c>
      <c r="AW368" s="36">
        <v>7.0900000000000005E-2</v>
      </c>
      <c r="BA368" s="14" t="s">
        <v>2569</v>
      </c>
    </row>
    <row r="369" spans="2:53" x14ac:dyDescent="0.25">
      <c r="B369" s="22" t="s">
        <v>2380</v>
      </c>
      <c r="U369" s="6" t="s">
        <v>2381</v>
      </c>
      <c r="BA369" s="36">
        <v>0.85670000000000002</v>
      </c>
    </row>
    <row r="370" spans="2:53" x14ac:dyDescent="0.25">
      <c r="B370" s="22" t="s">
        <v>2382</v>
      </c>
      <c r="W370" s="8" t="s">
        <v>2383</v>
      </c>
      <c r="BA370" s="50" t="s">
        <v>2400</v>
      </c>
    </row>
    <row r="371" spans="2:53" x14ac:dyDescent="0.25">
      <c r="B371" s="22" t="s">
        <v>2384</v>
      </c>
      <c r="U371" s="6" t="s">
        <v>99</v>
      </c>
      <c r="W371" s="8" t="s">
        <v>2385</v>
      </c>
      <c r="BA371" s="36">
        <v>5.8200000000000002E-2</v>
      </c>
    </row>
    <row r="372" spans="2:53" x14ac:dyDescent="0.25">
      <c r="B372" s="22" t="s">
        <v>2401</v>
      </c>
      <c r="U372" s="6" t="s">
        <v>99</v>
      </c>
      <c r="W372" s="8" t="s">
        <v>2403</v>
      </c>
      <c r="BA372" t="s">
        <v>2402</v>
      </c>
    </row>
    <row r="373" spans="2:53" x14ac:dyDescent="0.25">
      <c r="B373" s="22" t="s">
        <v>2404</v>
      </c>
      <c r="BA373" s="14" t="s">
        <v>2405</v>
      </c>
    </row>
    <row r="374" spans="2:53" x14ac:dyDescent="0.25">
      <c r="B374" s="22" t="s">
        <v>2410</v>
      </c>
      <c r="BA374" s="14" t="s">
        <v>2411</v>
      </c>
    </row>
    <row r="375" spans="2:53" x14ac:dyDescent="0.25">
      <c r="B375" s="22" t="s">
        <v>2412</v>
      </c>
      <c r="BA375" t="s">
        <v>2413</v>
      </c>
    </row>
    <row r="376" spans="2:53" x14ac:dyDescent="0.25">
      <c r="B376" s="22" t="s">
        <v>2418</v>
      </c>
      <c r="U376" s="6" t="s">
        <v>2419</v>
      </c>
      <c r="BA376" t="s">
        <v>2420</v>
      </c>
    </row>
    <row r="377" spans="2:53" x14ac:dyDescent="0.25">
      <c r="B377" s="22" t="s">
        <v>2422</v>
      </c>
      <c r="U377" s="6" t="s">
        <v>99</v>
      </c>
      <c r="W377" s="8" t="s">
        <v>2423</v>
      </c>
      <c r="BA377" s="14" t="s">
        <v>2424</v>
      </c>
    </row>
    <row r="378" spans="2:53" x14ac:dyDescent="0.25">
      <c r="B378" s="22" t="s">
        <v>2425</v>
      </c>
      <c r="U378" s="6" t="s">
        <v>98</v>
      </c>
      <c r="W378" s="8" t="s">
        <v>2163</v>
      </c>
      <c r="BA378" t="s">
        <v>2426</v>
      </c>
    </row>
    <row r="379" spans="2:53" x14ac:dyDescent="0.25">
      <c r="B379" s="22" t="s">
        <v>2427</v>
      </c>
      <c r="U379" s="6" t="s">
        <v>2381</v>
      </c>
      <c r="W379" s="8" t="s">
        <v>2434</v>
      </c>
      <c r="BA379" s="14" t="s">
        <v>2428</v>
      </c>
    </row>
    <row r="380" spans="2:53" x14ac:dyDescent="0.25">
      <c r="B380" s="22" t="s">
        <v>2430</v>
      </c>
      <c r="W380" s="8" t="s">
        <v>2433</v>
      </c>
      <c r="BA380" t="s">
        <v>2431</v>
      </c>
    </row>
    <row r="381" spans="2:53" x14ac:dyDescent="0.25">
      <c r="B381" s="22" t="s">
        <v>1776</v>
      </c>
      <c r="U381" s="6" t="s">
        <v>2144</v>
      </c>
      <c r="W381" s="8" t="s">
        <v>670</v>
      </c>
      <c r="BA381" s="14" t="s">
        <v>2432</v>
      </c>
    </row>
    <row r="382" spans="2:53" x14ac:dyDescent="0.25">
      <c r="B382" s="22" t="s">
        <v>2435</v>
      </c>
      <c r="U382" s="6" t="s">
        <v>2436</v>
      </c>
      <c r="W382" s="8" t="s">
        <v>2343</v>
      </c>
      <c r="BA382" s="14" t="s">
        <v>2437</v>
      </c>
    </row>
    <row r="383" spans="2:53" x14ac:dyDescent="0.25">
      <c r="B383" s="22" t="s">
        <v>2447</v>
      </c>
      <c r="C383" t="s">
        <v>2448</v>
      </c>
      <c r="U383" s="6" t="s">
        <v>2449</v>
      </c>
      <c r="W383" s="8" t="s">
        <v>670</v>
      </c>
      <c r="X383">
        <v>1992</v>
      </c>
      <c r="BA383" t="s">
        <v>2450</v>
      </c>
    </row>
    <row r="384" spans="2:53" x14ac:dyDescent="0.25">
      <c r="B384" s="22" t="s">
        <v>2452</v>
      </c>
    </row>
    <row r="385" spans="2:53" x14ac:dyDescent="0.25">
      <c r="B385" s="22" t="s">
        <v>2453</v>
      </c>
      <c r="U385" s="6" t="s">
        <v>98</v>
      </c>
    </row>
    <row r="386" spans="2:53" x14ac:dyDescent="0.25">
      <c r="B386" s="22" t="s">
        <v>2454</v>
      </c>
      <c r="C386" t="s">
        <v>2399</v>
      </c>
    </row>
    <row r="387" spans="2:53" x14ac:dyDescent="0.25">
      <c r="B387" s="22" t="s">
        <v>2455</v>
      </c>
    </row>
    <row r="388" spans="2:53" x14ac:dyDescent="0.25">
      <c r="B388" s="22" t="s">
        <v>2456</v>
      </c>
      <c r="U388" s="6" t="s">
        <v>2457</v>
      </c>
      <c r="BA388" s="14" t="s">
        <v>2458</v>
      </c>
    </row>
    <row r="389" spans="2:53" x14ac:dyDescent="0.25">
      <c r="B389" s="22" t="s">
        <v>2459</v>
      </c>
      <c r="U389" s="6" t="s">
        <v>99</v>
      </c>
      <c r="W389" s="8" t="s">
        <v>219</v>
      </c>
      <c r="BA389" s="14" t="s">
        <v>2460</v>
      </c>
    </row>
    <row r="390" spans="2:53" x14ac:dyDescent="0.25">
      <c r="B390" s="22" t="s">
        <v>2461</v>
      </c>
      <c r="U390" s="6" t="s">
        <v>2457</v>
      </c>
      <c r="BA390" s="14" t="s">
        <v>2462</v>
      </c>
    </row>
    <row r="391" spans="2:53" x14ac:dyDescent="0.25">
      <c r="B391" s="22" t="s">
        <v>2463</v>
      </c>
      <c r="U391" s="6" t="s">
        <v>2457</v>
      </c>
      <c r="BA391" s="14" t="s">
        <v>2464</v>
      </c>
    </row>
    <row r="392" spans="2:53" x14ac:dyDescent="0.25">
      <c r="B392" s="22" t="s">
        <v>2468</v>
      </c>
      <c r="U392" s="6" t="s">
        <v>98</v>
      </c>
      <c r="W392" s="8" t="s">
        <v>1201</v>
      </c>
      <c r="BA392" s="14" t="s">
        <v>2469</v>
      </c>
    </row>
    <row r="393" spans="2:53" x14ac:dyDescent="0.25">
      <c r="B393" s="22" t="s">
        <v>2487</v>
      </c>
      <c r="U393" s="6" t="s">
        <v>2483</v>
      </c>
      <c r="W393" s="8" t="s">
        <v>1201</v>
      </c>
      <c r="BA393" s="36">
        <v>0.193</v>
      </c>
    </row>
    <row r="394" spans="2:53" x14ac:dyDescent="0.25">
      <c r="B394" s="22" t="s">
        <v>2504</v>
      </c>
      <c r="C394" t="s">
        <v>2513</v>
      </c>
      <c r="U394" s="6" t="s">
        <v>2457</v>
      </c>
      <c r="W394" s="8" t="s">
        <v>2505</v>
      </c>
      <c r="BA394" s="14" t="s">
        <v>2506</v>
      </c>
    </row>
    <row r="395" spans="2:53" x14ac:dyDescent="0.25">
      <c r="B395" s="22" t="s">
        <v>2510</v>
      </c>
      <c r="U395" s="6" t="s">
        <v>98</v>
      </c>
      <c r="W395" s="8" t="s">
        <v>2343</v>
      </c>
      <c r="BA395" s="14" t="s">
        <v>2511</v>
      </c>
    </row>
    <row r="396" spans="2:53" x14ac:dyDescent="0.25">
      <c r="B396" s="22" t="s">
        <v>2514</v>
      </c>
      <c r="D396" s="3">
        <v>1240</v>
      </c>
      <c r="U396" s="6" t="s">
        <v>2349</v>
      </c>
      <c r="W396" s="8" t="s">
        <v>2515</v>
      </c>
      <c r="BA396" s="14" t="s">
        <v>2516</v>
      </c>
    </row>
    <row r="397" spans="2:53" x14ac:dyDescent="0.25">
      <c r="B397" s="22" t="s">
        <v>2518</v>
      </c>
      <c r="U397" s="6" t="s">
        <v>2350</v>
      </c>
      <c r="W397" s="8" t="s">
        <v>219</v>
      </c>
      <c r="BA397" s="14" t="s">
        <v>2519</v>
      </c>
    </row>
    <row r="398" spans="2:53" x14ac:dyDescent="0.25">
      <c r="B398" s="22" t="s">
        <v>2520</v>
      </c>
      <c r="D398" s="3">
        <v>805</v>
      </c>
      <c r="U398" s="6" t="s">
        <v>2457</v>
      </c>
      <c r="W398" s="8" t="s">
        <v>2521</v>
      </c>
      <c r="BA398" s="14" t="s">
        <v>2522</v>
      </c>
    </row>
    <row r="399" spans="2:53" x14ac:dyDescent="0.25">
      <c r="B399" s="22" t="s">
        <v>2524</v>
      </c>
      <c r="D399" s="3">
        <v>2928</v>
      </c>
      <c r="U399" s="6" t="s">
        <v>98</v>
      </c>
      <c r="W399" s="8" t="s">
        <v>2525</v>
      </c>
      <c r="BA399" s="14" t="s">
        <v>2526</v>
      </c>
    </row>
    <row r="400" spans="2:53" x14ac:dyDescent="0.25">
      <c r="B400" s="22" t="s">
        <v>2528</v>
      </c>
      <c r="D400" s="3">
        <v>469</v>
      </c>
      <c r="U400" s="6" t="s">
        <v>2457</v>
      </c>
      <c r="W400" s="8" t="s">
        <v>2529</v>
      </c>
      <c r="BA400" s="14" t="s">
        <v>2538</v>
      </c>
    </row>
    <row r="401" spans="2:80" x14ac:dyDescent="0.25">
      <c r="B401" s="22" t="s">
        <v>2535</v>
      </c>
      <c r="C401" t="s">
        <v>2536</v>
      </c>
      <c r="U401" s="6" t="s">
        <v>2489</v>
      </c>
      <c r="W401" s="8" t="s">
        <v>670</v>
      </c>
      <c r="BA401" s="14" t="s">
        <v>2537</v>
      </c>
    </row>
    <row r="402" spans="2:80" x14ac:dyDescent="0.25">
      <c r="B402" s="22" t="s">
        <v>2539</v>
      </c>
      <c r="U402" s="6" t="s">
        <v>2483</v>
      </c>
      <c r="W402" s="8" t="s">
        <v>2540</v>
      </c>
      <c r="BA402" s="14" t="s">
        <v>2541</v>
      </c>
    </row>
    <row r="403" spans="2:80" x14ac:dyDescent="0.25">
      <c r="B403" s="22" t="s">
        <v>2547</v>
      </c>
      <c r="U403" s="6" t="s">
        <v>2457</v>
      </c>
      <c r="W403" s="8" t="s">
        <v>2549</v>
      </c>
      <c r="BA403" s="14" t="s">
        <v>2548</v>
      </c>
    </row>
    <row r="404" spans="2:80" x14ac:dyDescent="0.25">
      <c r="B404" s="22" t="s">
        <v>2551</v>
      </c>
      <c r="U404" s="6" t="s">
        <v>99</v>
      </c>
      <c r="W404" s="8" t="s">
        <v>2552</v>
      </c>
      <c r="BA404" s="14" t="s">
        <v>2553</v>
      </c>
    </row>
    <row r="405" spans="2:80" x14ac:dyDescent="0.25">
      <c r="B405" s="22" t="s">
        <v>2555</v>
      </c>
      <c r="U405" s="6" t="s">
        <v>2419</v>
      </c>
      <c r="W405" s="8" t="s">
        <v>220</v>
      </c>
      <c r="BA405" s="14" t="s">
        <v>2554</v>
      </c>
    </row>
    <row r="406" spans="2:80" x14ac:dyDescent="0.25">
      <c r="B406" s="22" t="s">
        <v>2556</v>
      </c>
      <c r="U406" s="6" t="s">
        <v>99</v>
      </c>
      <c r="W406" s="8" t="s">
        <v>2557</v>
      </c>
      <c r="BA406" s="14" t="s">
        <v>2558</v>
      </c>
    </row>
    <row r="407" spans="2:80" x14ac:dyDescent="0.25">
      <c r="B407" s="22" t="s">
        <v>2563</v>
      </c>
      <c r="U407" s="6" t="s">
        <v>99</v>
      </c>
      <c r="W407" s="8" t="s">
        <v>2343</v>
      </c>
      <c r="BA407" s="14" t="s">
        <v>2564</v>
      </c>
    </row>
    <row r="408" spans="2:80" x14ac:dyDescent="0.25">
      <c r="B408" s="22" t="s">
        <v>2565</v>
      </c>
      <c r="U408" s="6" t="s">
        <v>98</v>
      </c>
      <c r="W408" s="8" t="s">
        <v>2566</v>
      </c>
      <c r="BA408" s="14" t="s">
        <v>2567</v>
      </c>
    </row>
    <row r="409" spans="2:80" x14ac:dyDescent="0.25">
      <c r="B409" s="22" t="s">
        <v>2571</v>
      </c>
      <c r="U409" s="6" t="s">
        <v>2457</v>
      </c>
      <c r="W409" s="8" t="s">
        <v>220</v>
      </c>
      <c r="BA409" s="14" t="s">
        <v>2572</v>
      </c>
    </row>
    <row r="410" spans="2:80" x14ac:dyDescent="0.25">
      <c r="B410" s="22" t="s">
        <v>2575</v>
      </c>
      <c r="C410" t="s">
        <v>2576</v>
      </c>
      <c r="U410" s="6" t="s">
        <v>99</v>
      </c>
      <c r="W410" s="8" t="s">
        <v>2343</v>
      </c>
      <c r="X410" t="s">
        <v>2849</v>
      </c>
      <c r="AA410" s="47">
        <v>0.3</v>
      </c>
      <c r="AD410" s="9"/>
      <c r="AZ410" s="36">
        <v>4.4999999999999998E-2</v>
      </c>
      <c r="BG410" s="14" t="s">
        <v>2663</v>
      </c>
      <c r="BH410" t="s">
        <v>2589</v>
      </c>
    </row>
    <row r="411" spans="2:80" x14ac:dyDescent="0.25">
      <c r="B411" s="22" t="s">
        <v>2578</v>
      </c>
      <c r="C411" t="s">
        <v>2579</v>
      </c>
      <c r="AH411" t="s">
        <v>2594</v>
      </c>
      <c r="BG411" s="14" t="s">
        <v>2665</v>
      </c>
      <c r="BH411" t="s">
        <v>2593</v>
      </c>
    </row>
    <row r="412" spans="2:80" x14ac:dyDescent="0.25">
      <c r="B412" s="22" t="s">
        <v>2580</v>
      </c>
      <c r="C412" t="s">
        <v>2581</v>
      </c>
      <c r="U412" s="6" t="s">
        <v>2597</v>
      </c>
      <c r="X412">
        <v>1992</v>
      </c>
      <c r="BH412" t="s">
        <v>2604</v>
      </c>
    </row>
    <row r="413" spans="2:80" x14ac:dyDescent="0.25">
      <c r="B413" s="22" t="s">
        <v>2595</v>
      </c>
      <c r="C413" t="s">
        <v>2596</v>
      </c>
      <c r="U413" s="6" t="s">
        <v>2597</v>
      </c>
      <c r="W413" s="8" t="s">
        <v>2343</v>
      </c>
      <c r="X413">
        <v>1969</v>
      </c>
      <c r="AH413" t="s">
        <v>2598</v>
      </c>
    </row>
    <row r="414" spans="2:80" x14ac:dyDescent="0.25">
      <c r="B414" s="22" t="s">
        <v>2617</v>
      </c>
      <c r="C414" t="s">
        <v>2618</v>
      </c>
      <c r="AG414" t="s">
        <v>2623</v>
      </c>
      <c r="AH414" t="s">
        <v>2619</v>
      </c>
      <c r="BY414" s="9">
        <v>0.45</v>
      </c>
      <c r="BZ414" s="9">
        <v>0.45</v>
      </c>
      <c r="CA414" s="9">
        <v>0.06</v>
      </c>
      <c r="CB414" s="14" t="s">
        <v>2624</v>
      </c>
    </row>
    <row r="415" spans="2:80" x14ac:dyDescent="0.25">
      <c r="B415" s="22" t="s">
        <v>2621</v>
      </c>
      <c r="C415" t="s">
        <v>2622</v>
      </c>
    </row>
    <row r="416" spans="2:80" x14ac:dyDescent="0.25">
      <c r="B416" s="22" t="s">
        <v>1796</v>
      </c>
      <c r="C416" t="s">
        <v>2627</v>
      </c>
    </row>
    <row r="417" spans="1:59" x14ac:dyDescent="0.25">
      <c r="B417" s="22" t="s">
        <v>2648</v>
      </c>
      <c r="C417" t="s">
        <v>2649</v>
      </c>
      <c r="U417" s="6" t="s">
        <v>2497</v>
      </c>
      <c r="X417">
        <v>1978</v>
      </c>
      <c r="BG417" s="36" t="s">
        <v>2650</v>
      </c>
    </row>
    <row r="418" spans="1:59" x14ac:dyDescent="0.25">
      <c r="B418" s="22" t="s">
        <v>2779</v>
      </c>
      <c r="C418" t="s">
        <v>2780</v>
      </c>
    </row>
    <row r="419" spans="1:59" x14ac:dyDescent="0.25">
      <c r="B419" s="22" t="s">
        <v>2784</v>
      </c>
      <c r="U419" s="6" t="s">
        <v>2785</v>
      </c>
    </row>
    <row r="420" spans="1:59" x14ac:dyDescent="0.25">
      <c r="B420" s="22" t="s">
        <v>2786</v>
      </c>
      <c r="BE420" s="9">
        <v>0.39</v>
      </c>
    </row>
    <row r="421" spans="1:59" x14ac:dyDescent="0.25">
      <c r="B421" s="22" t="s">
        <v>2787</v>
      </c>
    </row>
    <row r="422" spans="1:59" x14ac:dyDescent="0.25">
      <c r="B422" s="22" t="s">
        <v>2791</v>
      </c>
    </row>
    <row r="423" spans="1:59" x14ac:dyDescent="0.25">
      <c r="B423" s="22" t="s">
        <v>2792</v>
      </c>
    </row>
    <row r="424" spans="1:59" x14ac:dyDescent="0.25">
      <c r="B424" s="22" t="s">
        <v>2796</v>
      </c>
      <c r="C424" t="s">
        <v>2797</v>
      </c>
    </row>
    <row r="425" spans="1:59" x14ac:dyDescent="0.25">
      <c r="B425" s="22" t="s">
        <v>2817</v>
      </c>
      <c r="C425" t="s">
        <v>2818</v>
      </c>
      <c r="D425" s="3">
        <v>1000</v>
      </c>
    </row>
    <row r="426" spans="1:59" x14ac:dyDescent="0.25">
      <c r="A426">
        <f>+A169+1</f>
        <v>168</v>
      </c>
      <c r="B426" t="s">
        <v>1905</v>
      </c>
      <c r="C426" t="s">
        <v>1906</v>
      </c>
      <c r="D426" s="3">
        <v>4000</v>
      </c>
      <c r="W426" s="8" t="s">
        <v>670</v>
      </c>
      <c r="AN426" s="9">
        <v>1.52</v>
      </c>
      <c r="AO426" s="9">
        <v>0.55000000000000004</v>
      </c>
      <c r="BA426" t="s">
        <v>2386</v>
      </c>
    </row>
  </sheetData>
  <hyperlinks>
    <hyperlink ref="B12" r:id="rId1" xr:uid="{EA9BB267-171E-4503-B6C5-9D0A26F9C9F8}"/>
    <hyperlink ref="I12" r:id="rId2" display="https://www.sec.gov/Archives/edgar/data/1037389/000103738922000223/0001037389-22-000223-index.htm" xr:uid="{ACB55D16-5EF7-43D4-891E-0A278CB4178F}"/>
    <hyperlink ref="J12" r:id="rId3" display="https://www.sec.gov/Archives/edgar/data/1037389/000103738922000224/0001037389-22-000224-index.htm" xr:uid="{59CD62FC-83D0-43FD-AFD6-EDF93A95989A}"/>
    <hyperlink ref="K12" r:id="rId4" display="https://www.sec.gov/Archives/edgar/data/1037389/000103738922000225/0001037389-22-000225-index.htm" xr:uid="{556DAD46-422F-45B9-A570-0A744BA285B2}"/>
    <hyperlink ref="B4" r:id="rId5" xr:uid="{C4FEFBFE-C8A5-4E47-B3B5-43A7AE40C0CE}"/>
    <hyperlink ref="K4" r:id="rId6" display="https://www.sec.gov/Archives/edgar/data/1350694/000117266122002357/0001172661-22-002357-index.htm" xr:uid="{F52DFB33-5084-4F1B-8E6E-47B6235D2261}"/>
    <hyperlink ref="J4" r:id="rId7" display="https://www.sec.gov/Archives/edgar/data/1350694/000117266122001788/0001172661-22-001788-index.htm" xr:uid="{6A49C4BD-38EF-4284-A7DD-A26A61D4EA1A}"/>
    <hyperlink ref="I4" r:id="rId8" display="https://www.sec.gov/Archives/edgar/data/1350694/000117266122001289/0001172661-22-001289-index.htm" xr:uid="{C315A7DC-4BB8-423E-9C11-9D067DA85217}"/>
    <hyperlink ref="B14" r:id="rId9" xr:uid="{EAC0A0FC-6507-4B9C-A5AA-30198BA9205D}"/>
    <hyperlink ref="K14" r:id="rId10" display="https://www.sec.gov/Archives/edgar/data/1603466/000156761922020123/0001567619-22-020123-index.htm" xr:uid="{367C9FFD-EE9C-473B-B0AE-0887EC38F136}"/>
    <hyperlink ref="J14" r:id="rId11" display="https://www.sec.gov/Archives/edgar/data/1603466/000156761922016266/0001567619-22-016266-index.htm" xr:uid="{76112076-593E-4832-A82F-22453FCB45CD}"/>
    <hyperlink ref="I14" r:id="rId12" display="https://www.sec.gov/Archives/edgar/data/1603466/000156761922010947/0001567619-22-010947-index.htm" xr:uid="{C2556391-9E84-4306-8D7F-5F2DEE0ED530}"/>
    <hyperlink ref="K7" r:id="rId13" display="https://www.sec.gov/Archives/edgar/data/1423053/000095012322012276/0000950123-22-012276-index.htm" xr:uid="{39FD0F7D-DADE-407D-B2D0-B401BD9E6373}"/>
    <hyperlink ref="B7" r:id="rId14" xr:uid="{32FD866E-9C77-4971-9830-1CEB41212638}"/>
    <hyperlink ref="J7" r:id="rId15" display="https://www.sec.gov/Archives/edgar/data/1423053/000095012322009440/0000950123-22-009440-index.htm" xr:uid="{2D8D7F8B-5D5E-4860-8423-376929202316}"/>
    <hyperlink ref="I7" r:id="rId16" display="https://www.sec.gov/Archives/edgar/data/1423053/000095012322006403/0000950123-22-006403-index.htm" xr:uid="{F07F50AB-9241-4BCA-B389-6AAE463BEC60}"/>
    <hyperlink ref="B6" r:id="rId17" xr:uid="{5F3710A2-B047-4A9F-972C-27A6A15D230D}"/>
    <hyperlink ref="K6" r:id="rId18" display="https://www.sec.gov/Archives/edgar/data/1273087/000127308722000116/0001273087-22-000116-index.htm" xr:uid="{3BB490FF-7304-40F5-B796-5C53BB120C70}"/>
    <hyperlink ref="J6" r:id="rId19" display="https://www.sec.gov/Archives/edgar/data/1273087/000127308722000099/0001273087-22-000099-index.htm" xr:uid="{DD440053-27F0-4E2F-BF53-2CBF07013B94}"/>
    <hyperlink ref="I6" r:id="rId20" display="https://www.sec.gov/Archives/edgar/data/1273087/000127308722000070/0001273087-22-000070-index.htm" xr:uid="{C6E348DF-7E26-4EA5-BD9B-6BC16802E3AE}"/>
    <hyperlink ref="B22" r:id="rId21" xr:uid="{2AF557B7-F280-4AD5-919A-E7B6E05A794A}"/>
    <hyperlink ref="K22" r:id="rId22" display="https://www.sec.gov/Archives/edgar/data/1218710/000095012322012462/0000950123-22-012462-index.htm" xr:uid="{96D48D17-D545-4DC3-AE94-F0461E6C9B1C}"/>
    <hyperlink ref="B75" r:id="rId23" display="Och-Ziff" xr:uid="{508856E8-03F7-419A-8B01-3BF187BC71E0}"/>
    <hyperlink ref="K75" r:id="rId24" display="https://www.sec.gov/Archives/edgar/data/1054587/000095012322012327/0000950123-22-012327-index.htm" xr:uid="{F608A635-5184-4DEE-8F2D-2ACBAD2F5CD4}"/>
    <hyperlink ref="B37" r:id="rId25" xr:uid="{66D4608B-A6D7-418A-8388-7E1FBF305BE1}"/>
    <hyperlink ref="K37" r:id="rId26" display="https://www.sec.gov/Archives/edgar/data/1103804/000110380422000006/0001103804-22-000006-index.htm" xr:uid="{D0A1B2F0-25D5-499E-9B2D-9D789D8813C2}"/>
    <hyperlink ref="J37" r:id="rId27" display="https://www.sec.gov/Archives/edgar/data/1103804/000110380422000004/0001103804-22-000004-index.htm" xr:uid="{B34C0065-3749-409F-80F9-B99DD5A24C32}"/>
    <hyperlink ref="B39" r:id="rId28" xr:uid="{1E52BF0C-72D0-41A5-BE09-BB3A55BCD2F1}"/>
    <hyperlink ref="K39" r:id="rId29" display="https://www.sec.gov/edgar/browse/?CIK=1167483" xr:uid="{4EDF0FDB-9280-44D5-8704-AF81433C97E2}"/>
    <hyperlink ref="B38" r:id="rId30" xr:uid="{A02E10DF-475D-478A-8B5E-8F7D1A1ABD28}"/>
    <hyperlink ref="K38" r:id="rId31" display="https://www.sec.gov/Archives/edgar/data/1135730/000091957422006523/0000919574-22-006523-index.htm" xr:uid="{1ED343BB-50A1-407A-82B8-A90D870C430D}"/>
    <hyperlink ref="B43" r:id="rId32" xr:uid="{720247CE-D1BC-42AE-94E0-B6B5D2E25FBD}"/>
    <hyperlink ref="K43" r:id="rId33" display="https://www.sec.gov/Archives/edgar/data/1061165/000090266422004869/0000902664-22-004869-index.htm" xr:uid="{DC68DFAB-C6BA-4465-8767-433D8A9E46BF}"/>
    <hyperlink ref="B72" r:id="rId34" xr:uid="{963BA984-F42D-4353-9337-DFF49A956B89}"/>
    <hyperlink ref="K72" r:id="rId35" display="https://www.sec.gov/Archives/edgar/data/934639/000094787122001169/0000947871-22-001169-index.htm" xr:uid="{265165E6-B392-4436-A2B2-09315DA20D93}"/>
    <hyperlink ref="J72" r:id="rId36" display="https://www.sec.gov/Archives/edgar/data/934639/000094787122000896/0000947871-22-000896-index.htm" xr:uid="{162CA86C-8012-4F25-BAC3-47938851EEDA}"/>
    <hyperlink ref="B10" r:id="rId37" xr:uid="{8B12E547-810C-44D6-8E3B-5938CC54481E}"/>
    <hyperlink ref="K10" r:id="rId38" display="https://www.sec.gov/Archives/edgar/data/1478735/000091957422006648/0000919574-22-006648-index.htm" xr:uid="{FCAEF47B-B6A4-411C-BA41-7368B80D112C}"/>
    <hyperlink ref="B69" r:id="rId39" xr:uid="{325FD0A5-B199-4FBD-B3E9-54B63AB4885F}"/>
    <hyperlink ref="K69" r:id="rId40" display="https://www.sec.gov/Archives/edgar/data/1421097/000091957422006703/0000919574-22-006703-index.htm" xr:uid="{3058CEA3-FF25-4F78-9648-8BFB7D327351}"/>
    <hyperlink ref="B49" r:id="rId41" xr:uid="{2EF5ED89-B2CB-46ED-8A9F-DFADD3D9628C}"/>
    <hyperlink ref="K49" r:id="rId42" display="https://www.sec.gov/Archives/edgar/data/1263508/000110465922118527/0001104659-22-118527-index.htm" xr:uid="{2337DE61-D888-457B-B014-96A2B42AF57D}"/>
    <hyperlink ref="B79" r:id="rId43" xr:uid="{B6B2A5A3-6AED-4C29-B804-4C0E43A93695}"/>
    <hyperlink ref="K79" r:id="rId44" display="https://www.sec.gov/Archives/edgar/data/1224962/000101297522000502/0001012975-22-000502-index.htm" xr:uid="{9BA31348-D395-48AA-8E7B-99A357433FFF}"/>
    <hyperlink ref="B60" r:id="rId45" xr:uid="{2998E001-3A83-4857-B1DA-5642E83F2662}"/>
    <hyperlink ref="K60" r:id="rId46" display="https://www.sec.gov/Archives/edgar/data/1493215/000149315222032245/0001493152-22-032245-index.htm" xr:uid="{5479AC29-F188-4F2F-8B18-E98009817328}"/>
    <hyperlink ref="B53" r:id="rId47" xr:uid="{2433CCA6-D76A-4D6C-BA8C-E071F51C5FBC}"/>
    <hyperlink ref="K53" r:id="rId48" display="https://www.sec.gov/Archives/edgar/data/1601086/000131586322000788/0001315863-22-000788-index.htm" xr:uid="{6FD1223B-3BC6-460A-856D-449D11BA229F}"/>
    <hyperlink ref="B71" r:id="rId49" xr:uid="{47E85512-9C4B-4C85-890F-F392A3B5B19B}"/>
    <hyperlink ref="K71" r:id="rId50" display="https://www.sec.gov/Archives/edgar/data/1055951/000117266122002553/0001172661-22-002553-index.htm" xr:uid="{76ECED4E-5561-49E4-B352-C0A1791CBC9F}"/>
    <hyperlink ref="B45" r:id="rId51" xr:uid="{456AFC9C-67D1-4C5B-A738-F41E8BB0A3F8}"/>
    <hyperlink ref="K45" r:id="rId52" display="https://www.sec.gov/Archives/edgar/data/1336528/000117266122002568/0001172661-22-002568-index.htm" xr:uid="{AB660963-74B3-447E-B466-575FDB35D8E9}"/>
    <hyperlink ref="B110" r:id="rId53" display="Greenlight" xr:uid="{71F66E8E-9791-41B4-AC86-48058DF35E75}"/>
    <hyperlink ref="K110" r:id="rId54" display="https://www.sec.gov/Archives/edgar/data/1079114/000117266122002565/0001172661-22-002565-index.htm" xr:uid="{E94B7EED-875B-46A4-8E57-7D5B779E81EF}"/>
    <hyperlink ref="B57" r:id="rId55" xr:uid="{AD3731C3-BC02-4663-A447-A96646F1598D}"/>
    <hyperlink ref="K57" r:id="rId56" display="https://www.sec.gov/Archives/edgar/data/1040273/000108514622004128/0001085146-22-004128-index.htm" xr:uid="{6C662106-1AC1-415A-AAA8-790368F414D8}"/>
    <hyperlink ref="B46" r:id="rId57" xr:uid="{2A67F66A-4093-449D-9885-A26114FA4297}"/>
    <hyperlink ref="K46" r:id="rId58" display="https://www.sec.gov/Archives/edgar/data/1791786/000156761922020034/0001567619-22-020034-index.htm" xr:uid="{910BA151-C341-4BEF-ABD9-798924A9DA0F}"/>
    <hyperlink ref="B9" r:id="rId59" xr:uid="{476E3B0D-A1EF-4CEE-815F-E9608F709BE1}"/>
    <hyperlink ref="K9"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132" r:id="rId63" xr:uid="{16F94819-F95B-490D-84A3-010976C1D290}"/>
    <hyperlink ref="K132" r:id="rId64" display="https://www.sec.gov/Archives/edgar/data/1343781/000134378122000007/0001343781-22-000007-index.htm" xr:uid="{220E0C47-6F7C-4608-A00F-F7E03FD8EF04}"/>
    <hyperlink ref="B127" r:id="rId65" xr:uid="{0C9CCBF7-C4C5-4BA1-A48F-BBF28E20255A}"/>
    <hyperlink ref="K127" r:id="rId66" display="https://www.sec.gov/Archives/edgar/data/1279150/000121390022072102/0001213900-22-072102-index.htm" xr:uid="{3E480569-E528-4449-AA70-DC9876454290}"/>
    <hyperlink ref="B119" r:id="rId67" xr:uid="{FAC1DB71-DF8E-47D5-A2AE-69FCC44F0A6A}"/>
    <hyperlink ref="K119" r:id="rId68" display="https://www.sec.gov/Archives/edgar/data/1306923/000130692322000016/0001306923-22-000016-index.htm" xr:uid="{2F8D6909-71C2-4009-8DAA-3EE7C509F8D2}"/>
    <hyperlink ref="B121" r:id="rId69" xr:uid="{8C3FDA36-48A7-412B-9D12-4A5DF2BBFB0B}"/>
    <hyperlink ref="K121" r:id="rId70" display="https://www.sec.gov/Archives/edgar/data/1232621/000121465922013682/0001214659-22-013682-index.htm" xr:uid="{1269CAFA-37F5-45B0-A201-4882036446DA}"/>
    <hyperlink ref="B58" r:id="rId71" xr:uid="{2717DFCC-DE67-4786-86FE-0640B6C9833F}"/>
    <hyperlink ref="K58" r:id="rId72" display="https://www.sec.gov/Archives/edgar/data/1346824/000110465922118654/xslForm13F_X01/primary_doc.xml" xr:uid="{D6AC2921-0E6F-4591-809D-B87C8EFEF4A3}"/>
    <hyperlink ref="B92" r:id="rId73" xr:uid="{B09A4DEB-2524-4C20-AC09-D2E3A3FC4C1B}"/>
    <hyperlink ref="K92" r:id="rId74" display="https://www.sec.gov/edgar/browse/?CIK=1443689" xr:uid="{09CBA0FE-5D1C-458A-92B5-33620ED13533}"/>
    <hyperlink ref="B17" r:id="rId75" xr:uid="{F474C7AE-00F0-498A-B275-6401609757C7}"/>
    <hyperlink ref="K17" r:id="rId76" display="https://www.sec.gov/edgar/browse/?CIK=1595888" xr:uid="{D24115A5-46E1-4B4B-877F-89BAD5D49739}"/>
    <hyperlink ref="J43" r:id="rId77" display="https://www.sec.gov/Archives/edgar/data/1061165/000090266422003974/0000902664-22-003974-index.htm" xr:uid="{75CFDC66-8255-4C14-9AD0-D113538E8F52}"/>
    <hyperlink ref="I43" r:id="rId78" display="https://www.sec.gov/Archives/edgar/data/1061165/000156761922010934/0001567619-22-010934-index.htm" xr:uid="{9D726D4F-214C-4D8C-9ADD-11364552C519}"/>
    <hyperlink ref="D43" r:id="rId79" display="https://reports.adviserinfo.sec.gov/reports/ADV/156602/PDF/156602.pdf" xr:uid="{6716CB78-0025-44B4-AC95-309955A5A659}"/>
    <hyperlink ref="L7"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17" r:id="rId82" display="https://www.sec.gov/Archives/edgar/data/1595888/000159588823000029/0001595888-23-000029-index.htm" xr:uid="{D1450C5C-2F24-4EA0-9D95-F33CA6A54735}"/>
    <hyperlink ref="L6" r:id="rId83" display="https://www.sec.gov/Archives/edgar/data/1273087/000127308723000097/xslForm13F_X02/MLP_Filing_20221230_20230213.xml" xr:uid="{C45C1BE7-980E-4A59-80C9-77C7F3BCBD60}"/>
    <hyperlink ref="L9" r:id="rId84" display="https://www.sec.gov/Archives/edgar/data/1009207/000110465923021555/xslForm13F_X02/infotable.xml" xr:uid="{F27AAC51-D18A-4D34-A8EF-A9D539668354}"/>
    <hyperlink ref="L12" r:id="rId85" display="https://www.sec.gov/Archives/edgar/data/1037389/000103738923000119/xslForm13F_X02/renaissance13Fq42022_holding.xml" xr:uid="{369A4E35-1A5A-4A54-9674-4ED9EB746AFD}"/>
    <hyperlink ref="L10" r:id="rId86" display="https://www.sec.gov/Archives/edgar/data/1478735/000091957423001469/0000919574-23-001469-index.htm" xr:uid="{DA733F16-C0D3-4AF0-859C-7ABC3EC43525}"/>
    <hyperlink ref="L22" r:id="rId87" display="https://www.sec.gov/Archives/edgar/data/1218710/000095012323002431/0000950123-23-002431-index.htm" xr:uid="{B558CAB1-313D-4610-9653-5D59DD558638}"/>
    <hyperlink ref="L14" r:id="rId88" display="https://www.sec.gov/Archives/edgar/data/1603466/000089914023000429/0000899140-23-000429-index.htm" xr:uid="{27B64D6C-C487-48F9-AAA0-246BCDBCFDAD}"/>
    <hyperlink ref="L37" r:id="rId89" display="https://www.sec.gov/Archives/edgar/data/1103804/000110380423000002/0001103804-23-000002-index.htm" xr:uid="{32B3D3D6-14A5-40DB-B773-AF56F7DAA5EA}"/>
    <hyperlink ref="L4" r:id="rId90" display="https://www.sec.gov/Archives/edgar/data/1350694/000117266123000737/0001172661-23-000737-index.htm" xr:uid="{AA43C989-EE2F-4FFD-A7E6-0AFB140D955B}"/>
    <hyperlink ref="L49" r:id="rId91" display="https://www.sec.gov/Archives/edgar/data/1263508/000110465923021551/0001104659-23-021551-index.htm" xr:uid="{D5B80C9B-4FC1-4DF7-9B47-32C7D5834732}"/>
    <hyperlink ref="L39" r:id="rId92" display="https://www.sec.gov/Archives/edgar/data/1167483/000091957423001481/0000919574-23-001481-index.htm" xr:uid="{04072A8F-D5B9-463D-81DA-7CFAC33A8E1B}"/>
    <hyperlink ref="L43" r:id="rId93" display="https://www.sec.gov/Archives/edgar/data/1061165/000090266423001763/0000902664-23-001763-index.htm" xr:uid="{B48518A6-2D4C-46DE-B029-2B9CEB71105D}"/>
    <hyperlink ref="N7" r:id="rId94" display="https://www.sec.gov/Archives/edgar/data/1423053/000095012323005271/xslForm13F_X02/22950.xml" xr:uid="{CE7F7333-DE83-4738-B300-4059A32946D2}"/>
    <hyperlink ref="M7" r:id="rId95" display="https://www.sec.gov/Archives/edgar/data/1423053/000095012323002617/xslForm13F_X02/20792.xml" xr:uid="{A58332A7-223A-4B25-8867-74A094B6F685}"/>
    <hyperlink ref="B81" r:id="rId96" xr:uid="{31930E36-435E-BE4D-BEEE-A0AEF9C118DC}"/>
    <hyperlink ref="B18" r:id="rId97" xr:uid="{AB404BDB-A318-6D49-B45D-720414E210FE}"/>
    <hyperlink ref="P18" r:id="rId98" display="https://www.sec.gov/Archives/edgar/data/1061768/000156761924000192/xslForm13F_X02/primary_doc.xml" xr:uid="{B94E4385-8FA8-7646-8E61-B396BAF96F3E}"/>
    <hyperlink ref="B123" r:id="rId99" xr:uid="{40FEA578-F449-324C-8F20-45CB8AB6FCBC}"/>
    <hyperlink ref="P123" r:id="rId100" display="https://www.sec.gov/Archives/edgar/data/1534261/000091957424001474/xslForm13F_X02/primary_doc.xml" xr:uid="{6EB6BD3F-7A6E-844B-98BD-51EB6E58A1B7}"/>
    <hyperlink ref="P60" r:id="rId101" display="https://www.sec.gov/Archives/edgar/data/1493215/000149315224006286/xslForm13F_X02/primary_doc.xml" xr:uid="{F6580225-B4CA-A748-8BB2-A0E407BEA57F}"/>
    <hyperlink ref="P79" r:id="rId102" display="https://www.sec.gov/Archives/edgar/data/1224962/000101297524000093/xslForm13F_X02/primary_doc.xml" xr:uid="{8FE0CC6D-B3B1-B243-A602-E633F6C5E621}"/>
    <hyperlink ref="P7"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17" r:id="rId105" display="https://www.sec.gov/Archives/edgar/data/1595888/000159588824000037/xslForm13F_X02/primary_doc.xmlhttps://www.sec.gov/Archives/edgar/data/1595888/000159588824000037/xslForm13F_X02/primary_doc.xml" xr:uid="{204151C5-BC49-2C40-91E4-4F62A3688341}"/>
    <hyperlink ref="P6" r:id="rId106" display="https://www.sec.gov/Archives/edgar/data/1273087/000127308724000045/xslForm13F_X02/primary_doc.xml" xr:uid="{767E9D76-92FA-514A-AC95-0C5287DA4A45}"/>
    <hyperlink ref="P9" r:id="rId107" display="https://www.sec.gov/Archives/edgar/data/1009207/000110465924023658/xslForm13F_X02/primary_doc.xml" xr:uid="{1DE784AE-C1C8-3044-976C-9EF9654BBD5B}"/>
    <hyperlink ref="P12" r:id="rId108" display="https://www.sec.gov/Archives/edgar/data/1037389/000103738924000071/xslForm13F_X02/primary_doc.xml" xr:uid="{96B01047-E026-6D4A-AD9D-46AF21D9F6A9}"/>
    <hyperlink ref="P22" r:id="rId109" display="https://www.sec.gov/Archives/edgar/data/1218710/000095012324002330/xslForm13F_X02/primary_doc.xml" xr:uid="{037CD29A-000C-994A-AF30-1DB6CEF3F1C1}"/>
    <hyperlink ref="P10" r:id="rId110" display="https://www.sec.gov/Archives/edgar/data/1478735/000091957424001427/xslForm13F_X02/primary_doc.xml" xr:uid="{EBF159D4-5D74-BA46-9D0E-F01BF6B57197}"/>
    <hyperlink ref="P14" r:id="rId111" display="https://www.sec.gov/Archives/edgar/data/1603466/000090266424001726/xslForm13F_X02/primary_doc.xml" xr:uid="{B0CD8294-8BF5-9242-95F1-CBCA3600D41B}"/>
    <hyperlink ref="P37" r:id="rId112" display="https://www.sec.gov/Archives/edgar/data/1103804/000110380424000002/xslForm13F_X02/primary_doc.xml" xr:uid="{34CB1428-A352-4E49-B7DA-218F2A6B6A63}"/>
    <hyperlink ref="P4" r:id="rId113" display="https://www.sec.gov/Archives/edgar/data/1350694/000117266124001126/xslForm13F_X02/primary_doc.xml" xr:uid="{54416D0C-6F83-164D-A305-7D731F9C1040}"/>
    <hyperlink ref="P49" r:id="rId114" display="https://www.sec.gov/Archives/edgar/data/1263508/000110465924024053/xslForm13F_X02/primary_doc.xml" xr:uid="{FA121770-794B-7549-93D6-21E349B87316}"/>
    <hyperlink ref="P43" r:id="rId115" display="https://www.sec.gov/Archives/edgar/data/1061165/000090266424001732/xslForm13F_X02/primary_doc.xml" xr:uid="{B2B31518-1BE2-A145-AC92-DA3E2A8EBA0D}"/>
    <hyperlink ref="P39" r:id="rId116" display="https://www.sec.gov/Archives/edgar/data/1167483/000091957424001349/xslForm13F_X02/primary_doc.xml" xr:uid="{84B0DD05-4802-3F4B-98D1-228F52FFC174}"/>
    <hyperlink ref="P46" r:id="rId117" display="https://www.sec.gov/Archives/edgar/data/1791786/000101359424000185/xslForm13F_X02/primary_doc.xml" xr:uid="{10BCF264-7CDF-7941-A1C6-45F79F56A943}"/>
    <hyperlink ref="P38" r:id="rId118" display="https://www.sec.gov/Archives/edgar/data/1135730/000091957424001118/xslForm13F_X02/primary_doc.xml" xr:uid="{96859F10-C74E-2F47-923F-91BBE9E2B576}"/>
    <hyperlink ref="P75" r:id="rId119" display="https://www.sec.gov/Archives/edgar/data/1054587/000095012324002531/xslForm13F_X02/primary_doc.xml" xr:uid="{7D39E30F-3607-364C-8CC4-7AF53F8F0AA3}"/>
    <hyperlink ref="P45" r:id="rId120" display="https://www.sec.gov/Archives/edgar/data/1336528/000117266124001556/xslForm13F_X02/primary_doc.xml" xr:uid="{632606A6-A8B3-F848-A6F2-76932A731A75}"/>
    <hyperlink ref="P53" r:id="rId121" display="https://www.sec.gov/Archives/edgar/data/1601086/000131586324000239/xslForm13F_X02/primary_doc.xml" xr:uid="{E1D6D513-66F6-A94C-87B5-9FE4B1F1F062}"/>
    <hyperlink ref="P57" r:id="rId122" display="https://www.sec.gov/Archives/edgar/data/1040273/000108514624001503/xslForm13F_X02/primary_doc.xml" xr:uid="{0736B7F0-D80A-CC42-A44C-DD2B5A79FD18}"/>
    <hyperlink ref="P71" r:id="rId123" display="https://www.sec.gov/Archives/edgar/data/1055951/000117266124001461/xslForm13F_X02/primary_doc.xml" xr:uid="{0A82E668-62ED-AD49-BB9B-D5F14C0DD7D7}"/>
    <hyperlink ref="P69" r:id="rId124" display="https://www.sec.gov/Archives/edgar/data/1421097/000091957424001384/xslForm13F_X02/primary_doc.xml" xr:uid="{6EDB1E41-4367-EB41-BE3C-B79E2F2D9832}"/>
    <hyperlink ref="P58" r:id="rId125" display="https://www.sec.gov/Archives/edgar/data/1346824/000110465924023984/xslForm13F_X02/primary_doc.xml" xr:uid="{C26696FF-0248-C04E-BEC0-1578D46AF98E}"/>
    <hyperlink ref="P72" r:id="rId126" display="https://www.sec.gov/Archives/edgar/data/934639/000094787124000140/xslForm13F_X02/primary_doc.xml" xr:uid="{9AFCD2C4-5245-A64F-9457-96213DCF1797}"/>
    <hyperlink ref="P110" r:id="rId127" display="https://www.sec.gov/Archives/edgar/data/1079114/000117266124001512/xslForm13F_X02/primary_doc.xml" xr:uid="{B46332DB-93E6-3149-A4F1-B4EB136FFFD3}"/>
    <hyperlink ref="P119" r:id="rId128" display="https://www.sec.gov/Archives/edgar/data/1306923/000130692324000002/xslForm13F_X02/primary_doc.xml" xr:uid="{2437CF0F-9F88-B548-B9AA-5E5CD03D1FF3}"/>
    <hyperlink ref="P92" r:id="rId129" display="https://www.sec.gov/Archives/edgar/data/1443689/000144368924000003/xslForm13F_X02/primary_doc.xml" xr:uid="{233876C2-E934-B94C-A9BE-4574722731EB}"/>
    <hyperlink ref="P127" r:id="rId130" display="https://www.sec.gov/Archives/edgar/data/1279150/000199937124002312/xslForm13F_X02/primary_doc.xml" xr:uid="{54888D79-11E2-A14D-B41A-C9553C130600}"/>
    <hyperlink ref="P121" r:id="rId131" display="https://www.sec.gov/Archives/edgar/data/1232621/000121465924002878/xslForm13F_X02/primary_doc.xml" xr:uid="{420C55EB-D070-6348-8FF8-0C2D8C1302C9}"/>
    <hyperlink ref="P132" r:id="rId132" display="https://www.sec.gov/Archives/edgar/data/1343781/000134378123000001/xslForm13F_X02/primary_doc.xml" xr:uid="{E01B82C3-B0FD-A74F-A10C-2FBF5D0EDF90}"/>
    <hyperlink ref="B131" r:id="rId133" xr:uid="{6A463FEC-5974-4445-8540-FBD9874A6F2E}"/>
    <hyperlink ref="P131" r:id="rId134" display="https://www.sec.gov/Archives/edgar/data/1480532/000090514824000714/xslForm13F_X02/primary_doc.xml" xr:uid="{D0D1CB3C-F65B-644A-BEA3-E1CAADC451EE}"/>
    <hyperlink ref="P111" r:id="rId135" display="https://www.sec.gov/Archives/edgar/data/1290162/000095012324002421/xslForm13F_X02/primary_doc.xml" xr:uid="{EF5C6778-C73D-5641-A311-D195CCD00EC3}"/>
    <hyperlink ref="B111" r:id="rId136" xr:uid="{5B93D3F1-6081-5742-8962-76B6F05EE3A2}"/>
    <hyperlink ref="P16" r:id="rId137" display="https://www.sec.gov/Archives/edgar/data/1446194/000144619424000002/xslForm13F_X02/primary_doc.xml" xr:uid="{7C613B92-4B80-AA45-9039-AFF56C0ECC0C}"/>
    <hyperlink ref="B16" r:id="rId138" xr:uid="{EA70B08A-4781-4748-B4CC-EB1EE51971BE}"/>
    <hyperlink ref="B84" r:id="rId139" xr:uid="{66D7FFAA-AC47-984C-A825-565C92EC7291}"/>
    <hyperlink ref="P84" r:id="rId140" display="https://www.sec.gov/Archives/edgar/data/1666335/000166633524000002/xslForm13F_X02/primary_doc.xml" xr:uid="{366E98AE-8EE6-534B-8B29-14217BD40599}"/>
    <hyperlink ref="B120" r:id="rId141" xr:uid="{6889EF5A-BFE8-DB45-8C05-BEB672DBFFD2}"/>
    <hyperlink ref="P120" r:id="rId142" display="https://www.sec.gov/Archives/edgar/data/1817652/000181765224000002/xslForm13F_X02/primary_doc.xml" xr:uid="{0D004145-9903-9141-AFF5-43D48900DF6C}"/>
    <hyperlink ref="B15" r:id="rId143" xr:uid="{1679472C-51C1-4C43-AEEC-D7B9CA6AC4BC}"/>
    <hyperlink ref="P15" r:id="rId144" display="https://www.sec.gov/Archives/edgar/data/1318757/000131875724000002/xslForm13F_X02/primary_doc.xml" xr:uid="{A231EBF1-C5BA-8B4E-B62E-7CA9253421FA}"/>
    <hyperlink ref="O38" r:id="rId145" display="https://www.sec.gov/Archives/edgar/data/1135730/000091957423006173/xslForm13F_X02/primary_doc.xml" xr:uid="{B6E0E3A1-CB11-4BB9-B92E-B32EC5F72F78}"/>
    <hyperlink ref="N38" r:id="rId146" display="https://www.sec.gov/Archives/edgar/data/1135730/000091957423004562/xslForm13F_X02/primary_doc.xml" xr:uid="{343A18F5-95C6-4F70-AC26-7956ECA175F1}"/>
    <hyperlink ref="M38" r:id="rId147" display="https://www.sec.gov/Archives/edgar/data/1135730/000091957423003144/xslForm13F_X02/primary_doc.xml" xr:uid="{15169E46-4E8F-4816-857D-96440BA2DA45}"/>
    <hyperlink ref="L38" r:id="rId148" display="https://www.sec.gov/Archives/edgar/data/1135730/000091957423001190/xslForm13F_X02/primary_doc.xml" xr:uid="{7478983D-2AF9-43CB-8ECF-FF96E2A9C15A}"/>
    <hyperlink ref="J38" r:id="rId149" display="https://www.sec.gov/Archives/edgar/data/1135730/000091957422004966/xslForm13F_X02/primary_doc.xml" xr:uid="{75A4CA3E-1751-4252-AA9F-3BFA6C784ABE}"/>
    <hyperlink ref="I38" r:id="rId150" display="https://www.sec.gov/Archives/edgar/data/1135730/000091957422003335/xslForm13F_X02/primary_doc.xml" xr:uid="{A0907667-20E5-4D8F-93F8-6E3CEF90A927}"/>
    <hyperlink ref="H38" r:id="rId151" display="https://www.sec.gov/Archives/edgar/data/1135730/000091957422001079/xslForm13F_X02/primary_doc.xml" xr:uid="{15136E16-DBAF-47E8-8D15-1BA73953D042}"/>
    <hyperlink ref="G38" r:id="rId152" display="https://www.sec.gov/Archives/edgar/data/1135730/000091957421006831/xslForm13F_X02/primary_doc.xml" xr:uid="{77AC267C-F0F7-4844-8620-7FF97A146DC5}"/>
    <hyperlink ref="F38" r:id="rId153" display="https://www.sec.gov/Archives/edgar/data/1135730/000091957421005102/xslForm13F_X02/primary_doc.xml" xr:uid="{99317F27-648D-421A-815D-57C7CBE5EAD5}"/>
    <hyperlink ref="E38" r:id="rId154" display="https://www.sec.gov/Archives/edgar/data/1135730/000091957421003475/xslForm13F_X02/primary_doc.xml" xr:uid="{5466F902-FB38-44E8-A506-D414829A8A79}"/>
    <hyperlink ref="O37" r:id="rId155" display="https://www.sec.gov/Archives/edgar/data/1103804/000110380423000009/xslForm13F_X02/primary_doc.xml" xr:uid="{51B1D9F5-8FCA-4A98-BB10-2F5A3A204562}"/>
    <hyperlink ref="N37" r:id="rId156" display="https://www.sec.gov/Archives/edgar/data/1103804/000110380423000006/xslForm13F_X02/primary_doc.xml" xr:uid="{E680EAE2-D5E3-45B9-A0EF-E22663C0897E}"/>
    <hyperlink ref="M37" r:id="rId157" display="https://www.sec.gov/Archives/edgar/data/1103804/000110380423000004/xslForm13F_X02/primary_doc.xml" xr:uid="{A12AE9A1-9A57-403D-8BD4-BA95C9EE8DF1}"/>
    <hyperlink ref="I37" r:id="rId158" display="https://www.sec.gov/Archives/edgar/data/1103804/000110380422000003/xslForm13F_X01/primary_doc.xml" xr:uid="{11B250C2-D9BF-4CCC-A76F-60DD20062720}"/>
    <hyperlink ref="O16" r:id="rId159" display="https://www.sec.gov/Archives/edgar/data/1446194/000172819523000011/xslForm13F_X02/primary_doc.xml" xr:uid="{450B10B0-C151-4967-AEFA-2B9948F9DC94}"/>
    <hyperlink ref="N16" r:id="rId160" display="https://www.sec.gov/Archives/edgar/data/1446194/000144619423000017/xslForm13F_X02/primary_doc.xml" xr:uid="{8B3D1823-26C3-47E3-A301-1FDEE9F9ECC9}"/>
    <hyperlink ref="M16" r:id="rId161" display="https://www.sec.gov/Archives/edgar/data/1446194/000144619423000016/xslForm13F_X02/primary_doc.xml" xr:uid="{9CD45C96-04AF-4DC0-BFAE-6992321181A2}"/>
    <hyperlink ref="L16" r:id="rId162" display="https://www.sec.gov/Archives/edgar/data/1446194/000144619423000009/xslForm13F_X02/primary_doc.xml" xr:uid="{674708B7-FED2-48BA-BF79-373D5C2DEA68}"/>
    <hyperlink ref="K16" r:id="rId163" display="https://www.sec.gov/Archives/edgar/data/1446194/000144619422000006/xslForm13F_X01/primary_doc.xml" xr:uid="{C394B91D-B472-425D-A4C1-6F2C003153F9}"/>
    <hyperlink ref="I16" r:id="rId164" display="https://www.sec.gov/Archives/edgar/data/1446194/000144619422000004/xslForm13F_X01/primary_doc.xml" xr:uid="{00CA79D7-2B9A-418B-9949-FD9878934A89}"/>
    <hyperlink ref="J16" r:id="rId165" display="https://www.sec.gov/Archives/edgar/data/1446194/000144619422000005/xslForm13F_X01/primary_doc.xml" xr:uid="{B0E42758-23D7-485B-A41F-218E3033F78D}"/>
    <hyperlink ref="B13" r:id="rId166" xr:uid="{B304F7DB-DFAE-4F2C-93DC-A627910810EE}"/>
    <hyperlink ref="P13" r:id="rId167" display="https://www.sec.gov/Archives/edgar/data/1167557/000108514624001456/xslForm13F_X02/primary_doc.xml" xr:uid="{44DFDFD1-26FB-49F5-BCF9-5B8682308FE9}"/>
    <hyperlink ref="B66" r:id="rId168" xr:uid="{8CE4B88A-0C39-4579-B4F5-6FBF3CC1D963}"/>
    <hyperlink ref="P66" r:id="rId169" display="https://www.sec.gov/Archives/edgar/data/1387322/000138732224000002/xslForm13F_X02/primary_doc.xml" xr:uid="{4CC640F6-0DF4-42AE-B770-8F37D755B90F}"/>
    <hyperlink ref="B80" r:id="rId170" xr:uid="{1DA1FC49-E258-4701-9E34-019B2E17358F}"/>
    <hyperlink ref="P80" r:id="rId171" display="https://www.sec.gov/Archives/edgar/data/1352851/000110465924017420/xslForm13F_X02/primary_doc.xml" xr:uid="{6B9556A9-29F7-4E75-86C1-65B0E5139C5B}"/>
    <hyperlink ref="B48" r:id="rId172" xr:uid="{B89384A7-75A1-41DB-962F-C2A7A9462D04}"/>
    <hyperlink ref="P48" r:id="rId173" display="https://www.sec.gov/Archives/edgar/data/923093/000095012324002455/xslForm13F_X02/primary_doc.xml" xr:uid="{E3D1EE23-69D1-47FC-A3AB-2EC5865C3801}"/>
    <hyperlink ref="B61" r:id="rId174" xr:uid="{50E1290F-3BC3-4C30-89CE-B39C2D6D14B6}"/>
    <hyperlink ref="P61" r:id="rId175" display="https://www.sec.gov/Archives/edgar/data/1448574/000144857424000001/xslForm13F_X02/primary_doc.xml" xr:uid="{C8EB1DDE-5DFB-49E1-BADE-EE1DB50BFDFE}"/>
    <hyperlink ref="B101" r:id="rId176" xr:uid="{472BFD61-7C32-4EE6-9B39-4357850D25C6}"/>
    <hyperlink ref="P101" r:id="rId177" display="https://www.sec.gov/Archives/edgar/data/1218199/000095014224000421/xslForm13F_X02/primary_doc.xml" xr:uid="{5A7B0BAF-24E7-4CD6-925E-241A2F5CC100}"/>
    <hyperlink ref="B42" r:id="rId178" xr:uid="{9695A6DE-88CA-475B-8766-AAAC0C060A54}"/>
    <hyperlink ref="P42" r:id="rId179" display="https://www.sec.gov/Archives/edgar/data/1410830/000117266124000852/xslForm13F_X02/primary_doc.xml" xr:uid="{4CD33CD4-6BCF-459B-B22D-5D99014AE4F2}"/>
    <hyperlink ref="B47" r:id="rId180" xr:uid="{2DEB3C92-3122-4F61-AD1A-3AA49E2AFC7F}"/>
    <hyperlink ref="P47" r:id="rId181" display="https://www.sec.gov/Archives/edgar/data/1736225/000173622524000003/xslForm13F_X02/primary_doc.xml" xr:uid="{76B6C172-B2FF-4068-A2AA-4421B1ECC5B0}"/>
    <hyperlink ref="B54" r:id="rId182" xr:uid="{3B883934-0164-4E7C-9BA2-4E1E79ECB10D}"/>
    <hyperlink ref="P54" r:id="rId183" display="https://www.sec.gov/Archives/edgar/data/1633313/000110465924023272/xslForm13F_X02/primary_doc.xmlhttps:/www.sec.gov/Archives/edgar/data/1633313/000110465924023272/xslForm13F_X02/primary_doc.xml" xr:uid="{BA056B43-BD39-4C3D-AFB5-A9790C9753A1}"/>
    <hyperlink ref="B76" r:id="rId184" xr:uid="{A95D8659-3AAC-4BF9-BA55-CB45612B59C6}"/>
    <hyperlink ref="P76" r:id="rId185" display="https://www.sec.gov/Archives/edgar/data/1595082/000159508224000013/xslForm13F_X02/primary_doc.xml" xr:uid="{0500F989-CCC8-4CED-9BA5-F1ED3D86C922}"/>
    <hyperlink ref="B11" r:id="rId186" xr:uid="{EEF25FB9-290F-4C09-B338-B9E51FB69359}"/>
    <hyperlink ref="P11" r:id="rId187" display="https://www.sec.gov/Archives/edgar/data/909661/000090883424000070/xslForm13F_X02/primary_doc.xml" xr:uid="{82CC29D5-64C1-4EF8-85D5-CF77DA408C46}"/>
    <hyperlink ref="B64" r:id="rId188" xr:uid="{56DEF564-A004-40C1-BA0A-D8B6CD4BE1E3}"/>
    <hyperlink ref="P64" r:id="rId189" display="https://www.sec.gov/Archives/edgar/data/1656456/000165645624000001/xslForm13F_X02/primary_doc.xml" xr:uid="{391CBBE9-4862-434A-AC9A-B84D858141D6}"/>
    <hyperlink ref="B68" r:id="rId190" xr:uid="{77A4FC1B-9BD5-45DE-9F27-F026755CC65F}"/>
    <hyperlink ref="P68" r:id="rId191" display="https://www.sec.gov/Archives/edgar/data/1009258/000095015924000096/xslForm13F_X02/primary_doc.xml" xr:uid="{4C352723-7D5F-45DD-A8A8-74DC5757A3BF}"/>
    <hyperlink ref="B52" r:id="rId192" xr:uid="{079031EF-886C-4963-97A9-00245C3FC571}"/>
    <hyperlink ref="P52" r:id="rId193" display="https://www.sec.gov/Archives/edgar/data/1029160/000090266424001751/xslForm13F_X02/primary_doc.xml" xr:uid="{4F134D78-73D9-46E8-94B8-5A72BAF10562}"/>
    <hyperlink ref="B118" r:id="rId194" xr:uid="{94B36541-BE14-48E5-AA3B-6538F60B3D3E}"/>
    <hyperlink ref="P118" r:id="rId195" display="https://www.sec.gov/Archives/edgar/data/1998597/000090266424001588/xslForm13F_X02/primary_doc.xml" xr:uid="{044AAF4F-C172-4481-AE71-F0BE62419751}"/>
    <hyperlink ref="B65" r:id="rId196" xr:uid="{17F81053-FB1E-441E-999B-955EC668BF4C}"/>
    <hyperlink ref="P65" r:id="rId197" display="https://www.sec.gov/Archives/edgar/data/1747057/000117266124000870/xslForm13F_X02/primary_doc.xml" xr:uid="{2D83034F-EFC6-4482-9017-D1C0C61E67A5}"/>
    <hyperlink ref="B78" r:id="rId198" xr:uid="{156C49F5-13CC-45BF-BBA6-0EB42BBF191A}"/>
    <hyperlink ref="P78" r:id="rId199" display="https://www.sec.gov/Archives/edgar/data/1319998/000101297524000090/xslForm13F_X02/primary_doc.xml" xr:uid="{B7C97AD8-D74C-4569-A9C4-F89C750EB73D}"/>
    <hyperlink ref="B55" r:id="rId200" xr:uid="{DEC6A424-983C-43A2-91B8-2BAE0449565A}"/>
    <hyperlink ref="P55" r:id="rId201" display="https://www.sec.gov/Archives/edgar/data/1107310/000108514624001243/xslForm13F_X02/primary_doc.xml" xr:uid="{61BEEBAE-1B33-46ED-B851-88DC4B65DB0D}"/>
    <hyperlink ref="B44" r:id="rId202" xr:uid="{4110C0AA-9A9F-4DA2-BBCD-4EBDEE61A842}"/>
    <hyperlink ref="P44" r:id="rId203" display="https://www.sec.gov/Archives/edgar/data/1784547/000117266124001100/xslForm13F_X02/primary_doc.xml" xr:uid="{7B68F55D-84EA-498D-A153-7894888EA096}"/>
    <hyperlink ref="B100" r:id="rId204" xr:uid="{E7004015-E1E1-4319-A273-FC4BD66CC5B2}"/>
    <hyperlink ref="P100" r:id="rId205" display="https://www.sec.gov/Archives/edgar/data/1390113/000108514624001258/xslForm13F_X02/primary_doc.xml" xr:uid="{8F22AEF2-620D-4165-BE85-2009149A07A4}"/>
    <hyperlink ref="B99" r:id="rId206" xr:uid="{255B7A8A-E015-4C99-AC90-B3138B786D90}"/>
    <hyperlink ref="P99" r:id="rId207" display="https://www.sec.gov/Archives/edgar/data/1608485/000091957424001085/xslForm13F_X02/primary_doc.xml" xr:uid="{C1F7B284-A149-4D9A-9E7F-C78AD1418FA9}"/>
    <hyperlink ref="B56" r:id="rId208" xr:uid="{86A6B036-88EA-4716-8E85-F8D5C27399E5}"/>
    <hyperlink ref="P56" r:id="rId209" display="https://www.sec.gov/Archives/edgar/data/1512857/000090514824000687/xslForm13F_X02/primary_doc.xml" xr:uid="{B26D7B51-9986-40F5-8C9F-FEC68B715269}"/>
    <hyperlink ref="B20" r:id="rId210" xr:uid="{A9127897-D75F-4FCD-B4D5-A48BA18E3201}"/>
    <hyperlink ref="P20" r:id="rId211" display="https://www.sec.gov/Archives/edgar/data/1393825/000139382524000128/xslForm13F_X02/primary_doc.xml" xr:uid="{D075491E-CE55-491C-B39E-CEF876ABEC4F}"/>
    <hyperlink ref="N6" r:id="rId212" display="https://www.sec.gov/Archives/edgar/data/1273087/000127308723000126/xslForm13F_X02/primary_doc.xml" xr:uid="{F52BE0A1-2D74-4989-96E8-391158282AD4}"/>
    <hyperlink ref="O6" r:id="rId213" display="https://www.sec.gov/Archives/edgar/data/1273087/000127308723000146/xslForm13F_X02/primary_doc.xml" xr:uid="{86990A44-A1E9-4A2D-A85E-825968999B2C}"/>
    <hyperlink ref="M6"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6" r:id="rId220" display="https://www.sec.gov/Archives/edgar/data/1273087/000127308724000084/xslForm13F_X02/primary_doc.xml" xr:uid="{CA98FCC3-78A7-4B77-A44F-580D289AEA2D}"/>
    <hyperlink ref="Q6" r:id="rId221" display="https://www.sec.gov/Archives/edgar/data/1273087/000127308724000071/xslForm13F_X02/primary_doc.xml" xr:uid="{38C472B3-9ED7-4C4F-9077-B8F5DCA96ABA}"/>
    <hyperlink ref="R7" r:id="rId222" display="https://www.sec.gov/Archives/edgar/data/1423053/000095012324008735/xslForm13F_X02/primary_doc.xml" xr:uid="{6302A634-11CB-4C5F-86BA-08E116C83A9C}"/>
    <hyperlink ref="Q7" r:id="rId223" display="https://www.sec.gov/Archives/edgar/data/1423053/000095012324005615/xslForm13F_X02/primary_doc.xml" xr:uid="{B82706B2-7F25-49B2-B536-339CF3E7428C}"/>
    <hyperlink ref="R17" r:id="rId224" display="https://www.sec.gov/Archives/edgar/data/1595888/000159588824000051/0001595888-24-000051-index.htm" xr:uid="{628BF55E-720F-4C41-9BC3-F6D0CE539FA2}"/>
    <hyperlink ref="Q17" r:id="rId225" display="https://www.sec.gov/Archives/edgar/data/1595888/000159588824000039/xslForm13F_X02/primary_doc.xml" xr:uid="{11F1AA22-ECBC-4B61-B3E3-3E871EF2B55B}"/>
    <hyperlink ref="O17" r:id="rId226" display="https://www.sec.gov/Archives/edgar/data/1595888/000159588823000050/xslForm13F_X02/primary_doc.xml" xr:uid="{E276C1B9-F976-49AC-B7C3-6D66FBFC0570}"/>
    <hyperlink ref="N17" r:id="rId227" display="https://www.sec.gov/Archives/edgar/data/1595888/000159588823000043/xslForm13F_X02/primary_doc.xml" xr:uid="{7F87F54C-43EF-4001-8ADB-A7A45D8B3AE1}"/>
    <hyperlink ref="M17" r:id="rId228" display="https://www.sec.gov/Archives/edgar/data/1595888/000159588823000036/xslForm13F_X02/primary_doc.xml" xr:uid="{CD119B3B-9F55-4E9E-901D-F88CE14017DC}"/>
    <hyperlink ref="Q9" r:id="rId229" display="https://www.sec.gov/Archives/edgar/data/1009207/000110465924061895/0001104659-24-061895-index.htm" xr:uid="{E06CAAA3-E9A2-432B-B1E4-FE5AAB83774D}"/>
    <hyperlink ref="O9" r:id="rId230" display="https://www.sec.gov/Archives/edgar/data/1009207/000110465923118137/0001104659-23-118137-index.htm" xr:uid="{103F67FB-A7B1-4818-A73E-E7F03CA09898}"/>
    <hyperlink ref="N9" r:id="rId231" display="https://www.sec.gov/Archives/edgar/data/1009207/000110465923091306/0001104659-23-091306-index.htm" xr:uid="{B7D90627-797D-4CD7-9A5C-D270B46B8940}"/>
    <hyperlink ref="M9" r:id="rId232" display="https://www.sec.gov/Archives/edgar/data/1009207/000110465923060730/xslForm13F_X02/primary_doc.xml" xr:uid="{EA960F28-4CF7-4A79-9CD4-E5FA52F5F05E}"/>
    <hyperlink ref="R12" r:id="rId233" display="https://www.sec.gov/Archives/edgar/data/1037389/000103738924000073/xslForm13F_X02/primary_doc.xml" xr:uid="{FC405B4B-9329-41BA-B440-725D9C6EAC22}"/>
    <hyperlink ref="Q12" r:id="rId234" display="https://www.sec.gov/Archives/edgar/data/1037389/000103738924000072/xslForm13F_X02/primary_doc.xml" xr:uid="{82D0DA98-D235-4F6A-A106-D03733631332}"/>
    <hyperlink ref="O12" r:id="rId235" display="https://www.sec.gov/Archives/edgar/data/1037389/000103738923000124/xslForm13F_X02/primary_doc.xml" xr:uid="{AAEC8EF1-F28E-44C9-9916-728AA4DD97E7}"/>
    <hyperlink ref="N12" r:id="rId236" display="https://www.sec.gov/Archives/edgar/data/1037389/000103738923000122/xslForm13F_X02/primary_doc.xml" xr:uid="{2B7CE63E-9F89-4F95-A4FF-D5AD18881443}"/>
    <hyperlink ref="M12" r:id="rId237" display="https://www.sec.gov/Archives/edgar/data/1037389/000103738923000121/xslForm13F_X02/primary_doc.xml" xr:uid="{D3BDE9A5-19DB-492B-AB26-5A55A5E03A34}"/>
    <hyperlink ref="R16" r:id="rId238" display="https://www.sec.gov/Archives/edgar/data/1446194/000144619424000006/xslForm13F_X02/primary_doc.xml" xr:uid="{5B85397D-1139-4C32-A82E-BD6C03BF8ADA}"/>
    <hyperlink ref="Q16" r:id="rId239" display="https://www.sec.gov/Archives/edgar/data/1446194/000144619424000004/0001446194-24-000004-index.htm" xr:uid="{6F59A7A4-296F-4F8B-B11A-E745438369DE}"/>
    <hyperlink ref="R13" r:id="rId240" display="https://www.sec.gov/Archives/edgar/data/1167557/000108514624004009/0001085146-24-004009-index.htm" xr:uid="{B3E7AC28-4FB7-4BEA-A883-E0DBA4DF3889}"/>
    <hyperlink ref="Q13" r:id="rId241" display="https://www.sec.gov/Archives/edgar/data/1167557/000108514624002596/xslForm13F_X02/primary_doc.xml" xr:uid="{66AE6DC7-CBA2-444E-B331-E31614C90F8A}"/>
    <hyperlink ref="R15" r:id="rId242" display="https://www.sec.gov/Archives/edgar/data/1318757/000131875724000008/0001318757-24-000008-index.htm" xr:uid="{17818FC8-33AB-4D66-AF73-2ACE12193434}"/>
    <hyperlink ref="Q15" r:id="rId243" display="https://www.sec.gov/Archives/edgar/data/1318757/000131875724000006/xslForm13F_X02/primary_doc.xml" xr:uid="{874A202B-FFAA-482F-94C2-A8411478C872}"/>
    <hyperlink ref="R10" r:id="rId244" display="https://www.sec.gov/Archives/edgar/data/1478735/000091957424004661/0000919574-24-004661-index.htm" xr:uid="{6531BD96-0FC9-4BA5-83BF-36AB2EB422F9}"/>
    <hyperlink ref="Q10" r:id="rId245" display="https://www.sec.gov/Archives/edgar/data/1478735/000091957424003134/xslForm13F_X02/primary_doc.xml" xr:uid="{B656643D-768E-4C1F-BB26-EBE017F74E65}"/>
    <hyperlink ref="R22" r:id="rId246" display="https://www.sec.gov/Archives/edgar/data/1218710/000095012324008707/0000950123-24-008707-index.htm" xr:uid="{C107D746-6E65-48B5-9E1A-33EF48562DE2}"/>
    <hyperlink ref="Q22" r:id="rId247" display="https://www.sec.gov/Archives/edgar/data/1218710/000095012324004654/xslForm13F_X02/primary_doc.xml" xr:uid="{FC0ED3BB-6C36-49F9-9930-4AA3C33D2122}"/>
    <hyperlink ref="R14" r:id="rId248" display="https://www.sec.gov/Archives/edgar/data/1603466/000090266424005149/0000902664-24-005149-index.htm" xr:uid="{2EA3CCED-88BD-404B-890A-CC0E9F95B3AE}"/>
    <hyperlink ref="Q14" r:id="rId249" display="https://www.sec.gov/Archives/edgar/data/1603466/000090266424003628/xslForm13F_X02/primary_doc.xml" xr:uid="{8EE92FB3-9D0C-430C-B519-70BE23DC809C}"/>
    <hyperlink ref="R37" r:id="rId250" display="https://www.sec.gov/Archives/edgar/data/1103804/000090514824002226/xslForm13F_X02/primary_doc.xml" xr:uid="{AC70C327-6F57-4284-BB84-4B75118A04B3}"/>
    <hyperlink ref="Q37" r:id="rId251" display="https://www.sec.gov/Archives/edgar/data/1103804/000110380424000004/xslForm13F_X02/primary_doc.xml" xr:uid="{C6987E5B-A091-40EB-A4A5-A7C45BE3C169}"/>
    <hyperlink ref="R38" r:id="rId252" display="https://www.sec.gov/Archives/edgar/data/1135730/000091957424004594/xslForm13F_X02/primary_doc.xml" xr:uid="{7B4F4EE1-769D-4E96-9642-40F2A29F6C10}"/>
    <hyperlink ref="Q38" r:id="rId253" display="https://www.sec.gov/Archives/edgar/data/1135730/000091957424002996/xslForm13F_X02/primary_doc.xml" xr:uid="{6D7FEED6-0890-4D5F-AF7A-5E501FB19704}"/>
    <hyperlink ref="R4" r:id="rId254" display="https://www.sec.gov/Archives/edgar/data/1350694/000117266124003581/0001172661-24-003581-index.htm" xr:uid="{285A1A10-DAB2-45F9-A6EB-BB0522D8C3D4}"/>
    <hyperlink ref="Q4" r:id="rId255" display="https://www.sec.gov/Archives/edgar/data/1350694/000117266124002257/xslForm13F_X02/primary_doc.xml" xr:uid="{DCD04DDC-B280-4F41-A5A7-22A94ABF0B7B}"/>
    <hyperlink ref="R11" r:id="rId256" display="https://www.sec.gov/Archives/edgar/data/909661/000090883424000200/0000908834-24-000200-index.htm" xr:uid="{CF0E6745-7CC3-4565-9D55-0724E7A3E6D1}"/>
    <hyperlink ref="Q11" r:id="rId257" display="https://www.sec.gov/Archives/edgar/data/909661/000090883424000135/xslForm13F_X02/primary_doc.xml" xr:uid="{6A029652-87AA-488E-A1F4-EEBB9B788ECC}"/>
    <hyperlink ref="R39" r:id="rId258" display="https://www.sec.gov/Archives/edgar/data/1167483/000091957424004713/0000919574-24-004713-index.htm" xr:uid="{43FC9CBD-00B5-4A77-B6E3-CEB70818E639}"/>
    <hyperlink ref="Q39" r:id="rId259" display="https://www.sec.gov/Archives/edgar/data/1167483/000091957424003172/xslForm13F_X02/primary_doc.xml" xr:uid="{0B614794-4BBC-4B21-831E-5CFDDCE5A007}"/>
    <hyperlink ref="R43" r:id="rId260" display="https://www.sec.gov/Archives/edgar/data/1061165/000090266424005150/xslForm13F_X02/primary_doc.xml" xr:uid="{FA6B46D6-3466-409F-9793-CF604F25F82D}"/>
    <hyperlink ref="Q43" r:id="rId261" display="https://www.sec.gov/Archives/edgar/data/1061165/000090266424003638/xslForm13F_X02/primary_doc.xml" xr:uid="{C4A12EEB-9419-46A2-BD73-455CC78745B7}"/>
    <hyperlink ref="R20" r:id="rId262" display="https://www.sec.gov/Archives/edgar/data/1393825/000139382524000134/0001393825-24-000134-index.htm" xr:uid="{E3C4AD99-FC02-4222-917E-26979E9CC241}"/>
    <hyperlink ref="Q20" r:id="rId263" display="https://www.sec.gov/Archives/edgar/data/1393825/000139382524000131/xslForm13F_X02/primary_doc.xml" xr:uid="{B706619C-095B-4637-95E3-43780452B277}"/>
    <hyperlink ref="R45" r:id="rId264" display="https://www.sec.gov/Archives/edgar/data/1336528/000117266124003511/0001172661-24-003511-index.htm" xr:uid="{7714D8A7-BA55-4EA4-8CB9-A07E7D25A38C}"/>
    <hyperlink ref="Q45" r:id="rId265" display="https://www.sec.gov/Archives/edgar/data/1336528/000117266124002519/xslForm13F_X02/primary_doc.xml" xr:uid="{7036CDDB-0CB7-4501-AA39-5759EC954733}"/>
    <hyperlink ref="R42" r:id="rId266" display="https://www.sec.gov/Archives/edgar/data/1410830/000117266124003343/0001172661-24-003343-index.htm" xr:uid="{B22CED15-707F-410A-9C0D-EB394E2F5BC9}"/>
    <hyperlink ref="Q42" r:id="rId267" display="https://www.sec.gov/Archives/edgar/data/1410830/000117266124002306/xslForm13F_X02/primary_doc.xml" xr:uid="{1E847167-80DE-49A0-A0B3-CD162A04A723}"/>
    <hyperlink ref="R44" r:id="rId268" display="https://www.sec.gov/Archives/edgar/data/1784547/000117266124003482/0001172661-24-003482-index.htm" xr:uid="{A3E811D0-C8C2-49ED-B2E1-8D4A06825722}"/>
    <hyperlink ref="Q44" r:id="rId269" display="https://www.sec.gov/Archives/edgar/data/1784547/000117266124002444/xslForm13F_X02/primary_doc.xml" xr:uid="{1B24FDB4-EDE4-4384-8B5C-99F4E1599DB1}"/>
    <hyperlink ref="R46" r:id="rId270" display="https://www.sec.gov/Archives/edgar/data/1791786/000101359424000660/0001013594-24-000660-index.htm" xr:uid="{3302A731-B87A-4720-B822-4EB0B98E7EFE}"/>
    <hyperlink ref="Q46" r:id="rId271" display="https://www.sec.gov/Archives/edgar/data/1791786/000101359424000480/xslForm13F_X02/primary_doc.xml" xr:uid="{A09BF3D2-DF0C-41B6-9029-86162CB731EC}"/>
    <hyperlink ref="R49" r:id="rId272" display="https://www.sec.gov/Archives/edgar/data/1263508/000110465924089606/0001104659-24-089606-index.htm" xr:uid="{65CCE7F7-6D0F-4963-B701-ED71489901B0}"/>
    <hyperlink ref="Q49" r:id="rId273" display="https://www.sec.gov/Archives/edgar/data/1263508/000110465924061996/xslForm13F_X02/primary_doc.xml" xr:uid="{DB5C9258-ADA6-4C0E-A542-57401FD14127}"/>
    <hyperlink ref="R47" r:id="rId274" display="https://www.sec.gov/Archives/edgar/data/1736225/000173622524000008/0001736225-24-000008-index.htm" xr:uid="{1537C95F-AFEF-40AA-B35E-EE4A987DAD9A}"/>
    <hyperlink ref="Q47" r:id="rId275" display="https://www.sec.gov/Archives/edgar/data/1736225/000173622524000005/xslForm13F_X02/primary_doc.xml" xr:uid="{BD6DD070-47ED-42D2-B6E7-01AA003D7887}"/>
    <hyperlink ref="R52" r:id="rId276" display="https://www.sec.gov/Archives/edgar/data/1029160/000090266424005131/0000902664-24-005131-index.htm" xr:uid="{CF06DA8D-5FFB-4ECF-AD04-DD687B9AB349}"/>
    <hyperlink ref="Q52" r:id="rId277" display="https://www.sec.gov/Archives/edgar/data/1029160/000090266424003649/xslForm13F_X02/primary_doc.xml" xr:uid="{560046D0-C98A-47C6-A279-06CF3DC94149}"/>
    <hyperlink ref="R53" r:id="rId278" display="https://www.sec.gov/Archives/edgar/data/1601086/000131586324000614/xslForm13F_X02/primary_doc.xml" xr:uid="{2D143E6D-EBD9-43F7-AD23-44B729FCA2F8}"/>
    <hyperlink ref="Q53" r:id="rId279" display="https://www.sec.gov/Archives/edgar/data/1601086/000131586324000465/xslForm13F_X02/primary_doc.xml" xr:uid="{BA529B54-2E69-4194-A519-FB0B9956FC50}"/>
    <hyperlink ref="R54" r:id="rId280" display="https://www.sec.gov/Archives/edgar/data/1633313/000110465924089335/xslForm13F_X02/primary_doc.xml" xr:uid="{F8B88F35-3F7E-4238-A894-AA1060692AA8}"/>
    <hyperlink ref="Q54" r:id="rId281" display="https://www.sec.gov/Archives/edgar/data/1633313/000110465924061613/xslForm13F_X02/primary_doc.xml" xr:uid="{0C32127E-5F02-436B-8218-5F16A04DFE78}"/>
    <hyperlink ref="R48" r:id="rId282" display="https://www.sec.gov/Archives/edgar/data/923093/000095012324008354/0000950123-24-008354-index.htm" xr:uid="{F4A47018-07EB-4AB6-B33D-71EEAE97337A}"/>
    <hyperlink ref="Q48" r:id="rId283" display="https://www.sec.gov/Archives/edgar/data/923093/000095012324005524/xslForm13F_X02/primary_doc.xml" xr:uid="{3DA4B847-053A-4E3B-AE9C-34B546791C2F}"/>
    <hyperlink ref="R55" r:id="rId284" display="https://www.sec.gov/Archives/edgar/data/1107310/000108514624003939/xslForm13F_X02/primary_doc.xml" xr:uid="{17DB314A-54B3-4F81-A9CC-64F3175F4174}"/>
    <hyperlink ref="Q55" r:id="rId285" display="https://www.sec.gov/Archives/edgar/data/1107310/000108514624002579/xslForm13F_X02/primary_doc.xml" xr:uid="{E1ECB602-70E7-4D84-A844-7E6A1C6CE579}"/>
    <hyperlink ref="R57" r:id="rId286" display="https://www.sec.gov/Archives/edgar/data/1040273/000108514624004004/xslForm13F_X02/primary_doc.xml" xr:uid="{5FDDC4EC-6AD8-48B4-9F6F-2B4C701E19DB}"/>
    <hyperlink ref="Q57" r:id="rId287" display="https://www.sec.gov/Archives/edgar/data/1040273/000108514624002645/xslForm13F_X02/primary_doc.xml" xr:uid="{57A99376-2C12-439D-AE3F-950546DBB514}"/>
    <hyperlink ref="R58" r:id="rId288" display="https://www.sec.gov/Archives/edgar/data/1346824/000110465924089629/xslForm13F_X02/primary_doc.xml" xr:uid="{4C1DEA38-2C32-4B8A-BC81-632A84CE477B}"/>
    <hyperlink ref="Q58" r:id="rId289" display="https://www.sec.gov/Archives/edgar/data/1346824/000110465924062062/xslForm13F_X02/primary_doc.xml" xr:uid="{01157EED-4263-42FB-B949-45F15DAB6D60}"/>
    <hyperlink ref="R60" r:id="rId290" display="https://www.sec.gov/Archives/edgar/data/1493215/000149315224031911/xslForm13F_X02/primary_doc.xml" xr:uid="{9CCDF703-A734-49E7-99FD-37251433C376}"/>
    <hyperlink ref="Q60" r:id="rId291" display="https://www.sec.gov/Archives/edgar/data/1493215/000149315224019465/xslForm13F_X02/primary_doc.xml" xr:uid="{974427BD-95EA-4F92-BD03-B72187EBAA82}"/>
    <hyperlink ref="R61" r:id="rId292" display="https://www.sec.gov/Archives/edgar/data/1448574/000144857424000003/xslForm13F_X02/primary_doc.xml" xr:uid="{C6B323F6-7D2E-4A74-95EC-BB8548545E53}"/>
    <hyperlink ref="Q61" r:id="rId293" display="https://www.sec.gov/Archives/edgar/data/1448574/000144857424000002/xslForm13F_X02/primary_doc.xml" xr:uid="{F0B903BE-9E50-4D93-8013-A850C87358D4}"/>
    <hyperlink ref="R64" r:id="rId294" display="https://www.sec.gov/Archives/edgar/data/1656456/000165645624000003/xslForm13F_X02/primary_doc.xml" xr:uid="{8D53AE65-09E4-4AB7-AAA9-8E13DAB46194}"/>
    <hyperlink ref="Q64" r:id="rId295" display="https://www.sec.gov/Archives/edgar/data/1656456/000165645624000002/xslForm13F_X02/primary_doc.xml" xr:uid="{BAD6536B-E5F9-45A8-87C5-098DE6263CF0}"/>
    <hyperlink ref="R65" r:id="rId296" display="https://www.sec.gov/Archives/edgar/data/1747057/000117266124003352/xslForm13F_X02/primary_doc.xml" xr:uid="{FF4D0DE9-92F3-40E1-A532-85C4329F7B75}"/>
    <hyperlink ref="Q65" r:id="rId297" display="https://www.sec.gov/Archives/edgar/data/1747057/000117266124002322/xslForm13F_X02/primary_doc.xml" xr:uid="{7C6C125C-7391-415E-844A-B89AA453913D}"/>
    <hyperlink ref="R66" r:id="rId298" display="https://www.sec.gov/Archives/edgar/data/1387322/000117266124003527/xslForm13F_X02/primary_doc.xml" xr:uid="{4E0C2AA7-76C3-408C-9E0B-69FF44664D57}"/>
    <hyperlink ref="Q66" r:id="rId299" display="https://www.sec.gov/Archives/edgar/data/1387322/000138732224000004/xslForm13F_X02/primary_doc.xml" xr:uid="{011B6B5F-5865-4BBA-8289-2372CC51220A}"/>
    <hyperlink ref="R68" r:id="rId300" display="https://www.sec.gov/Archives/edgar/data/1009258/000095015924000249/xslForm13F_X02/primary_doc.xml" xr:uid="{207F6644-0D54-407E-9FCD-AA941152BCD8}"/>
    <hyperlink ref="Q68" r:id="rId301" display="https://www.sec.gov/Archives/edgar/data/1009258/000095015924000176/xslForm13F_X02/primary_doc.xml" xr:uid="{1E2EAF7D-A930-4B3B-B8BC-65859FC51D36}"/>
    <hyperlink ref="R69" r:id="rId302" display="https://www.sec.gov/Archives/edgar/data/1421097/000091957424004698/xslForm13F_X02/primary_doc.xml" xr:uid="{14EBE368-448D-4F18-A175-8DC22C34E9E7}"/>
    <hyperlink ref="Q69" r:id="rId303" display="https://www.sec.gov/Archives/edgar/data/1421097/000091957424003156/xslForm13F_X02/primary_doc.xml" xr:uid="{447D5F8B-79C4-48B3-8F21-FFA064B0A17D}"/>
    <hyperlink ref="R71" r:id="rId304" display="https://www.sec.gov/Archives/edgar/data/1055951/000117266124003539/xslForm13F_X02/primary_doc.xml" xr:uid="{FA4B05DB-81AA-4E19-9BDE-5D7AE878507B}"/>
    <hyperlink ref="Q71" r:id="rId305" display="https://www.sec.gov/Archives/edgar/data/1055951/000117266124002506/xslForm13F_X02/primary_doc.xml" xr:uid="{827EA756-C0E5-49D7-A4F6-E8EF5FBE9202}"/>
    <hyperlink ref="R72" r:id="rId306" display="https://www.sec.gov/Archives/edgar/data/934639/000094787124000690/xslForm13F_X02/primary_doc.xml" xr:uid="{5CF815A6-5559-4EDA-833E-90A5B42447B6}"/>
    <hyperlink ref="Q72" r:id="rId307" display="https://www.sec.gov/Archives/edgar/data/934639/000094787124000481/xslForm13F_X02/primary_doc.xml" xr:uid="{1144DA80-A012-449C-941A-2EB6B1DF61BE}"/>
    <hyperlink ref="R75" r:id="rId308" display="https://www.sec.gov/Archives/edgar/data/1054587/000095012324008753/xslForm13F_X02/primary_doc.xml" xr:uid="{43C49EA2-F799-4EFF-9529-72005064B49E}"/>
    <hyperlink ref="Q75" r:id="rId309" display="https://www.sec.gov/Archives/edgar/data/1054587/000095012324005626/xslForm13F_X02/primary_doc.xml" xr:uid="{D018B3CE-CC13-4D7A-A3C8-74344E1EEBE0}"/>
    <hyperlink ref="R78" r:id="rId310" display="https://www.sec.gov/Archives/edgar/data/1319998/000101297524000330/xslForm13F_X02/primary_doc.xml" xr:uid="{B0766213-A499-42DC-A923-1E2DD4963AF8}"/>
    <hyperlink ref="Q78" r:id="rId311" display="https://www.sec.gov/Archives/edgar/data/1319998/000101297524000225/xslForm13F_X02/primary_doc.xml" xr:uid="{E94966F1-019E-4238-A2AC-42FC2A503F52}"/>
    <hyperlink ref="R18" r:id="rId312" display="https://www.sec.gov/Archives/edgar/data/1061768/000156761924000363/xslForm13F_X02/primary_doc.xml" xr:uid="{6C8238DE-28EC-4F2E-AB94-32FB0A061FB0}"/>
    <hyperlink ref="Q18" r:id="rId313" display="https://www.sec.gov/Archives/edgar/data/1061768/000156761924000317/xslForm13F_X02/primary_doc.xml" xr:uid="{6542D9C5-7F31-4A28-A03D-C7AE47BCDFE4}"/>
    <hyperlink ref="R76" r:id="rId314" display="https://www.sec.gov/Archives/edgar/data/1595082/000159508224000047/xslForm13F_X02/primary_doc.xml" xr:uid="{B06ACE8E-9710-4E91-88A6-6C67D9FFE886}"/>
    <hyperlink ref="Q76" r:id="rId315" display="https://www.sec.gov/Archives/edgar/data/1595082/000159508224000032/xslForm13F_X02/primary_doc.xml" xr:uid="{6DE85CA7-94ED-4BCF-AAEE-BE441A132FD7}"/>
    <hyperlink ref="R79" r:id="rId316" display="https://www.sec.gov/Archives/edgar/data/1224962/000101297524000329/xslForm13F_X02/primary_doc.xml" xr:uid="{9F308DA5-20BD-4ACB-B608-BBBCD8F307B2}"/>
    <hyperlink ref="Q79" r:id="rId317" display="https://www.sec.gov/Archives/edgar/data/1224962/000101297524000218/xslForm13F_X02/primary_doc.xml" xr:uid="{9C8A5BA5-0403-4FEE-8AF0-222486610EC0}"/>
    <hyperlink ref="R80" r:id="rId318" display="https://www.sec.gov/Archives/edgar/data/1352851/000110465924089338/xslForm13F_X02/primary_doc.xml" xr:uid="{859EE926-5F7E-4355-ACB5-3DEF3B9E6B77}"/>
    <hyperlink ref="Q80" r:id="rId319" display="https://www.sec.gov/Archives/edgar/data/1352851/000110465924061615/xslForm13F_X02/primary_doc.xml" xr:uid="{BFA97946-69CB-4642-8D20-290708EDD539}"/>
    <hyperlink ref="R81" r:id="rId320" display="https://www.sec.gov/Archives/edgar/data/1856083/000185608324000003/xslForm13F_X02/primary_doc.xml" xr:uid="{4F6D29E3-77B5-414C-A3AE-9090CAA7615F}"/>
    <hyperlink ref="Q81" r:id="rId321" display="https://www.sec.gov/Archives/edgar/data/1856083/000185608324000002/xslForm13F_X02/primary_doc.xml" xr:uid="{191D46AC-51C6-4FCD-927E-84403C716A36}"/>
    <hyperlink ref="P81" r:id="rId322" display="https://www.sec.gov/Archives/edgar/data/1856083/000185608324000001/xslForm13F_X02/primary_doc.xml" xr:uid="{9D0516F2-1F7E-4ACF-9DAE-A8696C12B258}"/>
    <hyperlink ref="R84" r:id="rId323" display="https://www.sec.gov/Archives/edgar/data/1666335/000166633524000011/xslForm13F_X02/primary_doc.xml" xr:uid="{A8BC07D5-7D3F-4231-96DA-830ED3DCA3E2}"/>
    <hyperlink ref="Q84" r:id="rId324" display="https://www.sec.gov/Archives/edgar/data/1666335/000166633524000008/xslForm13F_X02/primary_doc.xml" xr:uid="{DFB8487F-810A-48A1-9AC3-097192BEE32D}"/>
    <hyperlink ref="R92" r:id="rId325" display="https://www.sec.gov/Archives/edgar/data/1443689/000144368924000012/xslForm13F_X02/primary_doc.xml" xr:uid="{66B4FDD9-F647-49D3-BD5B-AD6D1285B664}"/>
    <hyperlink ref="Q92" r:id="rId326" display="https://www.sec.gov/Archives/edgar/data/1443689/000144368924000005/xslForm13F_X02/primary_doc.xml" xr:uid="{A8F2A4B5-023B-443A-A358-9AB6D0945F26}"/>
    <hyperlink ref="R111" r:id="rId327" display="https://www.sec.gov/Archives/edgar/data/1290162/000095012324008706/xslForm13F_X02/primary_doc.xml" xr:uid="{5AEBD1D5-C337-449D-955C-234BC4DF2557}"/>
    <hyperlink ref="Q111" r:id="rId328" display="https://www.sec.gov/Archives/edgar/data/1290162/000095012324005532/xslForm13F_X02/primary_doc.xml" xr:uid="{48B439C5-0B05-4A8E-9B2A-3ED8A281371F}"/>
    <hyperlink ref="R118" r:id="rId329" display="https://www.sec.gov/Archives/edgar/data/1998597/000090266424005100/xslForm13F_X02/primary_doc.xml" xr:uid="{82A76293-0486-495C-9EBC-A6460D7D3F10}"/>
    <hyperlink ref="Q118" r:id="rId330" display="https://www.sec.gov/Archives/edgar/data/1998597/000090266424003586/xslForm13F_X02/primary_doc.xml" xr:uid="{82316700-CD88-42C9-BBDE-F85D8E48F304}"/>
    <hyperlink ref="R99" r:id="rId331" display="https://www.sec.gov/Archives/edgar/data/1608485/000091957424004539/xslForm13F_X02/primary_doc.xml" xr:uid="{C85C7BB6-8807-4FA6-8606-4BCE6B10A6FD}"/>
    <hyperlink ref="Q99" r:id="rId332" display="https://www.sec.gov/Archives/edgar/data/1608485/000091957424002890/xslForm13F_X02/primary_doc.xml" xr:uid="{57E48549-351D-4871-B294-B51EAD7384A4}"/>
    <hyperlink ref="R119" r:id="rId333" display="https://www.sec.gov/Archives/edgar/data/1306923/000130692324000010/xslForm13F_X02/primary_doc.xml" xr:uid="{381F1CC8-2DA0-4500-843D-CBF79864963A}"/>
    <hyperlink ref="Q119" r:id="rId334" display="https://www.sec.gov/Archives/edgar/data/1306923/000130692324000008/xslForm13F_X02/primary_doc.xml" xr:uid="{9EAFEAFD-FBBF-48F8-8012-4BD5D5FD3E1C}"/>
    <hyperlink ref="R120" r:id="rId335" display="https://www.sec.gov/Archives/edgar/data/1817652/000181765224000004/xslForm13F_X02/primary_doc.xml" xr:uid="{517C6364-CBED-4DDA-B6AC-E0113B993E4E}"/>
    <hyperlink ref="Q120" r:id="rId336" display="https://www.sec.gov/Archives/edgar/data/1817652/000181765224000003/xslForm13F_X02/primary_doc.xml" xr:uid="{4CDEDDDE-7F92-4063-8C44-F119BE025583}"/>
    <hyperlink ref="R121" r:id="rId337" display="https://www.sec.gov/Archives/edgar/data/1232621/000121465924014706/xslForm13F_X02/primary_doc.xml" xr:uid="{1385A9AA-11EA-4110-AD65-AB8E85F329DD}"/>
    <hyperlink ref="Q121" r:id="rId338" display="https://www.sec.gov/Archives/edgar/data/1232621/000121465924009328/xslForm13F_X02/primary_doc.xml" xr:uid="{5A40FAC4-E535-4316-8A88-48554530AABD}"/>
    <hyperlink ref="R123" r:id="rId339" display="https://www.sec.gov/Archives/edgar/data/1534261/000091957424004750/xslForm13F_X02/primary_doc.xml" xr:uid="{B29A2B30-D612-4093-972F-52310C3A5E79}"/>
    <hyperlink ref="Q123" r:id="rId340" display="https://www.sec.gov/Archives/edgar/data/1534261/000091957424003198/xslForm13F_X02/primary_doc.xml" xr:uid="{E0C8D444-ABA5-492E-A820-817E70BE1B66}"/>
    <hyperlink ref="R56" r:id="rId341" display="https://www.sec.gov/Archives/edgar/data/1512857/000090514824002211/xslForm13F_X02/primary_doc.xml" xr:uid="{1761334C-56A2-4846-8F57-4A9DD09F5ECB}"/>
    <hyperlink ref="Q56" r:id="rId342" display="https://www.sec.gov/Archives/edgar/data/1512857/000090514824001428/xslForm13F_X02/primary_doc.xml" xr:uid="{7E1A6809-D273-45E4-983B-D2CB04D5C260}"/>
    <hyperlink ref="R127" r:id="rId343" display="https://www.sec.gov/Archives/edgar/data/1279150/000199937124010097/xslForm13F_X02/primary_doc.xml" xr:uid="{ADFD8AB4-808C-468F-85A1-2E21CDB320FE}"/>
    <hyperlink ref="Q127" r:id="rId344" display="https://www.sec.gov/Archives/edgar/data/1279150/000199937124006136/xslForm13F_X02/primary_doc.xml" xr:uid="{88E53C5B-5DD6-4C5E-9460-AA69DA132B22}"/>
    <hyperlink ref="B50" r:id="rId345" xr:uid="{1E6E3C8D-5839-4837-95D4-93A295AE3A18}"/>
    <hyperlink ref="R50" r:id="rId346" display="https://www.sec.gov/Archives/edgar/data/1541617/000154161724000007/xslForm13F_X02/primary_doc.xml" xr:uid="{481D1746-D6ED-474F-8BE4-34D4D4759CFF}"/>
    <hyperlink ref="Q50" r:id="rId347" display="https://www.sec.gov/Archives/edgar/data/1541617/000154161724000006/xslForm13F_X02/primary_doc.xml" xr:uid="{D3FFF611-340F-47FC-9BA1-F8B336CFBF18}"/>
    <hyperlink ref="P50" r:id="rId348" display="https://www.sec.gov/Archives/edgar/data/1541617/000154161724000004/xslForm13F_X02/primary_doc.xml" xr:uid="{06EDB189-B640-4942-917A-7DB590381FB8}"/>
    <hyperlink ref="B122" r:id="rId349" xr:uid="{83904953-99D5-46A7-AB9A-51816F9E05BD}"/>
    <hyperlink ref="R122" r:id="rId350" display="https://www.sec.gov/Archives/edgar/data/1583977/000158397724000003/xslForm13F_X02/primary_doc.xml" xr:uid="{59C53B2D-3983-4FAF-B152-B54147E1CDCD}"/>
    <hyperlink ref="Q122" r:id="rId351" display="https://www.sec.gov/Archives/edgar/data/1583977/000158397724000002/xslForm13F_X02/primary_doc.xml" xr:uid="{CD57EC89-86CA-48E0-96C9-3C439F58F2B5}"/>
    <hyperlink ref="P122" r:id="rId352" display="https://www.sec.gov/Archives/edgar/data/1583977/000158397724000001/xslForm13F_X02/primary_doc.xml" xr:uid="{B9C7A2BA-FBD9-4FAF-A09E-1C8DE7F140AB}"/>
    <hyperlink ref="O13" r:id="rId353" display="https://www.sec.gov/Archives/edgar/data/1167557/000108514622004118/xslForm13F_X01/primary_doc.xml" xr:uid="{38CC0D06-6D9F-4333-9097-760F1202AD4E}"/>
    <hyperlink ref="N13" r:id="rId354" display="https://www.sec.gov/Archives/edgar/data/1167557/000108514623003416/xslForm13F_X02/primary_doc.xml" xr:uid="{4FE4B2E7-AFA1-421D-AA3D-32F9082ED7E7}"/>
    <hyperlink ref="M13" r:id="rId355" display="https://www.sec.gov/Archives/edgar/data/1167557/000108514624002596/xslForm13F_X02/primary_doc.xml" xr:uid="{15E646F2-7AF3-41C2-97AE-1C1B68785302}"/>
    <hyperlink ref="B51" r:id="rId356" xr:uid="{E2FE8C3B-BF8D-41A4-9A6B-12A304C5BB4E}"/>
    <hyperlink ref="R51" r:id="rId357" display="https://www.sec.gov/Archives/edgar/data/1425851/000114036124035138/0001140361-24-035138-index.htm" xr:uid="{805AD2FB-D592-4CE1-88BF-79840EBDAA05}"/>
    <hyperlink ref="B125" r:id="rId358" xr:uid="{44690143-8DF9-41FA-BD6E-B315C63FFF23}"/>
    <hyperlink ref="R125" r:id="rId359" display="https://www.sec.gov/Archives/edgar/data/1484972/000108514624003962/xslForm13F_X02/primary_doc.xml" xr:uid="{4E414D99-59A1-45EA-9098-BA19D7E99D6E}"/>
    <hyperlink ref="B95" r:id="rId360" xr:uid="{F44B669C-37C6-4B65-97AF-E11A600F0DE2}"/>
    <hyperlink ref="R95" r:id="rId361" display="https://www.sec.gov/Archives/edgar/data/872573/000087257324000019/xslForm13F_X02/primary_doc.xml" xr:uid="{72759C36-E206-4B33-8190-3995F18A0CD4}"/>
    <hyperlink ref="B63" r:id="rId362" xr:uid="{5077FC4B-31AF-4A7A-A8B4-84F14707CE77}"/>
    <hyperlink ref="R63" r:id="rId363" display="https://www.sec.gov/Archives/edgar/data/1706766/000170676624000005/xslForm13F_X02/primary_doc.xml" xr:uid="{C4F52B96-9054-4E80-9FD3-F7AB0076EC4F}"/>
    <hyperlink ref="B36" r:id="rId364" xr:uid="{A67231F9-2C7E-4B9C-ABD0-4FD0F2449A48}"/>
    <hyperlink ref="R36" r:id="rId365" display="https://www.sec.gov/Archives/edgar/data/1556921/000121465924014697/0001214659-24-014697-index.htm" xr:uid="{A49ACFAB-C527-4A1A-A4F6-BDCE612E7B30}"/>
    <hyperlink ref="Q36" r:id="rId366" display="https://www.sec.gov/Archives/edgar/data/1556921/000121465924009322/xslForm13F_X02/primary_doc.xml" xr:uid="{3FD53E48-3405-46C4-BF83-D5B79090D1F7}"/>
    <hyperlink ref="P36" r:id="rId367" display="https://www.sec.gov/Archives/edgar/data/1556921/000121465924002840/xslForm13F_X02/primary_doc.xml" xr:uid="{F1A6E220-3E75-4096-8C16-0FEC4412DC4C}"/>
    <hyperlink ref="B21" r:id="rId368" xr:uid="{314CFC30-0911-46F5-BF6B-AE6E2079FAA9}"/>
    <hyperlink ref="R21" r:id="rId369" display="https://www.sec.gov/Archives/edgar/data/1729829/000172982924000011/xslForm13F_X02/primary_doc.xml" xr:uid="{5BF9E6D6-92E9-410B-B94C-CF38C0132D7E}"/>
    <hyperlink ref="Q21" r:id="rId370" display="https://www.sec.gov/Archives/edgar/data/1729829/000172982924000009/xslForm13F_X02/primary_doc.xml" xr:uid="{950E9310-7859-469C-9CC5-AB6180940F72}"/>
    <hyperlink ref="P21" r:id="rId371" display="https://www.sec.gov/Archives/edgar/data/1729829/000172982924000003/xslForm13F_X02/primary_doc.xml" xr:uid="{7C510404-0EA5-49B4-9D8E-42DA7C328856}"/>
    <hyperlink ref="B77" r:id="rId372" xr:uid="{6AD05462-74B2-4204-99E0-8FB5FA073108}"/>
    <hyperlink ref="R77" r:id="rId373" display="https://www.sec.gov/Archives/edgar/data/1509842/000095012324008739/xslForm13F_X02/primary_doc.xml" xr:uid="{9EB7194B-8466-4DE0-B2D0-57A49C5B2060}"/>
    <hyperlink ref="B90" r:id="rId374" xr:uid="{49A94717-D9CE-4E51-9173-86A9C3169185}"/>
    <hyperlink ref="R90" r:id="rId375" display="https://www.sec.gov/Archives/edgar/data/1595725/000117266124003467/xslForm13F_X02/primary_doc.xml" xr:uid="{92E4CA42-890B-42B5-9C21-995F5C803B4D}"/>
    <hyperlink ref="Q90" r:id="rId376" display="https://www.sec.gov/Archives/edgar/data/1595725/000117266124002385/xslForm13F_X02/primary_doc.xml" xr:uid="{DB6CE2BA-40B7-4F26-9A16-1A5E952A0956}"/>
    <hyperlink ref="P90" r:id="rId377" display="https://www.sec.gov/Archives/edgar/data/1595725/000117266124001078/xslForm13F_X02/primary_doc.xml" xr:uid="{CFBBD04A-0F9C-4D46-8F26-7F1FC37324AE}"/>
    <hyperlink ref="R112" r:id="rId378" display="https://www.sec.gov/Archives/edgar/data/1803916/000180391624000004/xslForm13F_X02/primary_doc.xml" xr:uid="{54DFF6A0-5D1D-4547-A1D3-4D4F4DD5FD94}"/>
    <hyperlink ref="R110" r:id="rId379" display="https://www.sec.gov/Archives/edgar/data/1489933/000117266124003549/xslForm13F_X02/primary_doc.xml" xr:uid="{CA3501A4-D14E-4403-A16A-759949B1DAEF}"/>
    <hyperlink ref="R128" r:id="rId380" display="https://www.sec.gov/Archives/edgar/data/1940272/000194026724000001/xslForm13F_X02/primary_doc.xml" xr:uid="{1F11647F-8D10-4578-8333-3CAF131B7591}"/>
    <hyperlink ref="R85" r:id="rId381" display="https://www.sec.gov/Archives/edgar/data/936944/000093694424000006/xslForm13F_X02/primary_doc.xml" xr:uid="{7CA62473-1D9B-4F28-B6D0-BB90203E51EB}"/>
    <hyperlink ref="B73" r:id="rId382" xr:uid="{C1C4A467-8642-4EBF-B0D6-3E19614B4959}"/>
    <hyperlink ref="R73" r:id="rId383" display="https://www.sec.gov/Archives/edgar/data/1831577/000166773124000469/xslForm13F_X02/primary_doc.xml" xr:uid="{72562425-34DE-43D3-BD84-A4122847AA65}"/>
    <hyperlink ref="Q73" r:id="rId384" display="https://www.sec.gov/Archives/edgar/data/1831577/000166773124000224/xslForm13F_X02/primary_doc.xml" xr:uid="{49921FB6-5B6A-4F34-806C-4A5A87A96628}"/>
    <hyperlink ref="P73" r:id="rId385" display="https://www.sec.gov/Archives/edgar/data/1831577/000166773124000065/xslForm13F_X02/primary_doc.xml" xr:uid="{D8198C1F-89E2-47B6-BB90-4900860F390D}"/>
    <hyperlink ref="B129" r:id="rId386" xr:uid="{789256CA-C9E5-4BB9-9B1A-834D37A1C8DF}"/>
    <hyperlink ref="R129" r:id="rId387" display="https://www.sec.gov/Archives/edgar/data/1595521/000159552124000005/xslForm13F_X02/primary_doc.xml" xr:uid="{60A788B3-0D56-4EBE-806D-350CCFE02AEB}"/>
    <hyperlink ref="Q129" r:id="rId388" display="https://www.sec.gov/Archives/edgar/data/1595521/000159552124000004/xslForm13F_X02/primary_doc.xml" xr:uid="{DA17B8C2-43B4-44FC-BDDC-60A44D15421B}"/>
    <hyperlink ref="P129" r:id="rId389" display="https://www.sec.gov/Archives/edgar/data/1595521/000159552124000002/xslForm13F_X02/primary_doc.xml" xr:uid="{92B3E41C-3585-4797-A1F9-4F3C7C3A191D}"/>
    <hyperlink ref="B41" r:id="rId390" xr:uid="{528F9214-24B9-4A84-AD82-C9F8CFBC0326}"/>
    <hyperlink ref="R41" r:id="rId391" display="https://www.sec.gov/Archives/edgar/data/1453072/000117266124003532/0001172661-24-003532-index.htm" xr:uid="{5CF48255-0BA9-419F-A53C-2E23F2152EAE}"/>
    <hyperlink ref="Q41" r:id="rId392" display="https://www.sec.gov/Archives/edgar/data/1453072/000117266124002473/xslForm13F_X02/primary_doc.xml" xr:uid="{BBFC3495-8433-4D80-9EB6-F2D3566343BE}"/>
    <hyperlink ref="P41" r:id="rId393" display="https://www.sec.gov/Archives/edgar/data/1453072/000117266124001424/xslForm13F_X02/primary_doc.xml" xr:uid="{8D03C58C-55E2-4F4C-8685-99BFF041BD82}"/>
    <hyperlink ref="B83" r:id="rId394" xr:uid="{A56C166E-61BD-44BF-B453-216E20027DDA}"/>
    <hyperlink ref="R83" r:id="rId395" display="https://www.sec.gov/Archives/edgar/data/1418814/000141881224000017/xslForm13F_X02/primary_doc.xml" xr:uid="{E1F9F6DF-A92E-4081-9C02-D1312B0BBF30}"/>
    <hyperlink ref="Q83" r:id="rId396" display="https://www.sec.gov/Archives/edgar/data/1418814/000141881224000011/xslForm13F_X02/primary_doc.xml" xr:uid="{AAA28E5D-A13B-4A4E-A93F-9BF55DC613C9}"/>
    <hyperlink ref="P83" r:id="rId397" display="https://www.sec.gov/Archives/edgar/data/1418814/000141881224000003/xslForm13F_X02/primary_doc.xml" xr:uid="{A5713FB9-5464-46C8-89DF-2ED3759C857D}"/>
    <hyperlink ref="B93" r:id="rId398" xr:uid="{1C417AD9-1E81-4F7D-B5A2-DB13C3E4F1C4}"/>
    <hyperlink ref="R93" r:id="rId399" display="https://www.sec.gov/Archives/edgar/data/1444043/000165495424010537/xslForm13F_X02/primary_doc.xml" xr:uid="{DF937787-5B9C-4B35-855E-696EB50976C3}"/>
    <hyperlink ref="Q93" r:id="rId400" display="https://www.sec.gov/Archives/edgar/data/1444043/000165495424006308/xslForm13F_X02/primary_doc.xml" xr:uid="{FA2FACBA-FE30-402F-844A-A11129D10883}"/>
    <hyperlink ref="P93" r:id="rId401" display="https://www.sec.gov/Archives/edgar/data/1444043/000165495424001698/xslForm13F_X02/primary_doc.xml" xr:uid="{1B276C68-A159-4013-B69D-5370AE435C70}"/>
    <hyperlink ref="B124" r:id="rId402" xr:uid="{1ED90491-9D1C-4DB3-88F0-820279C7D047}"/>
    <hyperlink ref="R124" r:id="rId403" display="https://www.sec.gov/Archives/edgar/data/1632715/000117266124003374/xslForm13F_X02/primary_doc.xml" xr:uid="{EE7888E6-82F5-4616-9D8C-7D4D6C32FE4C}"/>
    <hyperlink ref="Q124" r:id="rId404" display="https://www.sec.gov/Archives/edgar/data/1632715/000117266124002394/xslForm13F_X02/primary_doc.xml" xr:uid="{996F651D-D40F-4F6D-BBA0-6B79E8A756BF}"/>
    <hyperlink ref="P124" r:id="rId405" display="https://www.sec.gov/Archives/edgar/data/1632715/000117266124000834/xslForm13F_X02/primary_doc.xml" xr:uid="{C9CD2DAA-9CB1-4028-AB58-67AE0A26C57B}"/>
    <hyperlink ref="B74" r:id="rId406" xr:uid="{3BCAC531-3A14-469D-AA7C-72A364ACD2A5}"/>
    <hyperlink ref="R74" r:id="rId407" display="https://www.sec.gov/Archives/edgar/data/1138995/000090514824002216/xslForm13F_X02/primary_doc.xml" xr:uid="{282B176B-230E-40FF-9C80-2D3B7EA129F2}"/>
    <hyperlink ref="B108" r:id="rId408" xr:uid="{33F3BC97-083C-488A-A59D-0353F323F258}"/>
    <hyperlink ref="R108" r:id="rId409" display="https://www.sec.gov/Archives/edgar/data/1512173/000091957424004559/xslForm13F_X02/primary_doc.xml" xr:uid="{2C54D3C6-DC13-470A-A67F-7BCA5D467B59}"/>
    <hyperlink ref="B126" r:id="rId410" xr:uid="{0C6F64D3-5EFE-48D6-B0FC-156F7712F05B}"/>
    <hyperlink ref="R126" r:id="rId411" display="https://www.sec.gov/Archives/edgar/data/1389507/000091957424004460/xslForm13F_X02/primary_doc.xml" xr:uid="{1D009CEB-3503-4121-98B9-2E845C2E5B39}"/>
    <hyperlink ref="B94" r:id="rId412" xr:uid="{7EB1C527-4826-4856-9C5B-3CD860C7BC5C}"/>
    <hyperlink ref="R94" r:id="rId413" display="https://www.sec.gov/Archives/edgar/data/1920938/000142050624001566/xslForm13F_X02/primary_doc.xml" xr:uid="{A19E1E20-A71C-428D-906A-837FE3391874}"/>
    <hyperlink ref="Q94" r:id="rId414" display="https://www.sec.gov/Archives/edgar/data/1920938/000192093824000004/xslForm13F_X02/primary_doc.xml" xr:uid="{D136F781-E058-43AE-BF4A-327D36ECCE72}"/>
    <hyperlink ref="P94" r:id="rId415" display="https://www.sec.gov/Archives/edgar/data/1920938/000142050624000478/xslForm13F_X02/primary_doc.xml" xr:uid="{CD16B160-C0FF-4B09-BDE9-92934FBD7269}"/>
    <hyperlink ref="R59" r:id="rId416" display="https://www.sec.gov/Archives/edgar/data/1503174/000090266424005141/xslForm13F_X02/primary_doc.xml" xr:uid="{37D7147E-0499-4379-BFEE-F04BF47E2CBC}"/>
    <hyperlink ref="B59" r:id="rId417" xr:uid="{D9E14C26-1E3B-4910-967E-8340D18B306B}"/>
    <hyperlink ref="B62" r:id="rId418" xr:uid="{0E455124-1E3A-47DD-A2E0-7CD3A86868DB}"/>
    <hyperlink ref="R62" r:id="rId419" display="https://www.sec.gov/Archives/edgar/data/1651424/000165142424000003/xslForm13F_X02/primary_doc.xml" xr:uid="{449A35F9-BBE6-4185-8C7D-687F84208A6C}"/>
    <hyperlink ref="B109" r:id="rId420" xr:uid="{16CD0F2F-7A36-4556-9BAC-2FC6232B7FA0}"/>
    <hyperlink ref="R109" r:id="rId421" display="https://www.sec.gov/Archives/edgar/data/1569064/000117266124003525/xslForm13F_X02/primary_doc.xml" xr:uid="{98FC0754-A402-444C-9CA2-9592C57DFEAC}"/>
    <hyperlink ref="R130" r:id="rId422" display="https://www.sec.gov/Archives/edgar/data/1649339/000090514824002196/xslForm13F_X02/primary_doc.xml" xr:uid="{026DBB46-04C7-4B02-A2FC-03BAA70B5521}"/>
    <hyperlink ref="B130" r:id="rId423" xr:uid="{C9082FBF-1E47-4917-9080-6DD7EE4630B5}"/>
    <hyperlink ref="B67" r:id="rId424" xr:uid="{2D14AF52-817D-4CE4-9477-50B0F436572B}"/>
    <hyperlink ref="R67" r:id="rId425" display="https://www.sec.gov/Archives/edgar/data/1510281/000106299324015052/xslForm13F_X02/primary_doc.xml" xr:uid="{4FF2BEB7-E396-4857-9C48-51CFB605FCC7}"/>
    <hyperlink ref="R91" r:id="rId426" display="https://www.sec.gov/Archives/edgar/data/1587114/000093583624000519/xslForm13F_X02/primary_doc.xml" xr:uid="{07BCC7C1-DF7B-468F-9B77-66CA93B22046}"/>
    <hyperlink ref="B91" r:id="rId427" xr:uid="{8D233C51-CBC6-4BFB-B90B-0DF79C2FCBC2}"/>
    <hyperlink ref="B5" r:id="rId428" xr:uid="{6099F5E3-5C8C-472A-8FDD-539E901D4A22}"/>
    <hyperlink ref="R5" r:id="rId429" display="https://www.sec.gov/Archives/edgar/data/1637460/000108514624004000/0001085146-24-004000-index.htm" xr:uid="{91996818-90CC-45C8-A9A8-8D8C5E491689}"/>
    <hyperlink ref="B8" r:id="rId430" xr:uid="{D7C163CB-0063-4443-8886-3D78318D3345}"/>
    <hyperlink ref="R8" r:id="rId431" display="https://www.sec.gov/Archives/edgar/data/1647251/000164725124000007/0001647251-24-000007-index.htm" xr:uid="{840E59F3-3578-4886-8524-C198A60EB106}"/>
    <hyperlink ref="B96" r:id="rId432" xr:uid="{D0A91DA2-47CF-47FE-AB79-A6A777393100}"/>
    <hyperlink ref="R96" r:id="rId433" display="https://www.sec.gov/Archives/edgar/data/1610880/000090514824002231/0000905148-24-002231-index.htm" xr:uid="{592A9FF9-9493-4FDC-B38C-42E2A2B563FF}"/>
    <hyperlink ref="R117" r:id="rId434" display="https://www.sec.gov/Archives/edgar/data/1481986/000148198624000003/0001481986-24-000003-index.htm" xr:uid="{86454F8D-3445-44D0-BBE6-8CE64F041E38}"/>
    <hyperlink ref="B117" r:id="rId435" xr:uid="{49A0CF12-712B-4F34-9810-85F8D099AA20}"/>
    <hyperlink ref="B40" r:id="rId436" xr:uid="{81E182FA-001E-4FF3-9443-C64B3859363D}"/>
    <hyperlink ref="R40" r:id="rId437" display="https://www.sec.gov/Archives/edgar/data/1454027/000145402724000003/0001454027-24-000003-index.htm" xr:uid="{5D319D34-A6BA-4B69-AF9E-AB4039943C64}"/>
    <hyperlink ref="S3" r:id="rId438" display="https://www.sec.gov/Archives/edgar/data/1067983/000095012324011775/0000950123-24-011775-index.htm" xr:uid="{3E561B94-A0E9-4E96-9C12-DC72A9F57AF6}"/>
    <hyperlink ref="S6" r:id="rId439" display="https://www.sec.gov/Archives/edgar/data/1273087/000127308724000118/0001273087-24-000118-index.htm" xr:uid="{5289757C-EEF4-476B-A912-C28B959C60BE}"/>
    <hyperlink ref="S7" r:id="rId440" display="https://www.sec.gov/Archives/edgar/data/1423053/000095012324011767/0000950123-24-011767-index.htm" xr:uid="{BB9ADFC4-4574-4123-8517-0E3842631582}"/>
    <hyperlink ref="S17" r:id="rId441" display="https://www.sec.gov/Archives/edgar/data/1595888/000159588824000063/0001595888-24-000063-index.htm" xr:uid="{4D2439B8-4DC2-47C5-8944-9A567B51A523}"/>
    <hyperlink ref="S15" r:id="rId442" display="https://www.sec.gov/Archives/edgar/data/0001318757/000131875724000018/0001318757-24-000018-index.htm" xr:uid="{1765311B-C6FF-47C7-959F-FC46EFF6BC70}"/>
    <hyperlink ref="S13" r:id="rId443" display="https://www.sec.gov/Archives/edgar/data/1167557/000108514624005943/0001085146-24-005943-index.htm" xr:uid="{D64E0F12-0E95-4F94-87B3-744188DB6B6B}"/>
    <hyperlink ref="S12" r:id="rId444" display="https://www.sec.gov/Archives/edgar/data/1037389/000103738924000091/0001037389-24-000091-index.htm" xr:uid="{3816198E-A797-4D7F-99A9-41351E65BE9B}"/>
    <hyperlink ref="T70" r:id="rId445" display="https://www.sec.gov/Archives/edgar/data/1559706/000117266125000960/0001172661-25-000960-index.htm" xr:uid="{ADD13903-5B8A-4731-A298-1D8274E6BC72}"/>
    <hyperlink ref="B70" r:id="rId446" xr:uid="{EAA8E211-571E-493A-AAEC-54E76B349CFF}"/>
    <hyperlink ref="T60" r:id="rId447" display="https://www.sec.gov/Archives/edgar/data/1493215/000149315225006608/0001493152-25-006608-index.htm" xr:uid="{3C510C19-4C5E-4015-9050-9533E69C5C43}"/>
    <hyperlink ref="T65" r:id="rId448" display="https://www.sec.gov/Archives/edgar/data/1747057/000117266125000951/0001172661-25-000951-index.htm" xr:uid="{271B23BE-5664-4375-A86F-9DBB01450803}"/>
    <hyperlink ref="T179" r:id="rId449" display="https://www.sec.gov/Archives/edgar/data/1569688/000117266125000950/0001172661-25-000950-index.htm" xr:uid="{DFBAD936-60EF-4365-B78B-E1965BAB714E}"/>
    <hyperlink ref="B179" r:id="rId450" xr:uid="{825BDED1-C338-41D2-B1AF-05607A3ECFAF}"/>
    <hyperlink ref="T8" r:id="rId451" display="https://www.sec.gov/Archives/edgar/data/1647251/000164725125000003/0001647251-25-000003-index.htm" xr:uid="{21B9F445-FB83-4D6C-AB2E-758AA28E0D01}"/>
    <hyperlink ref="T11" r:id="rId452" display="https://www.sec.gov/Archives/edgar/data/909661/000090883425000081/0000908834-25-000081-index.htm" xr:uid="{F90E99DF-5AC0-4FEC-A57C-6D28AFAD3F30}"/>
    <hyperlink ref="T59" r:id="rId453" display="https://www.sec.gov/Archives/edgar/data/1503174/000117266125000874/0001172661-25-000874-index.htm" xr:uid="{C44FF74A-DD11-4875-8241-17CF57A5AFB2}"/>
    <hyperlink ref="T90" r:id="rId454" display="https://www.sec.gov/Archives/edgar/data/1595725/000117266125000867/0001172661-25-000867-index.htm" xr:uid="{01D670DF-1AC0-4749-87D5-389116D59BCE}"/>
    <hyperlink ref="T16" r:id="rId455" display="https://www.sec.gov/Archives/edgar/data/1446194/000144619425000021/0001446194-25-000021-index.htm" xr:uid="{4ADF62A2-AF69-40C0-B231-B4F65B97C8A8}"/>
    <hyperlink ref="T81" r:id="rId456" display="https://www.sec.gov/Archives/edgar/data/1856083/000185608325000001/0001856083-25-000001-index.htm" xr:uid="{FF140460-950A-4189-841C-0A76F3D961EB}"/>
    <hyperlink ref="T84" r:id="rId457" display="https://www.sec.gov/Archives/edgar/data/1666335/000166633525000005/0001666335-25-000005-index.htm" xr:uid="{3E5C6DC1-5323-49E1-A50A-6E26B21B9DF1}"/>
    <hyperlink ref="T21" r:id="rId458" display="https://www.sec.gov/Archives/edgar/data/1729829/000172982925000045/0001729829-25-000045-index.htm" xr:uid="{FA91FC7B-4B0D-4CA5-93C0-1118DEC898A5}"/>
    <hyperlink ref="T162" r:id="rId459" display="https://www.sec.gov/Archives/edgar/data/1491072/000095012325002113/xslForm13F_X02/primary_doc.xml" xr:uid="{D5859B11-FC78-4057-A0A2-D38014FD40CD}"/>
    <hyperlink ref="B162" r:id="rId460" xr:uid="{F3D4C272-4251-4975-8683-C388E7AD36ED}"/>
    <hyperlink ref="T276" r:id="rId461" display="https://www.sec.gov/Archives/edgar/data/1230239/000091957425001214/xslForm13F_X02/primary_doc.xml" xr:uid="{D0596C11-87F7-4E3F-956B-7554C028EA0D}"/>
    <hyperlink ref="B276" r:id="rId462" xr:uid="{57CC79C2-6E8F-4624-B36D-D774C2B282F3}"/>
    <hyperlink ref="T108" r:id="rId463" display="https://www.sec.gov/Archives/edgar/data/1512173/000091957425001180/0000919574-25-001180-index.htm" xr:uid="{D376A250-C769-45F3-8D89-2ECCE43E4EC5}"/>
    <hyperlink ref="B153" r:id="rId464" xr:uid="{DD432065-700D-48A6-9844-42EF6E4CB4AB}"/>
    <hyperlink ref="B149" r:id="rId465" xr:uid="{44C5FDCC-FA54-4E8D-A1CC-49FCCD7FFE14}"/>
    <hyperlink ref="T149" r:id="rId466" display="https://www.sec.gov/Archives/edgar/data/1401388/000117266125000829/0001172661-25-000829-index.htm" xr:uid="{06A7E561-EC6E-4908-9E4C-A4977FCFE1DC}"/>
    <hyperlink ref="B274" r:id="rId467" xr:uid="{08066535-99C1-42D0-BC97-F71CA0B51395}"/>
    <hyperlink ref="T274" r:id="rId468" display="https://www.sec.gov/Archives/edgar/data/1388391/000117266125000827/xslForm13F_X02/primary_doc.xml" xr:uid="{3347BE86-604E-4FE3-B76A-217B00492712}"/>
    <hyperlink ref="T18" r:id="rId469" display="https://www.sec.gov/Archives/edgar/data/1061768/000106176825000002/xslForm13F_X02/primary_doc.xml" xr:uid="{3D23B368-99C6-4034-9A46-CE975A375042}"/>
    <hyperlink ref="T73" r:id="rId470" display="https://www.sec.gov/Archives/edgar/data/1831577/000090514825000551/0000905148-25-000551-index.htm" xr:uid="{E76C486C-662E-476B-AD40-76BB59835292}"/>
    <hyperlink ref="T4" r:id="rId471" display="https://www.sec.gov/Archives/edgar/data/1350694/000117266125000823/0001172661-25-000823-index.htm" xr:uid="{F17D59B0-86E5-412C-9BA3-9E3BFB48617C}"/>
    <hyperlink ref="T15" r:id="rId472" display="https://www.sec.gov/Archives/edgar/data/1318757/000204804725000005/0002048047-25-000005-index.htm" xr:uid="{59CE1CA9-040D-4171-8CE4-10CE2A3ECDD6}"/>
    <hyperlink ref="T92" r:id="rId473" display="https://www.sec.gov/Archives/edgar/data/1443689/000144368925000003/0001443689-25-000003-index.htm" xr:uid="{03CE2A3A-7AF0-4939-9B36-661FF6F8D24D}"/>
    <hyperlink ref="T170" r:id="rId474" display="https://www.sec.gov/Archives/edgar/data/820743/000114036125004268/0001140361-25-004268-index.htm" xr:uid="{35039319-3814-4DEC-9315-784E40185936}"/>
    <hyperlink ref="T166" r:id="rId475" display="https://www.sec.gov/Archives/edgar/data/1533421/000153342125000001/0001533421-25-000001-index.htm" xr:uid="{51465B35-12C9-44B3-97DC-1457C3C02D46}"/>
    <hyperlink ref="B166" r:id="rId476" xr:uid="{DC7B0BE9-A056-4AC4-8476-A5C7F5680E37}"/>
    <hyperlink ref="T168" r:id="rId477" display="https://www.sec.gov/Archives/edgar/data/1828301/000182830125000023/0001828301-25-000023-index.htm" xr:uid="{912FE853-4923-4E93-9399-40E45B27B533}"/>
    <hyperlink ref="B168" r:id="rId478" xr:uid="{7C44E6FC-79DA-4CC7-8EFE-2B22D071821E}"/>
    <hyperlink ref="T99" r:id="rId479" display="https://www.sec.gov/Archives/edgar/data/1608485/000091957425001097/0000919574-25-001097-index.htm" xr:uid="{0C9C0E23-7F77-44B2-B344-E9EA6A2CA3CE}"/>
    <hyperlink ref="B128" r:id="rId480" xr:uid="{CCE50E01-B1E9-4587-87A5-8CD5D0983E52}"/>
    <hyperlink ref="T128" r:id="rId481" display="https://www.sec.gov/Archives/edgar/data/1940272/000194027225000001/xslForm13F_X02/primary_doc.xml" xr:uid="{8E27CDC4-CEE2-4D0F-ADCF-DDB2F84C5741}"/>
    <hyperlink ref="B97" r:id="rId482" xr:uid="{C7F05320-7889-4B08-90B8-DBF282BBC738}"/>
    <hyperlink ref="T97" r:id="rId483" display="https://www.sec.gov/Archives/edgar/data/1557017/000117266125000727/0001172661-25-000727-index.htm" xr:uid="{138D842B-D2CF-49E9-8FAA-091F737314E2}"/>
    <hyperlink ref="T12" r:id="rId484" display="https://www.sec.gov/Archives/edgar/data/1037389/000103738925000009/0001037389-25-000009-index.htm" xr:uid="{830F38A1-C8A5-4DEA-B7B6-8D41FEE8EC83}"/>
    <hyperlink ref="T40" r:id="rId485" display="https://www.sec.gov/cgi-bin/browse-edgar?action=getcompany&amp;CIK=0001454027&amp;owner=include&amp;count=100" xr:uid="{20A98EBD-FEB6-4706-B253-2D29A5044323}"/>
    <hyperlink ref="T10" r:id="rId486" display="https://www.sec.gov/Archives/edgar/data/1179392/000089914025000265/0000899140-25-000265-index.htm" xr:uid="{68BDA7AE-A9F3-46D3-870F-C1BCC602A3C3}"/>
    <hyperlink ref="B219" r:id="rId487" xr:uid="{1C45F7F1-3E18-4C0F-8E4B-21F31958C653}"/>
    <hyperlink ref="T219" r:id="rId488" display="https://www.sec.gov/Archives/edgar/data/1040198/000114036125004525/0001140361-25-004525-index.htm" xr:uid="{5F163185-420E-46FD-95DF-628B052E9809}"/>
    <hyperlink ref="T91" r:id="rId489" display="https://www.sec.gov/Archives/edgar/data/1587114/000093583625000164/0000935836-25-000164-index.htm" xr:uid="{215DCAEF-5191-481C-9C7A-F5CEF04764D5}"/>
    <hyperlink ref="T173" r:id="rId490" display="https://www.sec.gov/Archives/edgar/data/1000097/000100009725000014/0001000097-25-000014-index.htm" xr:uid="{8D788A61-3D7F-4F7A-BDE4-FDBD09C0B0D3}"/>
    <hyperlink ref="B171" r:id="rId491" xr:uid="{F0A8EE36-4C6A-4D55-B1EB-BFD42138E3F0}"/>
    <hyperlink ref="T171" r:id="rId492" display="https://www.sec.gov/Archives/edgar/data/1549230/000149315225006685/0001493152-25-006685-index.htm" xr:uid="{FB074999-3F56-4A0E-A25B-2DDE64A7E81B}"/>
    <hyperlink ref="B261" r:id="rId493" xr:uid="{343C1B0C-124D-4653-BD67-1BD119511D77}"/>
    <hyperlink ref="T261" r:id="rId494" display="https://www.sec.gov/Archives/edgar/data/927337/000092733725000009/0000927337-25-000009-index.htm" xr:uid="{1BC2D7D0-1877-443B-B924-96999F428E36}"/>
    <hyperlink ref="T69" r:id="rId495" display="https://www.sec.gov/Archives/edgar/data/1421097/000091957425001454/0000919574-25-001454-index.htm" xr:uid="{2DF34D6C-BC44-47AD-B6F2-486898A7B0D4}"/>
    <hyperlink ref="B173" r:id="rId496" xr:uid="{F0ACE6B5-8D31-4D0E-A99A-CA8AD8E636DC}"/>
    <hyperlink ref="T95" r:id="rId497" display="https://www.sec.gov/Archives/edgar/data/1388551/000091957425001439/0000919574-25-001439-index.htm" xr:uid="{F14860B3-D915-4BD6-A2DF-1319B505234C}"/>
    <hyperlink ref="T38" r:id="rId498" display="https://www.sec.gov/Archives/edgar/data/1135730/000091957425001429/0000919574-25-001429-index.htm" xr:uid="{B89C87E2-E5F0-446D-99EC-825BACA25E98}"/>
    <hyperlink ref="T61" r:id="rId499" display="https://www.sec.gov/Archives/edgar/data/1448574/000144857425000002/0001448574-25-000002-index.htm" xr:uid="{1E57608A-0F25-4715-9F7F-C2CB80C97FFE}"/>
    <hyperlink ref="T22" r:id="rId500" display="https://www.sec.gov/Archives/edgar/data/1218710/000095012325002486/0000950123-25-002486-index.htm" xr:uid="{F2DE178B-D4C9-4CF9-A465-146BB3840B25}"/>
    <hyperlink ref="B155" r:id="rId501" xr:uid="{984B5084-89FE-48F3-98CC-E99BFA7D905F}"/>
    <hyperlink ref="T155" r:id="rId502" display="https://www.sec.gov/Archives/edgar/data/1907884/000108514625001501/xslForm13F_X02/primary_doc.xml" xr:uid="{DAD284CC-18AF-4EF8-9971-736890895AEB}"/>
    <hyperlink ref="B164" r:id="rId503" xr:uid="{C9E151C9-841C-404A-8B70-A4BCB6F103C6}"/>
    <hyperlink ref="T164" r:id="rId504" display="https://www.sec.gov/Archives/edgar/data/1792126/000117266125001041/0001172661-25-001041-index.htm" xr:uid="{CF4575C4-8D07-425B-ACC5-859DAA47C4C9}"/>
    <hyperlink ref="T109" r:id="rId505" display="https://www.sec.gov/Archives/edgar/data/1569064/000117266125001039/0001172661-25-001039-index.htm" xr:uid="{F481DB7E-2663-4EB3-869A-58BCE2B122D9}"/>
    <hyperlink ref="S76" r:id="rId506" display="https://www.sec.gov/Archives/edgar/data/1595082/000159508224000051/0001595082-24-000051-index.htm" xr:uid="{4403A846-4FFE-4F0A-9B26-CDC8BBCC30D8}"/>
    <hyperlink ref="T150" r:id="rId507" display="https://www.sec.gov/Archives/edgar/data/1035674/000101359424000980/xslForm13F_X02/primary_doc.xml" xr:uid="{4BA1BD44-FB6A-407B-8711-CC64162D5FEB}"/>
    <hyperlink ref="T75" r:id="rId508" display="https://www.sec.gov/Archives/edgar/data/1054587/000095012324011773/0000950123-24-011773-index.html" xr:uid="{982F382D-E104-410A-B489-9906D807400F}"/>
    <hyperlink ref="T17" r:id="rId509" display="https://www.sec.gov/Archives/edgar/data/1595888/000159588824000063/0001595888-24-000063-index.html" xr:uid="{8C602638-AF38-4C18-9DE0-17D13F7FAD8A}"/>
    <hyperlink ref="T79" r:id="rId510" display="https://www.sec.gov/Archives/edgar/data/1224962/000101297524000488/0001012975-24-000488-index.html" xr:uid="{BA9550DC-5316-400F-A4E8-16C26EAE296D}"/>
    <hyperlink ref="T47" r:id="rId511" display="https://www.sec.gov/Archives/edgar/data/1736225/000173622525000017/0001736225-25-000017-index.html" xr:uid="{28E61314-7B3D-45B4-8929-C9C3BBFE3BAC}"/>
    <hyperlink ref="S23" r:id="rId512" display="https://www.sec.gov/Archives/edgar/data/1665241/000108514624005935/0001085146-24-005935-index.html" xr:uid="{B363BC8A-0C80-458B-B236-75BBF783E0D5}"/>
    <hyperlink ref="S77" r:id="rId513" display="https://www.sec.gov/Archives/edgar/data/1509842/000095012324011803/0000950123-24-011803-index.html" xr:uid="{5806A615-D64B-42F4-ACF1-276854E79AA5}"/>
    <hyperlink ref="S110" r:id="rId514" display="https://www.sec.gov/Archives/edgar/data/1489933/000117266124005240/0001172661-24-005240-index.html" xr:uid="{F54E42BA-5D77-4B85-AD65-2D00178FDB3F}"/>
    <hyperlink ref="B82" r:id="rId515" xr:uid="{5D43EE47-5543-4712-9D56-2AF2209C639A}"/>
    <hyperlink ref="S82" r:id="rId516" display="https://www.sec.gov/Archives/edgar/data/898382/000094562124000945/0000945621-24-000945-index.htm" xr:uid="{B94C9565-0FCB-47B2-8C1E-21DEAA03D7A3}"/>
    <hyperlink ref="T82" r:id="rId517" display="https://www.sec.gov/Archives/edgar/data/898382/000094562125000191/0000945621-25-000191-index.htm" xr:uid="{19A75619-0A90-4FC4-985C-C32B65692EC8}"/>
    <hyperlink ref="T3" r:id="rId518" display="https://www.sec.gov/Archives/edgar/data/1067983/000095012325002701/0000950123-25-002701-index.htm" xr:uid="{C9AE93A0-8C8C-49FB-8F9C-3A1A9BD80A96}"/>
    <hyperlink ref="T13" r:id="rId519" display="https://www.sec.gov/Archives/edgar/data/1167557/000108514625001702/0001085146-25-001702-index.htm" xr:uid="{502BB311-FDE2-4F15-9944-B640C8F1C60C}"/>
    <hyperlink ref="T6" r:id="rId520" display="https://www.sec.gov/Archives/edgar/data/1273087/000127308725000015/0001273087-25-000015-index.htm" xr:uid="{A4189230-3C5B-48CA-9CE1-551D5F710194}"/>
    <hyperlink ref="T7" r:id="rId521" display="https://www.sec.gov/Archives/edgar/data/1423053/000095012325002739/0000950123-25-002739-index.htm" xr:uid="{21106ED5-5471-493C-A34B-021561A666B6}"/>
    <hyperlink ref="S16" r:id="rId522" display="https://www.sec.gov/Archives/edgar/data/1446194/000144619424000008/0001446194-24-000008-index.htm" xr:uid="{C7D3681C-041B-45BD-887E-4EED2F7F49BC}"/>
    <hyperlink ref="S4" r:id="rId523" display="https://www.sec.gov/Archives/edgar/data/1350694/000117266124004671/0001172661-24-004671-index.htm" xr:uid="{FA6CD01B-4869-404B-8A4C-FFA08BDDB5D8}"/>
    <hyperlink ref="T9" r:id="rId524" display="https://www.sec.gov/Archives/edgar/data/1009207/000110465925014028/0001104659-25-014028-index.htm" xr:uid="{74C86391-E512-4996-897E-00286C97FB7C}"/>
    <hyperlink ref="S9" r:id="rId525" display="https://www.sec.gov/Archives/edgar/data/1009207/000110465924119021/0001104659-24-119021-index.htm" xr:uid="{83C35C47-CB43-446F-A8D3-A872D12CD9A9}"/>
    <hyperlink ref="B29" r:id="rId526" xr:uid="{0504CC31-5BB9-4561-B455-5A5B530AEC63}"/>
  </hyperlinks>
  <pageMargins left="0.7" right="0.7" top="0.75" bottom="0.75" header="0.3" footer="0.3"/>
  <pageSetup orientation="portrait" horizontalDpi="1200" verticalDpi="1200" r:id="rId527"/>
  <legacyDrawing r:id="rId5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25DB0-082F-4BA1-921D-E28CD66DC3F9}">
  <dimension ref="A1:B9"/>
  <sheetViews>
    <sheetView workbookViewId="0">
      <selection activeCell="B10" sqref="B10"/>
    </sheetView>
  </sheetViews>
  <sheetFormatPr defaultRowHeight="12.5" x14ac:dyDescent="0.25"/>
  <cols>
    <col min="1" max="1" width="5" bestFit="1" customWidth="1"/>
  </cols>
  <sheetData>
    <row r="1" spans="1:2" x14ac:dyDescent="0.25">
      <c r="A1" t="s">
        <v>75</v>
      </c>
    </row>
    <row r="2" spans="1:2" x14ac:dyDescent="0.25">
      <c r="B2" t="s">
        <v>2440</v>
      </c>
    </row>
    <row r="3" spans="1:2" x14ac:dyDescent="0.25">
      <c r="B3" t="s">
        <v>2441</v>
      </c>
    </row>
    <row r="4" spans="1:2" x14ac:dyDescent="0.25">
      <c r="B4" t="s">
        <v>2442</v>
      </c>
    </row>
    <row r="5" spans="1:2" x14ac:dyDescent="0.25">
      <c r="B5" t="s">
        <v>2443</v>
      </c>
    </row>
    <row r="6" spans="1:2" x14ac:dyDescent="0.25">
      <c r="B6" t="s">
        <v>2444</v>
      </c>
    </row>
    <row r="7" spans="1:2" x14ac:dyDescent="0.25">
      <c r="B7" t="s">
        <v>2445</v>
      </c>
    </row>
    <row r="8" spans="1:2" x14ac:dyDescent="0.25">
      <c r="B8" t="s">
        <v>1531</v>
      </c>
    </row>
    <row r="9" spans="1:2" x14ac:dyDescent="0.25">
      <c r="B9" t="s">
        <v>2446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Z80"/>
  <sheetViews>
    <sheetView zoomScale="130" zoomScaleNormal="130" workbookViewId="0">
      <pane xSplit="2" ySplit="2" topLeftCell="Q3" activePane="bottomRight" state="frozen"/>
      <selection pane="topRight" activeCell="C1" sqref="C1"/>
      <selection pane="bottomLeft" activeCell="A3" sqref="A3"/>
      <selection pane="bottomRight" activeCell="U31" sqref="U31"/>
    </sheetView>
  </sheetViews>
  <sheetFormatPr defaultColWidth="11.453125" defaultRowHeight="12.5" x14ac:dyDescent="0.25"/>
  <cols>
    <col min="1" max="1" width="4.7265625" bestFit="1" customWidth="1"/>
    <col min="2" max="2" width="24.26953125" customWidth="1"/>
    <col min="3" max="3" width="15.453125" bestFit="1" customWidth="1"/>
    <col min="21" max="23" width="11.453125" style="1"/>
  </cols>
  <sheetData>
    <row r="1" spans="1:26" x14ac:dyDescent="0.25">
      <c r="A1" s="2" t="s">
        <v>75</v>
      </c>
    </row>
    <row r="2" spans="1:26" x14ac:dyDescent="0.25">
      <c r="C2" t="s">
        <v>16</v>
      </c>
      <c r="D2" t="s">
        <v>236</v>
      </c>
      <c r="E2" t="s">
        <v>222</v>
      </c>
      <c r="F2" t="s">
        <v>719</v>
      </c>
      <c r="G2">
        <v>1992</v>
      </c>
      <c r="H2">
        <v>1994</v>
      </c>
      <c r="I2">
        <v>1995</v>
      </c>
      <c r="J2">
        <v>1996</v>
      </c>
      <c r="K2">
        <v>1998</v>
      </c>
      <c r="L2">
        <v>1999</v>
      </c>
      <c r="M2">
        <v>2000</v>
      </c>
      <c r="N2">
        <v>2023</v>
      </c>
      <c r="U2" s="1" t="s">
        <v>1108</v>
      </c>
      <c r="V2" s="1" t="s">
        <v>1109</v>
      </c>
      <c r="W2" s="1" t="s">
        <v>1110</v>
      </c>
      <c r="Y2" s="1" t="s">
        <v>1778</v>
      </c>
      <c r="Z2" s="1" t="s">
        <v>1779</v>
      </c>
    </row>
    <row r="3" spans="1:26" s="12" customFormat="1" ht="13" x14ac:dyDescent="0.3">
      <c r="B3" s="12" t="s">
        <v>839</v>
      </c>
      <c r="C3" s="19">
        <f>SUM(C6:C33)</f>
        <v>493706983890</v>
      </c>
      <c r="U3" s="43"/>
      <c r="V3" s="43"/>
      <c r="W3" s="43"/>
    </row>
    <row r="4" spans="1:26" s="12" customFormat="1" ht="13" x14ac:dyDescent="0.3">
      <c r="B4" s="20" t="s">
        <v>871</v>
      </c>
      <c r="C4" s="19"/>
      <c r="U4" s="43"/>
      <c r="V4" s="43"/>
      <c r="W4" s="43"/>
    </row>
    <row r="5" spans="1:26" s="12" customFormat="1" ht="13" x14ac:dyDescent="0.3">
      <c r="B5" s="20" t="s">
        <v>872</v>
      </c>
      <c r="C5" s="19"/>
      <c r="U5" s="43"/>
      <c r="V5" s="43"/>
      <c r="W5" s="43"/>
    </row>
    <row r="6" spans="1:26" x14ac:dyDescent="0.25">
      <c r="B6" t="s">
        <v>726</v>
      </c>
      <c r="C6" s="18">
        <v>89284508261</v>
      </c>
      <c r="F6">
        <v>501</v>
      </c>
    </row>
    <row r="7" spans="1:26" x14ac:dyDescent="0.25">
      <c r="B7" s="2" t="s">
        <v>684</v>
      </c>
      <c r="C7" s="18">
        <v>56310737031</v>
      </c>
      <c r="E7">
        <v>1972</v>
      </c>
      <c r="I7" t="s">
        <v>688</v>
      </c>
      <c r="K7" t="s">
        <v>687</v>
      </c>
      <c r="L7" t="s">
        <v>686</v>
      </c>
      <c r="M7" t="s">
        <v>685</v>
      </c>
      <c r="U7" s="3">
        <v>13531.029494</v>
      </c>
      <c r="V7" s="3">
        <v>12395.936883</v>
      </c>
      <c r="W7" s="3">
        <v>13699.156875000001</v>
      </c>
      <c r="Y7" s="3">
        <v>485</v>
      </c>
      <c r="Z7" s="3">
        <v>44</v>
      </c>
    </row>
    <row r="8" spans="1:26" x14ac:dyDescent="0.25">
      <c r="B8" t="s">
        <v>704</v>
      </c>
      <c r="C8" s="18">
        <v>56035682377</v>
      </c>
      <c r="D8" t="s">
        <v>747</v>
      </c>
      <c r="W8" s="3"/>
    </row>
    <row r="9" spans="1:26" x14ac:dyDescent="0.25">
      <c r="B9" t="s">
        <v>720</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39</v>
      </c>
      <c r="F9">
        <v>168</v>
      </c>
      <c r="W9" s="3"/>
    </row>
    <row r="10" spans="1:26" x14ac:dyDescent="0.25">
      <c r="B10" t="s">
        <v>705</v>
      </c>
      <c r="C10" s="18">
        <v>27317948305</v>
      </c>
      <c r="F10">
        <v>205</v>
      </c>
      <c r="W10" s="3"/>
    </row>
    <row r="11" spans="1:26" x14ac:dyDescent="0.25">
      <c r="B11" t="s">
        <v>706</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c r="W11" s="3"/>
    </row>
    <row r="12" spans="1:26" x14ac:dyDescent="0.25">
      <c r="B12" t="s">
        <v>727</v>
      </c>
      <c r="C12" s="18">
        <v>25912724688</v>
      </c>
      <c r="F12">
        <v>126</v>
      </c>
      <c r="W12" s="3"/>
    </row>
    <row r="13" spans="1:26" x14ac:dyDescent="0.25">
      <c r="B13" t="s">
        <v>738</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c r="W13" s="3"/>
    </row>
    <row r="14" spans="1:26" x14ac:dyDescent="0.25">
      <c r="B14" t="s">
        <v>734</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840</v>
      </c>
      <c r="W14" s="3"/>
    </row>
    <row r="15" spans="1:26" x14ac:dyDescent="0.25">
      <c r="B15" t="s">
        <v>730</v>
      </c>
      <c r="C15" s="18">
        <f>2466824687+42655284+80625393+25572324+513728402+7833115+1965850505+2653751169+1406264189+681492875+218854800+107743813+3964584+1554338536+31828742+89147256+187712081+1508677+2877595778+58290222+1739860714+44112110+2319815192+56189162+1485113509+46661559+364396080+18931456</f>
        <v>21050662214</v>
      </c>
      <c r="W15" s="3"/>
    </row>
    <row r="16" spans="1:26" x14ac:dyDescent="0.25">
      <c r="B16" t="s">
        <v>843</v>
      </c>
      <c r="C16" s="18">
        <f>111985019+38833130+114718+76481673+8938422+68134674+3668385+96648193+172761607+127417945+1997350176+623987982+28021416+31511097+555082436+1479327494+882411998+416952116+93694983+154088397+307267086+2520958881+1076948478+1630417140+1061336382+84588716</f>
        <v>13648928544</v>
      </c>
      <c r="D16" t="s">
        <v>850</v>
      </c>
      <c r="W16" s="3"/>
    </row>
    <row r="17" spans="2:23" x14ac:dyDescent="0.25">
      <c r="B17" t="s">
        <v>731</v>
      </c>
      <c r="C17" s="18">
        <f>2418252+13442584+9083808+10263054+11774687+7175353+442243+10189216+16012489+14205149+19400591+828004094+1489747037+1354935239+1554874073+1930890584+365599117+1306005156+831038878+834775666+714102049+689297480+777439058+20110499+648588</f>
        <v>12811874944</v>
      </c>
      <c r="W17" s="3"/>
    </row>
    <row r="18" spans="2:23" x14ac:dyDescent="0.25">
      <c r="B18" t="s">
        <v>733</v>
      </c>
      <c r="C18" s="18">
        <v>10775605970</v>
      </c>
      <c r="F18">
        <v>86</v>
      </c>
      <c r="W18" s="3"/>
    </row>
    <row r="19" spans="2:23" x14ac:dyDescent="0.25">
      <c r="B19" t="s">
        <v>689</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693</v>
      </c>
      <c r="H19" t="s">
        <v>694</v>
      </c>
      <c r="J19" t="s">
        <v>692</v>
      </c>
      <c r="L19" t="s">
        <v>691</v>
      </c>
      <c r="M19" t="s">
        <v>690</v>
      </c>
      <c r="W19" s="3"/>
    </row>
    <row r="20" spans="2:23" x14ac:dyDescent="0.25">
      <c r="B20" t="s">
        <v>721</v>
      </c>
      <c r="C20" s="18">
        <v>10289314151</v>
      </c>
      <c r="D20" t="s">
        <v>725</v>
      </c>
      <c r="W20" s="3"/>
    </row>
    <row r="21" spans="2:23" x14ac:dyDescent="0.25">
      <c r="B21" t="s">
        <v>732</v>
      </c>
      <c r="C21" s="18">
        <f>1600000000+6040000+21075000+73230897+2800652+1792045690+43883901+6128340+10661384+16036393+14964609+2342772147+35631197+441248824+12165510+2095773575</f>
        <v>8514458119</v>
      </c>
      <c r="W21" s="3"/>
    </row>
    <row r="22" spans="2:23" x14ac:dyDescent="0.25">
      <c r="B22" t="s">
        <v>728</v>
      </c>
      <c r="C22" s="18">
        <f>984551000+21971000+157809000+17525000+289381000+24387000+3468542000+192681000+1511036000+84440000+1473744000+52169000+205320000</f>
        <v>8483556000</v>
      </c>
      <c r="W22" s="3"/>
    </row>
    <row r="23" spans="2:23" x14ac:dyDescent="0.25">
      <c r="B23" t="s">
        <v>22</v>
      </c>
      <c r="C23" s="18">
        <f>203206353+101828815+749308243+171219000+2521976000+1746580274+238358974+326160803+1422097382+396154680</f>
        <v>7876890524</v>
      </c>
      <c r="D23" t="s">
        <v>842</v>
      </c>
      <c r="E23">
        <v>1999</v>
      </c>
      <c r="F23">
        <v>174</v>
      </c>
      <c r="W23" s="3"/>
    </row>
    <row r="24" spans="2:23" x14ac:dyDescent="0.25">
      <c r="B24" t="s">
        <v>740</v>
      </c>
      <c r="C24" s="18">
        <f>870211039+200298599+783761122+6022316+75643+144709095+428529747+1147196244+4713305+1152924156+10330343+780543450+3884838+1150262436</f>
        <v>6683462333</v>
      </c>
      <c r="D24" t="s">
        <v>870</v>
      </c>
      <c r="W24" s="3"/>
    </row>
    <row r="25" spans="2:23" x14ac:dyDescent="0.25">
      <c r="B25" t="s">
        <v>729</v>
      </c>
      <c r="C25" s="18">
        <f>197879166+1279551615+152170350+1570061376+209382573+1335134504+148562541+1419515977</f>
        <v>6312258102</v>
      </c>
      <c r="D25" t="s">
        <v>841</v>
      </c>
      <c r="W25" s="3"/>
    </row>
    <row r="26" spans="2:23" x14ac:dyDescent="0.25">
      <c r="B26" t="s">
        <v>741</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c r="W26" s="3"/>
    </row>
    <row r="27" spans="2:23" x14ac:dyDescent="0.25">
      <c r="B27" t="s">
        <v>849</v>
      </c>
      <c r="C27" s="18">
        <f>69592514+223430527+1690270+8038652+310327+811168420+400645484+176028093+125869622+1210455843+7258142+1129814+10801058+7294991+896967+185227405+41911466+101287097+192589763+87099047+167302210+36945929+2968186+2169088+89076850+740617468+14666056+37205131</f>
        <v>4753676420</v>
      </c>
      <c r="W27" s="3"/>
    </row>
    <row r="28" spans="2:23" x14ac:dyDescent="0.25">
      <c r="B28" t="s">
        <v>722</v>
      </c>
      <c r="C28" s="18">
        <f>6667680+281044637+880000000+640000000</f>
        <v>1807712317</v>
      </c>
      <c r="D28" t="s">
        <v>724</v>
      </c>
      <c r="N28" t="s">
        <v>723</v>
      </c>
      <c r="W28" s="3"/>
    </row>
    <row r="29" spans="2:23" x14ac:dyDescent="0.25">
      <c r="B29" t="s">
        <v>735</v>
      </c>
      <c r="W29" s="3"/>
    </row>
    <row r="30" spans="2:23" x14ac:dyDescent="0.25">
      <c r="B30" t="s">
        <v>736</v>
      </c>
      <c r="W30" s="3"/>
    </row>
    <row r="31" spans="2:23" x14ac:dyDescent="0.25">
      <c r="B31" t="s">
        <v>1832</v>
      </c>
      <c r="U31" s="3">
        <v>4318.743453</v>
      </c>
      <c r="V31" s="3">
        <v>5234.5245999999997</v>
      </c>
      <c r="W31" s="3">
        <v>5751.331236</v>
      </c>
    </row>
    <row r="32" spans="2:23" x14ac:dyDescent="0.25">
      <c r="B32" t="s">
        <v>737</v>
      </c>
    </row>
    <row r="33" spans="2:2" x14ac:dyDescent="0.25">
      <c r="B33" t="s">
        <v>739</v>
      </c>
    </row>
    <row r="34" spans="2:2" x14ac:dyDescent="0.25">
      <c r="B34" t="s">
        <v>742</v>
      </c>
    </row>
    <row r="35" spans="2:2" x14ac:dyDescent="0.25">
      <c r="B35" t="s">
        <v>743</v>
      </c>
    </row>
    <row r="36" spans="2:2" x14ac:dyDescent="0.25">
      <c r="B36" t="s">
        <v>1247</v>
      </c>
    </row>
    <row r="37" spans="2:2" x14ac:dyDescent="0.25">
      <c r="B37" t="s">
        <v>744</v>
      </c>
    </row>
    <row r="38" spans="2:2" x14ac:dyDescent="0.25">
      <c r="B38" t="s">
        <v>745</v>
      </c>
    </row>
    <row r="39" spans="2:2" x14ac:dyDescent="0.25">
      <c r="B39" t="s">
        <v>746</v>
      </c>
    </row>
    <row r="40" spans="2:2" x14ac:dyDescent="0.25">
      <c r="B40" t="s">
        <v>844</v>
      </c>
    </row>
    <row r="41" spans="2:2" x14ac:dyDescent="0.25">
      <c r="B41" t="s">
        <v>845</v>
      </c>
    </row>
    <row r="42" spans="2:2" x14ac:dyDescent="0.25">
      <c r="B42" t="s">
        <v>846</v>
      </c>
    </row>
    <row r="43" spans="2:2" x14ac:dyDescent="0.25">
      <c r="B43" t="s">
        <v>847</v>
      </c>
    </row>
    <row r="44" spans="2:2" x14ac:dyDescent="0.25">
      <c r="B44" t="s">
        <v>848</v>
      </c>
    </row>
    <row r="45" spans="2:2" x14ac:dyDescent="0.25">
      <c r="B45" t="s">
        <v>851</v>
      </c>
    </row>
    <row r="46" spans="2:2" x14ac:dyDescent="0.25">
      <c r="B46" t="s">
        <v>852</v>
      </c>
    </row>
    <row r="47" spans="2:2" x14ac:dyDescent="0.25">
      <c r="B47" t="s">
        <v>853</v>
      </c>
    </row>
    <row r="48" spans="2:2" x14ac:dyDescent="0.25">
      <c r="B48" t="s">
        <v>854</v>
      </c>
    </row>
    <row r="49" spans="2:2" x14ac:dyDescent="0.25">
      <c r="B49" t="s">
        <v>855</v>
      </c>
    </row>
    <row r="50" spans="2:2" x14ac:dyDescent="0.25">
      <c r="B50" t="s">
        <v>856</v>
      </c>
    </row>
    <row r="51" spans="2:2" x14ac:dyDescent="0.25">
      <c r="B51" t="s">
        <v>857</v>
      </c>
    </row>
    <row r="52" spans="2:2" x14ac:dyDescent="0.25">
      <c r="B52" t="s">
        <v>858</v>
      </c>
    </row>
    <row r="53" spans="2:2" x14ac:dyDescent="0.25">
      <c r="B53" t="s">
        <v>48</v>
      </c>
    </row>
    <row r="54" spans="2:2" x14ac:dyDescent="0.25">
      <c r="B54" t="s">
        <v>859</v>
      </c>
    </row>
    <row r="55" spans="2:2" x14ac:dyDescent="0.25">
      <c r="B55" t="s">
        <v>860</v>
      </c>
    </row>
    <row r="56" spans="2:2" x14ac:dyDescent="0.25">
      <c r="B56" t="s">
        <v>861</v>
      </c>
    </row>
    <row r="57" spans="2:2" x14ac:dyDescent="0.25">
      <c r="B57" t="s">
        <v>862</v>
      </c>
    </row>
    <row r="58" spans="2:2" x14ac:dyDescent="0.25">
      <c r="B58" t="s">
        <v>863</v>
      </c>
    </row>
    <row r="59" spans="2:2" x14ac:dyDescent="0.25">
      <c r="B59" t="s">
        <v>864</v>
      </c>
    </row>
    <row r="60" spans="2:2" x14ac:dyDescent="0.25">
      <c r="B60" t="s">
        <v>865</v>
      </c>
    </row>
    <row r="61" spans="2:2" x14ac:dyDescent="0.25">
      <c r="B61" t="s">
        <v>866</v>
      </c>
    </row>
    <row r="62" spans="2:2" x14ac:dyDescent="0.25">
      <c r="B62" t="s">
        <v>867</v>
      </c>
    </row>
    <row r="63" spans="2:2" x14ac:dyDescent="0.25">
      <c r="B63" t="s">
        <v>868</v>
      </c>
    </row>
    <row r="64" spans="2:2" x14ac:dyDescent="0.25">
      <c r="B64" t="s">
        <v>869</v>
      </c>
    </row>
    <row r="65" spans="2:2" ht="13" x14ac:dyDescent="0.3">
      <c r="B65" s="20" t="s">
        <v>873</v>
      </c>
    </row>
    <row r="66" spans="2:2" ht="13" x14ac:dyDescent="0.3">
      <c r="B66" s="20" t="s">
        <v>874</v>
      </c>
    </row>
    <row r="67" spans="2:2" ht="13" x14ac:dyDescent="0.3">
      <c r="B67" s="20" t="s">
        <v>875</v>
      </c>
    </row>
    <row r="68" spans="2:2" ht="13" x14ac:dyDescent="0.3">
      <c r="B68" s="20" t="s">
        <v>876</v>
      </c>
    </row>
    <row r="69" spans="2:2" ht="13" x14ac:dyDescent="0.3">
      <c r="B69" s="20" t="s">
        <v>76</v>
      </c>
    </row>
    <row r="70" spans="2:2" ht="13" x14ac:dyDescent="0.3">
      <c r="B70" s="20" t="s">
        <v>877</v>
      </c>
    </row>
    <row r="71" spans="2:2" ht="13" x14ac:dyDescent="0.3">
      <c r="B71" s="20" t="s">
        <v>878</v>
      </c>
    </row>
    <row r="72" spans="2:2" ht="13" x14ac:dyDescent="0.3">
      <c r="B72" s="20" t="s">
        <v>879</v>
      </c>
    </row>
    <row r="73" spans="2:2" ht="13" x14ac:dyDescent="0.3">
      <c r="B73" s="20" t="s">
        <v>880</v>
      </c>
    </row>
    <row r="74" spans="2:2" ht="13" x14ac:dyDescent="0.3">
      <c r="B74" s="20" t="s">
        <v>881</v>
      </c>
    </row>
    <row r="75" spans="2:2" ht="13" x14ac:dyDescent="0.3">
      <c r="B75" s="20" t="s">
        <v>882</v>
      </c>
    </row>
    <row r="76" spans="2:2" ht="13" x14ac:dyDescent="0.3">
      <c r="B76" s="20" t="s">
        <v>79</v>
      </c>
    </row>
    <row r="77" spans="2:2" ht="13" x14ac:dyDescent="0.3">
      <c r="B77" s="20" t="s">
        <v>883</v>
      </c>
    </row>
    <row r="78" spans="2:2" ht="13" x14ac:dyDescent="0.3">
      <c r="B78" s="20" t="s">
        <v>884</v>
      </c>
    </row>
    <row r="79" spans="2:2" x14ac:dyDescent="0.25">
      <c r="B79" t="s">
        <v>1291</v>
      </c>
    </row>
    <row r="80" spans="2:2" ht="13" x14ac:dyDescent="0.3">
      <c r="B80" s="20" t="s">
        <v>1475</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Y353"/>
  <sheetViews>
    <sheetView zoomScale="145" zoomScaleNormal="145" workbookViewId="0">
      <pane xSplit="2" ySplit="2" topLeftCell="C351" activePane="bottomRight" state="frozen"/>
      <selection pane="topRight" activeCell="C1" sqref="C1"/>
      <selection pane="bottomLeft" activeCell="A3" sqref="A3"/>
      <selection pane="bottomRight" activeCell="Q354" sqref="Q354"/>
    </sheetView>
  </sheetViews>
  <sheetFormatPr defaultColWidth="8.7265625" defaultRowHeight="12.5" x14ac:dyDescent="0.25"/>
  <cols>
    <col min="1" max="1" width="4.7265625" bestFit="1" customWidth="1"/>
    <col min="2" max="2" width="17" bestFit="1" customWidth="1"/>
    <col min="3" max="3" width="11.453125" bestFit="1" customWidth="1"/>
    <col min="16" max="16" width="11.54296875" customWidth="1"/>
    <col min="17" max="20" width="11.54296875" style="18" customWidth="1"/>
    <col min="22" max="22" width="10.54296875" style="18" customWidth="1"/>
    <col min="23" max="23" width="8.7265625" style="18"/>
    <col min="24" max="24" width="11.54296875" style="18" customWidth="1"/>
    <col min="25" max="25" width="8.7265625" style="18"/>
  </cols>
  <sheetData>
    <row r="1" spans="1:24" x14ac:dyDescent="0.25">
      <c r="A1" t="s">
        <v>75</v>
      </c>
      <c r="P1" s="18">
        <f>SUM(P3:P450)</f>
        <v>21326524.000011005</v>
      </c>
      <c r="Q1" s="18">
        <f>SUM(Q3:Q450)</f>
        <v>41589181.488281846</v>
      </c>
      <c r="R1" s="18">
        <f>SUM(R3:R450)</f>
        <v>43760173.396351054</v>
      </c>
      <c r="S1" s="18">
        <f>SUM(S3:S450)</f>
        <v>44604942.787914015</v>
      </c>
      <c r="T1" s="18">
        <f t="shared" ref="T1" si="0">SUM(T3:T450)</f>
        <v>36791525.491282031</v>
      </c>
      <c r="V1" s="18">
        <f>SUM(V3:V308)</f>
        <v>2748014</v>
      </c>
      <c r="W1" s="18">
        <f>SUM(W3:W308)</f>
        <v>405812</v>
      </c>
      <c r="X1" s="18">
        <f>SUM(X3:X352)</f>
        <v>139608</v>
      </c>
    </row>
    <row r="2" spans="1:24" x14ac:dyDescent="0.25">
      <c r="B2" t="s">
        <v>0</v>
      </c>
      <c r="C2" t="s">
        <v>15</v>
      </c>
      <c r="D2" t="s">
        <v>16</v>
      </c>
      <c r="E2" s="1" t="s">
        <v>7</v>
      </c>
      <c r="F2" s="1" t="s">
        <v>8</v>
      </c>
      <c r="G2" s="1" t="s">
        <v>9</v>
      </c>
      <c r="H2" s="1" t="s">
        <v>10</v>
      </c>
      <c r="I2" s="3" t="s">
        <v>11</v>
      </c>
      <c r="J2" s="3" t="s">
        <v>13</v>
      </c>
      <c r="K2" s="3" t="s">
        <v>12</v>
      </c>
      <c r="L2" s="3" t="s">
        <v>14</v>
      </c>
      <c r="M2" s="3" t="s">
        <v>230</v>
      </c>
      <c r="N2" s="3" t="s">
        <v>231</v>
      </c>
      <c r="O2" s="3" t="s">
        <v>647</v>
      </c>
      <c r="P2" s="3" t="s">
        <v>648</v>
      </c>
      <c r="Q2" s="3" t="s">
        <v>1108</v>
      </c>
      <c r="R2" s="3" t="s">
        <v>1109</v>
      </c>
      <c r="S2" s="3" t="s">
        <v>1110</v>
      </c>
      <c r="T2" s="3" t="s">
        <v>1111</v>
      </c>
      <c r="U2" s="3" t="s">
        <v>709</v>
      </c>
      <c r="V2" s="3" t="s">
        <v>1482</v>
      </c>
      <c r="W2" s="3" t="s">
        <v>1733</v>
      </c>
      <c r="X2" s="3" t="s">
        <v>1734</v>
      </c>
    </row>
    <row r="3" spans="1:24" x14ac:dyDescent="0.25">
      <c r="A3">
        <v>1</v>
      </c>
      <c r="B3" s="2" t="s">
        <v>657</v>
      </c>
      <c r="P3" s="17">
        <v>4569610.3104980001</v>
      </c>
      <c r="Q3" s="18">
        <v>5048704.8656139998</v>
      </c>
      <c r="R3" s="18">
        <v>5205557.821184</v>
      </c>
      <c r="S3" s="38">
        <v>5584478.8897050004</v>
      </c>
      <c r="T3" s="18">
        <v>5741207.2457269998</v>
      </c>
      <c r="V3" s="18">
        <v>20000</v>
      </c>
      <c r="W3" s="18">
        <v>745</v>
      </c>
      <c r="X3" s="18">
        <v>230</v>
      </c>
    </row>
    <row r="4" spans="1:24" x14ac:dyDescent="0.25">
      <c r="A4">
        <f>+A3+1</f>
        <v>2</v>
      </c>
      <c r="B4" s="2" t="s">
        <v>79</v>
      </c>
      <c r="C4" t="s">
        <v>656</v>
      </c>
      <c r="P4" s="17">
        <v>3921945.8484589998</v>
      </c>
      <c r="Q4" s="18">
        <v>4295718.8039999995</v>
      </c>
      <c r="R4" s="18">
        <v>4418304.7339199996</v>
      </c>
      <c r="S4" s="18">
        <v>4763739.1781599997</v>
      </c>
      <c r="T4" s="18">
        <v>4941972.9192190003</v>
      </c>
      <c r="V4" s="18">
        <v>18400</v>
      </c>
      <c r="W4" s="18">
        <v>6677</v>
      </c>
      <c r="X4" s="18">
        <v>2239</v>
      </c>
    </row>
    <row r="5" spans="1:24" x14ac:dyDescent="0.25">
      <c r="A5">
        <f>+A4+1</f>
        <v>3</v>
      </c>
      <c r="B5" s="39" t="s">
        <v>1510</v>
      </c>
      <c r="P5" s="17"/>
      <c r="R5" s="18">
        <v>3297007.03</v>
      </c>
      <c r="S5" s="18">
        <v>3084048.11</v>
      </c>
      <c r="T5" s="18">
        <v>2901984.0959999999</v>
      </c>
      <c r="V5" s="18">
        <v>68</v>
      </c>
      <c r="W5" s="18">
        <v>31</v>
      </c>
      <c r="X5" s="18">
        <v>0</v>
      </c>
    </row>
    <row r="6" spans="1:24" x14ac:dyDescent="0.25">
      <c r="A6">
        <f>+A5+1</f>
        <v>4</v>
      </c>
      <c r="B6" s="2" t="s">
        <v>82</v>
      </c>
      <c r="P6" s="17">
        <v>2055899.0158520001</v>
      </c>
      <c r="Q6" s="18">
        <v>2237183.5338409999</v>
      </c>
      <c r="R6" s="18">
        <v>2288513.2716049999</v>
      </c>
      <c r="S6" s="18">
        <v>2457609.9227229999</v>
      </c>
      <c r="V6" s="18">
        <v>46000</v>
      </c>
      <c r="W6" s="18">
        <v>6239</v>
      </c>
      <c r="X6" s="18">
        <v>1621</v>
      </c>
    </row>
    <row r="7" spans="1:24" x14ac:dyDescent="0.25">
      <c r="A7">
        <f t="shared" ref="A7:A122" si="1">+A6+1</f>
        <v>5</v>
      </c>
      <c r="B7" s="2" t="s">
        <v>76</v>
      </c>
      <c r="P7" s="17">
        <v>1301824.856715</v>
      </c>
      <c r="Q7" s="18">
        <f>1489547.690152+100859.866478</f>
        <v>1590407.55663</v>
      </c>
      <c r="R7" s="18">
        <f>1562348.89878+101140.231557</f>
        <v>1663489.1303369999</v>
      </c>
      <c r="S7" s="18">
        <f>1643409.181326+110317.770819</f>
        <v>1753726.952145</v>
      </c>
      <c r="T7" s="18">
        <f>1675616.916343+107040.011658</f>
        <v>1782656.9280010001</v>
      </c>
      <c r="U7" t="s">
        <v>1117</v>
      </c>
      <c r="V7" s="18">
        <v>74000</v>
      </c>
      <c r="W7" s="18">
        <v>2415</v>
      </c>
      <c r="X7" s="18">
        <v>1153</v>
      </c>
    </row>
    <row r="8" spans="1:24" x14ac:dyDescent="0.25">
      <c r="A8">
        <f t="shared" si="1"/>
        <v>6</v>
      </c>
      <c r="B8" s="2" t="s">
        <v>77</v>
      </c>
      <c r="P8" s="17">
        <v>1134780.9962540001</v>
      </c>
      <c r="Q8" s="18">
        <v>1246178.634816</v>
      </c>
      <c r="R8" s="18">
        <v>1292289.902852</v>
      </c>
      <c r="S8" s="18">
        <v>1379356.1227249999</v>
      </c>
      <c r="V8" s="18">
        <v>80000</v>
      </c>
      <c r="W8" s="18">
        <v>28653</v>
      </c>
      <c r="X8" s="18">
        <v>9385</v>
      </c>
    </row>
    <row r="9" spans="1:24" x14ac:dyDescent="0.25">
      <c r="A9">
        <f t="shared" si="1"/>
        <v>7</v>
      </c>
      <c r="B9" s="2" t="s">
        <v>674</v>
      </c>
      <c r="P9" s="17">
        <v>1040788.602081</v>
      </c>
      <c r="Q9" s="18">
        <v>1182176.1407679999</v>
      </c>
      <c r="R9" s="18">
        <v>1217337.999355</v>
      </c>
      <c r="S9" s="18">
        <v>1315995.3002889999</v>
      </c>
      <c r="T9" s="18">
        <v>1342979.0938009999</v>
      </c>
      <c r="V9" s="18">
        <v>310000</v>
      </c>
      <c r="W9" s="18">
        <v>29804</v>
      </c>
      <c r="X9" s="18">
        <v>10631</v>
      </c>
    </row>
    <row r="10" spans="1:24" x14ac:dyDescent="0.25">
      <c r="A10">
        <f t="shared" si="1"/>
        <v>8</v>
      </c>
      <c r="B10" s="2" t="s">
        <v>84</v>
      </c>
      <c r="P10" s="17">
        <v>955851.22653400002</v>
      </c>
      <c r="Q10" s="18">
        <v>1081305.984797</v>
      </c>
      <c r="R10" s="18">
        <v>1139478.5315179999</v>
      </c>
      <c r="S10" s="18">
        <v>1234954.2116789999</v>
      </c>
      <c r="T10" s="18">
        <v>1290565.4064130001</v>
      </c>
      <c r="V10" s="18">
        <v>170</v>
      </c>
      <c r="W10" s="18">
        <v>82</v>
      </c>
      <c r="X10" s="18">
        <v>48</v>
      </c>
    </row>
    <row r="11" spans="1:24" x14ac:dyDescent="0.25">
      <c r="A11">
        <f t="shared" si="1"/>
        <v>9</v>
      </c>
      <c r="B11" t="s">
        <v>708</v>
      </c>
      <c r="Q11" s="18">
        <v>1067158.623318</v>
      </c>
      <c r="R11" s="18">
        <v>1131669.0128500001</v>
      </c>
      <c r="T11" s="18">
        <v>1204606.5588430001</v>
      </c>
      <c r="V11" s="18">
        <v>213000</v>
      </c>
      <c r="W11" s="18">
        <v>17881</v>
      </c>
      <c r="X11" s="18">
        <v>6323</v>
      </c>
    </row>
    <row r="12" spans="1:24" x14ac:dyDescent="0.25">
      <c r="A12">
        <f t="shared" si="1"/>
        <v>10</v>
      </c>
      <c r="B12" s="2" t="s">
        <v>80</v>
      </c>
      <c r="P12" s="17">
        <v>744231.402</v>
      </c>
      <c r="V12" s="18">
        <v>7868</v>
      </c>
      <c r="W12" s="18">
        <v>1675</v>
      </c>
      <c r="X12" s="18">
        <v>827</v>
      </c>
    </row>
    <row r="13" spans="1:24" x14ac:dyDescent="0.25">
      <c r="A13">
        <f t="shared" si="1"/>
        <v>11</v>
      </c>
      <c r="B13" s="2" t="s">
        <v>675</v>
      </c>
      <c r="P13" s="17">
        <v>572290.29793500004</v>
      </c>
      <c r="Q13" s="18">
        <v>633630.60495299997</v>
      </c>
      <c r="R13" s="18">
        <v>669352.18946599995</v>
      </c>
      <c r="S13" s="18">
        <v>715900.89712400001</v>
      </c>
      <c r="T13" s="18">
        <v>762050.18739400001</v>
      </c>
      <c r="V13" s="18">
        <v>501</v>
      </c>
      <c r="W13" s="18">
        <v>717</v>
      </c>
      <c r="X13" s="18">
        <v>372</v>
      </c>
    </row>
    <row r="14" spans="1:24" x14ac:dyDescent="0.25">
      <c r="A14">
        <f t="shared" si="1"/>
        <v>12</v>
      </c>
      <c r="B14" s="2" t="s">
        <v>88</v>
      </c>
      <c r="P14" s="17">
        <v>557050.34983700002</v>
      </c>
      <c r="Q14" s="18">
        <v>564153.28303599998</v>
      </c>
      <c r="R14" s="18">
        <v>591348.89451400004</v>
      </c>
      <c r="S14" s="18">
        <v>621073.61567199999</v>
      </c>
      <c r="T14" s="18">
        <v>634402.19089600001</v>
      </c>
      <c r="V14" s="18">
        <v>45300</v>
      </c>
      <c r="W14" s="18">
        <v>17273</v>
      </c>
      <c r="X14" s="18">
        <v>5516</v>
      </c>
    </row>
    <row r="15" spans="1:24" x14ac:dyDescent="0.25">
      <c r="A15">
        <f t="shared" si="1"/>
        <v>13</v>
      </c>
      <c r="B15" s="2" t="s">
        <v>671</v>
      </c>
      <c r="P15" s="17">
        <v>552459.06116399996</v>
      </c>
      <c r="Q15" s="18">
        <v>578764.88933399995</v>
      </c>
      <c r="R15" s="18">
        <v>593475.30902000004</v>
      </c>
      <c r="S15" s="18">
        <v>610871.34267000004</v>
      </c>
      <c r="V15" s="18">
        <v>23000</v>
      </c>
      <c r="W15" s="18">
        <v>1534</v>
      </c>
      <c r="X15" s="18">
        <v>410</v>
      </c>
    </row>
    <row r="16" spans="1:24" x14ac:dyDescent="0.25">
      <c r="A16">
        <f t="shared" si="1"/>
        <v>14</v>
      </c>
      <c r="B16" s="2" t="s">
        <v>659</v>
      </c>
      <c r="P16" s="17">
        <v>535768.59564800002</v>
      </c>
      <c r="Q16" s="18">
        <v>564440.27816300001</v>
      </c>
      <c r="R16" s="18">
        <v>560181.24282399996</v>
      </c>
      <c r="S16" s="18">
        <v>570973.07421400002</v>
      </c>
      <c r="T16" s="18">
        <v>546058.78797900002</v>
      </c>
      <c r="V16" s="18">
        <v>1800</v>
      </c>
      <c r="W16" s="18">
        <v>1938</v>
      </c>
      <c r="X16" s="18">
        <v>798</v>
      </c>
    </row>
    <row r="17" spans="1:24" x14ac:dyDescent="0.25">
      <c r="A17">
        <f t="shared" si="1"/>
        <v>15</v>
      </c>
      <c r="B17" s="2" t="s">
        <v>87</v>
      </c>
      <c r="P17" s="17">
        <v>446093.60522999999</v>
      </c>
      <c r="Q17" s="18">
        <v>604232.75452700001</v>
      </c>
      <c r="R17" s="18">
        <v>613272.71514500002</v>
      </c>
      <c r="S17" s="18">
        <v>645047.22162700002</v>
      </c>
      <c r="T17" s="18">
        <v>658706.12886199995</v>
      </c>
      <c r="V17" s="18">
        <v>8800</v>
      </c>
      <c r="W17" s="18">
        <v>673</v>
      </c>
      <c r="X17" s="18">
        <v>212</v>
      </c>
    </row>
    <row r="18" spans="1:24" x14ac:dyDescent="0.25">
      <c r="A18">
        <f t="shared" si="1"/>
        <v>16</v>
      </c>
      <c r="B18" t="s">
        <v>1136</v>
      </c>
      <c r="Q18" s="18">
        <f>433157.805036+72778.185022</f>
        <v>505935.99005799997</v>
      </c>
      <c r="R18" s="18">
        <v>524874.08782799996</v>
      </c>
      <c r="S18" s="18">
        <v>523952.37018799997</v>
      </c>
      <c r="T18" s="18">
        <v>542443.40071099997</v>
      </c>
      <c r="U18" t="s">
        <v>1564</v>
      </c>
      <c r="V18" s="18">
        <v>33000</v>
      </c>
      <c r="W18" s="18">
        <v>1524</v>
      </c>
      <c r="X18" s="18">
        <v>544</v>
      </c>
    </row>
    <row r="19" spans="1:24" x14ac:dyDescent="0.25">
      <c r="A19">
        <f t="shared" si="1"/>
        <v>17</v>
      </c>
      <c r="B19" t="s">
        <v>1129</v>
      </c>
      <c r="Q19" s="18">
        <v>520682.601693</v>
      </c>
      <c r="R19" s="18">
        <v>527503.39329499996</v>
      </c>
      <c r="S19" s="18">
        <v>537721.40910199995</v>
      </c>
      <c r="T19" s="18">
        <v>541436.28154300002</v>
      </c>
      <c r="V19" s="18">
        <v>53400</v>
      </c>
      <c r="W19" s="18">
        <v>5090</v>
      </c>
      <c r="X19" s="18">
        <v>1261</v>
      </c>
    </row>
    <row r="20" spans="1:24" x14ac:dyDescent="0.25">
      <c r="A20">
        <f t="shared" si="1"/>
        <v>18</v>
      </c>
      <c r="B20" s="2" t="s">
        <v>707</v>
      </c>
      <c r="P20" s="17">
        <v>420237.00497399998</v>
      </c>
      <c r="Q20" s="18">
        <v>465561.08934100001</v>
      </c>
      <c r="R20" s="18">
        <v>472838.16818199999</v>
      </c>
      <c r="S20" s="18">
        <v>517950.02921399998</v>
      </c>
      <c r="T20" s="18">
        <v>540896.54611200001</v>
      </c>
      <c r="V20" s="18">
        <v>8490</v>
      </c>
      <c r="W20" s="18">
        <v>3276</v>
      </c>
      <c r="X20" s="18">
        <v>1232</v>
      </c>
    </row>
    <row r="21" spans="1:24" ht="13" x14ac:dyDescent="0.3">
      <c r="A21">
        <f t="shared" si="1"/>
        <v>19</v>
      </c>
      <c r="B21" t="s">
        <v>1513</v>
      </c>
      <c r="P21" s="17"/>
      <c r="Q21" s="18">
        <v>493899.28272900003</v>
      </c>
      <c r="R21" s="18">
        <v>485733.68106199999</v>
      </c>
      <c r="S21" s="18">
        <v>520973.56381800002</v>
      </c>
      <c r="T21" s="18">
        <v>532304.80157300003</v>
      </c>
      <c r="V21" s="42" t="s">
        <v>1736</v>
      </c>
      <c r="W21" s="42" t="s">
        <v>1736</v>
      </c>
      <c r="X21" s="42" t="s">
        <v>1736</v>
      </c>
    </row>
    <row r="22" spans="1:24" x14ac:dyDescent="0.25">
      <c r="A22">
        <f t="shared" si="1"/>
        <v>20</v>
      </c>
      <c r="B22" t="s">
        <v>92</v>
      </c>
      <c r="Q22" s="18">
        <v>438142.30900000001</v>
      </c>
      <c r="R22" s="18">
        <v>441274.94</v>
      </c>
      <c r="S22" s="18">
        <v>489789.59299999999</v>
      </c>
      <c r="V22" s="18">
        <v>94838</v>
      </c>
      <c r="W22" s="18">
        <v>7606</v>
      </c>
      <c r="X22" s="18">
        <v>2896</v>
      </c>
    </row>
    <row r="23" spans="1:24" ht="13" x14ac:dyDescent="0.3">
      <c r="A23">
        <f t="shared" si="1"/>
        <v>21</v>
      </c>
      <c r="B23" t="s">
        <v>1514</v>
      </c>
      <c r="Q23" s="18">
        <v>441983.43171600002</v>
      </c>
      <c r="R23" s="18">
        <v>455741.773354</v>
      </c>
      <c r="S23" s="18">
        <v>481142.91263899999</v>
      </c>
      <c r="T23" s="18">
        <v>486376.918542</v>
      </c>
      <c r="V23" s="42" t="s">
        <v>1736</v>
      </c>
      <c r="W23" s="42" t="s">
        <v>1736</v>
      </c>
      <c r="X23" s="42" t="s">
        <v>1736</v>
      </c>
    </row>
    <row r="24" spans="1:24" x14ac:dyDescent="0.25">
      <c r="A24">
        <f t="shared" si="1"/>
        <v>22</v>
      </c>
      <c r="B24" t="s">
        <v>1120</v>
      </c>
      <c r="P24" s="18">
        <v>389721.04003099998</v>
      </c>
      <c r="Q24" s="18">
        <v>425343.80741499999</v>
      </c>
      <c r="R24" s="18">
        <v>446726.81383300002</v>
      </c>
      <c r="S24" s="18">
        <v>479842.25067699997</v>
      </c>
      <c r="T24" s="18">
        <v>377937.56692100002</v>
      </c>
      <c r="V24" s="18">
        <v>11956</v>
      </c>
      <c r="W24" s="18">
        <v>1429</v>
      </c>
      <c r="X24" s="18">
        <v>569</v>
      </c>
    </row>
    <row r="25" spans="1:24" x14ac:dyDescent="0.25">
      <c r="A25">
        <f t="shared" si="1"/>
        <v>23</v>
      </c>
      <c r="B25" s="39" t="s">
        <v>1511</v>
      </c>
      <c r="P25" s="17"/>
      <c r="Q25" s="18">
        <v>2320531.343756</v>
      </c>
      <c r="R25" s="18">
        <v>24027.773851000002</v>
      </c>
      <c r="S25" s="18">
        <v>25282.260823000001</v>
      </c>
      <c r="V25" s="18">
        <v>10000</v>
      </c>
      <c r="W25" s="18">
        <v>159</v>
      </c>
      <c r="X25" s="18">
        <v>48</v>
      </c>
    </row>
    <row r="26" spans="1:24" x14ac:dyDescent="0.25">
      <c r="A26">
        <f t="shared" si="1"/>
        <v>24</v>
      </c>
      <c r="B26" t="s">
        <v>1515</v>
      </c>
      <c r="Q26" s="18">
        <v>415111.87051199999</v>
      </c>
      <c r="R26" s="18">
        <v>412472.418099</v>
      </c>
      <c r="S26" s="18">
        <v>441740.45741099998</v>
      </c>
      <c r="T26" s="18">
        <v>443369.42776200001</v>
      </c>
      <c r="V26" s="18">
        <v>226000</v>
      </c>
      <c r="W26" s="18">
        <v>7692</v>
      </c>
      <c r="X26" s="18">
        <v>2652</v>
      </c>
    </row>
    <row r="27" spans="1:24" x14ac:dyDescent="0.25">
      <c r="A27">
        <f t="shared" si="1"/>
        <v>25</v>
      </c>
      <c r="B27" s="2" t="s">
        <v>666</v>
      </c>
      <c r="P27" s="17">
        <v>342467.29001499998</v>
      </c>
      <c r="Q27" s="18">
        <v>369363.96272700001</v>
      </c>
      <c r="R27" s="18">
        <v>382853.366331</v>
      </c>
      <c r="S27" s="18">
        <v>412281.37746699998</v>
      </c>
      <c r="T27" s="18">
        <v>416375.320611</v>
      </c>
      <c r="V27" s="18">
        <v>1500</v>
      </c>
      <c r="W27" s="18">
        <v>525</v>
      </c>
      <c r="X27" s="18">
        <v>176</v>
      </c>
    </row>
    <row r="28" spans="1:24" x14ac:dyDescent="0.25">
      <c r="A28">
        <f t="shared" si="1"/>
        <v>26</v>
      </c>
      <c r="B28" s="2" t="s">
        <v>672</v>
      </c>
      <c r="P28" s="17">
        <v>334075.07418200001</v>
      </c>
      <c r="Q28" s="18">
        <v>401538.67780399998</v>
      </c>
      <c r="R28" s="18">
        <v>404795.01013800001</v>
      </c>
      <c r="S28" s="18">
        <v>459013.25620300003</v>
      </c>
      <c r="V28" s="18">
        <v>115038</v>
      </c>
      <c r="W28" s="18">
        <v>12470</v>
      </c>
      <c r="X28" s="18">
        <v>4287</v>
      </c>
    </row>
    <row r="29" spans="1:24" x14ac:dyDescent="0.25">
      <c r="A29">
        <f t="shared" si="1"/>
        <v>27</v>
      </c>
      <c r="B29" t="s">
        <v>89</v>
      </c>
      <c r="Q29" s="18">
        <v>363355.816307</v>
      </c>
      <c r="R29" s="18">
        <v>369568.701489</v>
      </c>
      <c r="S29" s="18">
        <v>389936.84871300001</v>
      </c>
      <c r="V29" s="18">
        <v>13800</v>
      </c>
      <c r="W29" s="18">
        <v>1816</v>
      </c>
      <c r="X29" s="18">
        <v>705</v>
      </c>
    </row>
    <row r="30" spans="1:24" ht="13" x14ac:dyDescent="0.3">
      <c r="A30">
        <f t="shared" si="1"/>
        <v>28</v>
      </c>
      <c r="B30" t="s">
        <v>1516</v>
      </c>
      <c r="Q30" s="18">
        <v>281288.54391200002</v>
      </c>
      <c r="R30" s="18">
        <v>348554.16528700001</v>
      </c>
      <c r="S30" s="18">
        <v>389254.74512400001</v>
      </c>
      <c r="V30" s="42" t="s">
        <v>1736</v>
      </c>
      <c r="W30" s="42" t="s">
        <v>1736</v>
      </c>
      <c r="X30" s="42" t="s">
        <v>1736</v>
      </c>
    </row>
    <row r="31" spans="1:24" x14ac:dyDescent="0.25">
      <c r="A31">
        <f t="shared" si="1"/>
        <v>29</v>
      </c>
      <c r="B31" s="2" t="s">
        <v>663</v>
      </c>
      <c r="P31" s="17">
        <v>259873.04769499999</v>
      </c>
      <c r="Q31" s="18">
        <v>282596.54644300003</v>
      </c>
      <c r="R31" s="18">
        <v>286761.74871999997</v>
      </c>
      <c r="S31" s="18">
        <v>297739.25602899998</v>
      </c>
      <c r="T31" s="18">
        <v>294660.85573700001</v>
      </c>
      <c r="V31" s="18">
        <v>4707</v>
      </c>
      <c r="W31" s="18">
        <v>2106</v>
      </c>
      <c r="X31" s="18">
        <v>767</v>
      </c>
    </row>
    <row r="32" spans="1:24" ht="13" x14ac:dyDescent="0.3">
      <c r="A32">
        <f t="shared" si="1"/>
        <v>30</v>
      </c>
      <c r="B32" s="2" t="s">
        <v>86</v>
      </c>
      <c r="P32" s="17">
        <v>213868.38212200001</v>
      </c>
      <c r="Q32" s="18">
        <v>315819.42618399998</v>
      </c>
      <c r="R32" s="18">
        <v>325270.34935500001</v>
      </c>
      <c r="S32" s="18">
        <v>367698.71866299998</v>
      </c>
      <c r="T32" s="18">
        <v>360138.82420700003</v>
      </c>
      <c r="V32" s="18">
        <v>6400</v>
      </c>
      <c r="X32" s="28">
        <v>500</v>
      </c>
    </row>
    <row r="33" spans="1:24" x14ac:dyDescent="0.25">
      <c r="A33">
        <f t="shared" si="1"/>
        <v>31</v>
      </c>
      <c r="B33" t="s">
        <v>1517</v>
      </c>
      <c r="P33" s="17"/>
      <c r="Q33" s="18">
        <v>329815.74212200003</v>
      </c>
      <c r="R33" s="18">
        <v>344471.79194700002</v>
      </c>
      <c r="S33" s="18">
        <v>227422.668428</v>
      </c>
      <c r="T33" s="18">
        <v>214679.052047</v>
      </c>
      <c r="V33" s="18">
        <v>53597</v>
      </c>
      <c r="W33" s="18">
        <v>4784</v>
      </c>
      <c r="X33" s="18">
        <v>1538</v>
      </c>
    </row>
    <row r="34" spans="1:24" x14ac:dyDescent="0.25">
      <c r="A34">
        <f t="shared" si="1"/>
        <v>32</v>
      </c>
      <c r="B34" s="2" t="s">
        <v>673</v>
      </c>
      <c r="P34" s="17">
        <v>167659.82777</v>
      </c>
      <c r="Q34" s="18">
        <v>183325.04100500001</v>
      </c>
      <c r="R34" s="18">
        <v>186741.47554099999</v>
      </c>
      <c r="S34" s="18">
        <v>195375.194628</v>
      </c>
      <c r="V34" s="18">
        <v>2200</v>
      </c>
      <c r="W34" s="18">
        <v>1322</v>
      </c>
      <c r="X34" s="18">
        <v>516</v>
      </c>
    </row>
    <row r="35" spans="1:24" x14ac:dyDescent="0.25">
      <c r="A35">
        <f t="shared" si="1"/>
        <v>33</v>
      </c>
      <c r="B35" s="2" t="s">
        <v>680</v>
      </c>
      <c r="P35" s="17">
        <v>157303.97482100001</v>
      </c>
      <c r="Q35" s="18">
        <v>172384.64535199999</v>
      </c>
      <c r="R35" s="18">
        <v>166621.695897</v>
      </c>
      <c r="S35" s="18">
        <v>176833.28215000001</v>
      </c>
      <c r="T35" s="18">
        <v>171840.60348399999</v>
      </c>
      <c r="V35" s="18">
        <v>478</v>
      </c>
      <c r="W35" s="18">
        <v>253</v>
      </c>
      <c r="X35" s="18">
        <v>126</v>
      </c>
    </row>
    <row r="36" spans="1:24" x14ac:dyDescent="0.25">
      <c r="A36">
        <f t="shared" si="1"/>
        <v>34</v>
      </c>
      <c r="B36" s="2" t="s">
        <v>658</v>
      </c>
      <c r="P36" s="17">
        <v>135253.96826699999</v>
      </c>
      <c r="Q36" s="18">
        <v>145663.18540300001</v>
      </c>
      <c r="R36" s="18">
        <v>135477.739352</v>
      </c>
      <c r="S36" s="18">
        <v>144293.14772800001</v>
      </c>
      <c r="T36" s="18">
        <v>148152.622206</v>
      </c>
      <c r="V36" s="18">
        <v>103000</v>
      </c>
      <c r="W36" s="18">
        <v>2448</v>
      </c>
      <c r="X36" s="18">
        <v>1152</v>
      </c>
    </row>
    <row r="37" spans="1:24" x14ac:dyDescent="0.25">
      <c r="A37">
        <f t="shared" si="1"/>
        <v>35</v>
      </c>
      <c r="B37" s="2" t="s">
        <v>78</v>
      </c>
      <c r="P37" s="17">
        <v>126191.005081</v>
      </c>
      <c r="Q37" s="18">
        <v>128561.743993</v>
      </c>
      <c r="R37" s="18">
        <v>128363.302882</v>
      </c>
      <c r="S37" s="18">
        <v>133630.523609</v>
      </c>
      <c r="T37" s="18">
        <v>130140.55098099999</v>
      </c>
      <c r="V37" s="18">
        <v>1600</v>
      </c>
      <c r="W37" s="18">
        <v>414</v>
      </c>
      <c r="X37" s="18">
        <v>130</v>
      </c>
    </row>
    <row r="38" spans="1:24" x14ac:dyDescent="0.25">
      <c r="A38">
        <f t="shared" si="1"/>
        <v>36</v>
      </c>
      <c r="B38" s="2" t="s">
        <v>83</v>
      </c>
      <c r="P38" s="17">
        <v>134187.690302</v>
      </c>
      <c r="Q38" s="18">
        <v>149561.31893800001</v>
      </c>
      <c r="R38" s="18">
        <v>156014.794719</v>
      </c>
      <c r="S38" s="18">
        <v>159742.10649199999</v>
      </c>
      <c r="T38" s="18">
        <v>164678.08980300001</v>
      </c>
      <c r="V38" s="18">
        <v>407</v>
      </c>
      <c r="W38" s="18">
        <v>203</v>
      </c>
      <c r="X38" s="18">
        <v>120</v>
      </c>
    </row>
    <row r="39" spans="1:24" x14ac:dyDescent="0.25">
      <c r="A39">
        <f t="shared" si="1"/>
        <v>37</v>
      </c>
      <c r="B39" s="2" t="s">
        <v>678</v>
      </c>
      <c r="P39" s="17">
        <v>86567.032804000002</v>
      </c>
      <c r="Q39" s="18">
        <v>88170.157034000003</v>
      </c>
      <c r="R39" s="18">
        <v>87188.138693999994</v>
      </c>
      <c r="S39" s="18">
        <v>92640.34474</v>
      </c>
      <c r="V39" s="18">
        <v>20600</v>
      </c>
      <c r="W39" s="18">
        <v>4224</v>
      </c>
      <c r="X39" s="18">
        <v>1345</v>
      </c>
    </row>
    <row r="40" spans="1:24" x14ac:dyDescent="0.25">
      <c r="A40">
        <f t="shared" si="1"/>
        <v>38</v>
      </c>
      <c r="B40" s="2" t="s">
        <v>662</v>
      </c>
      <c r="P40" s="17">
        <v>40281.263610000002</v>
      </c>
      <c r="Q40" s="18">
        <v>43424.648504999997</v>
      </c>
      <c r="R40" s="18">
        <v>42193.947480000003</v>
      </c>
      <c r="S40" s="18">
        <v>45540.436890999998</v>
      </c>
      <c r="T40" s="18">
        <v>45656.064585</v>
      </c>
      <c r="V40" s="18">
        <v>2000</v>
      </c>
      <c r="W40" s="18">
        <v>892</v>
      </c>
      <c r="X40" s="18">
        <v>376</v>
      </c>
    </row>
    <row r="41" spans="1:24" x14ac:dyDescent="0.25">
      <c r="A41">
        <f t="shared" si="1"/>
        <v>39</v>
      </c>
      <c r="B41" s="2" t="s">
        <v>669</v>
      </c>
      <c r="P41" s="17">
        <v>27940.746802000001</v>
      </c>
      <c r="Q41" s="18">
        <v>30555.966692000002</v>
      </c>
      <c r="R41" s="18">
        <v>31344.133645000002</v>
      </c>
      <c r="S41" s="18">
        <v>32626.957294</v>
      </c>
      <c r="T41" s="18">
        <v>32846.826077999998</v>
      </c>
      <c r="V41" s="18">
        <v>4930</v>
      </c>
      <c r="W41" s="18">
        <v>0</v>
      </c>
      <c r="X41" s="18">
        <v>0</v>
      </c>
    </row>
    <row r="42" spans="1:24" x14ac:dyDescent="0.25">
      <c r="A42">
        <f t="shared" si="1"/>
        <v>40</v>
      </c>
      <c r="B42" s="2" t="s">
        <v>81</v>
      </c>
      <c r="C42" t="s">
        <v>655</v>
      </c>
      <c r="P42" s="17">
        <v>16890.984818000001</v>
      </c>
      <c r="Q42" s="18">
        <v>14442.819044</v>
      </c>
      <c r="R42" s="18">
        <v>11269.114607</v>
      </c>
      <c r="S42" s="18">
        <v>10934.130427</v>
      </c>
      <c r="T42" s="18">
        <v>12007.736397999999</v>
      </c>
      <c r="V42" s="18">
        <v>150</v>
      </c>
      <c r="W42" s="18">
        <v>36</v>
      </c>
      <c r="X42" s="18">
        <v>11</v>
      </c>
    </row>
    <row r="43" spans="1:24" x14ac:dyDescent="0.25">
      <c r="A43">
        <f t="shared" si="1"/>
        <v>41</v>
      </c>
      <c r="B43" t="s">
        <v>85</v>
      </c>
      <c r="Q43" s="18">
        <v>337048.38834100001</v>
      </c>
      <c r="R43" s="18">
        <v>342043.34735900001</v>
      </c>
      <c r="S43" s="18">
        <v>356179.74121399998</v>
      </c>
      <c r="V43" s="18">
        <v>3000</v>
      </c>
      <c r="W43" s="18">
        <v>1557</v>
      </c>
      <c r="X43" s="18">
        <v>576</v>
      </c>
    </row>
    <row r="44" spans="1:24" x14ac:dyDescent="0.25">
      <c r="A44">
        <f t="shared" si="1"/>
        <v>42</v>
      </c>
      <c r="B44" t="s">
        <v>1518</v>
      </c>
      <c r="Q44" s="18">
        <v>334729.51543299999</v>
      </c>
      <c r="R44" s="18">
        <v>325320.50927699998</v>
      </c>
      <c r="S44" s="18">
        <v>334822.17992000002</v>
      </c>
      <c r="T44" s="18">
        <v>316871.95795100002</v>
      </c>
      <c r="V44" s="18">
        <v>2800</v>
      </c>
      <c r="W44" s="18">
        <v>1781</v>
      </c>
      <c r="X44" s="18">
        <v>608</v>
      </c>
    </row>
    <row r="45" spans="1:24" x14ac:dyDescent="0.25">
      <c r="A45">
        <f t="shared" si="1"/>
        <v>43</v>
      </c>
      <c r="B45" t="s">
        <v>1519</v>
      </c>
      <c r="Q45" s="18">
        <f>267852.554954+26607.312594</f>
        <v>294459.86754800001</v>
      </c>
      <c r="R45" s="18">
        <f>287035.128118+28661.505586</f>
        <v>315696.63370399998</v>
      </c>
      <c r="S45" s="18">
        <f>309815.251364+30573.608584</f>
        <v>340388.85994800006</v>
      </c>
      <c r="T45" s="18">
        <f>311534.250506+30573.608584</f>
        <v>342107.85909000004</v>
      </c>
      <c r="U45" t="s">
        <v>1633</v>
      </c>
      <c r="V45" s="18">
        <v>3100</v>
      </c>
      <c r="W45" s="18">
        <v>80</v>
      </c>
      <c r="X45" s="18">
        <v>11</v>
      </c>
    </row>
    <row r="46" spans="1:24" x14ac:dyDescent="0.25">
      <c r="A46">
        <f t="shared" si="1"/>
        <v>44</v>
      </c>
      <c r="B46" t="s">
        <v>1520</v>
      </c>
      <c r="Q46" s="18">
        <v>232696.314973</v>
      </c>
      <c r="R46" s="18">
        <v>260883.94960399999</v>
      </c>
      <c r="S46" s="18">
        <v>271359.92855000001</v>
      </c>
      <c r="T46" s="18">
        <v>287592.53518100001</v>
      </c>
      <c r="V46" s="18">
        <v>5500</v>
      </c>
      <c r="W46" s="18">
        <v>6882</v>
      </c>
      <c r="X46" s="18">
        <v>2516</v>
      </c>
    </row>
    <row r="47" spans="1:24" x14ac:dyDescent="0.25">
      <c r="A47">
        <f t="shared" si="1"/>
        <v>45</v>
      </c>
      <c r="B47" t="s">
        <v>1521</v>
      </c>
      <c r="Q47" s="18">
        <f>147510.620184+67349.222263</f>
        <v>214859.842447</v>
      </c>
      <c r="R47" s="18">
        <f>152277.522756+70350.108896</f>
        <v>222627.63165200001</v>
      </c>
      <c r="S47" s="18">
        <f>164078.989211+75081.357431</f>
        <v>239160.34664200002</v>
      </c>
      <c r="T47" s="18">
        <v>269457.49447199999</v>
      </c>
      <c r="U47" t="s">
        <v>1560</v>
      </c>
      <c r="V47" s="18">
        <v>19000</v>
      </c>
      <c r="W47" s="18">
        <v>1947</v>
      </c>
      <c r="X47" s="18">
        <v>758</v>
      </c>
    </row>
    <row r="48" spans="1:24" x14ac:dyDescent="0.25">
      <c r="A48">
        <f t="shared" si="1"/>
        <v>46</v>
      </c>
      <c r="B48" t="s">
        <v>1522</v>
      </c>
      <c r="Q48" s="18">
        <v>214110.154901</v>
      </c>
      <c r="R48" s="18">
        <v>229851.765575</v>
      </c>
      <c r="S48" s="18">
        <v>244023.93695900001</v>
      </c>
      <c r="T48" s="18">
        <v>251327.283058</v>
      </c>
      <c r="V48" s="18">
        <v>6000</v>
      </c>
      <c r="W48" s="18">
        <v>68</v>
      </c>
      <c r="X48" s="18">
        <v>31</v>
      </c>
    </row>
    <row r="49" spans="1:24" x14ac:dyDescent="0.25">
      <c r="A49">
        <f t="shared" si="1"/>
        <v>47</v>
      </c>
      <c r="B49" t="s">
        <v>1523</v>
      </c>
      <c r="Q49" s="18">
        <v>186265.56020599999</v>
      </c>
      <c r="R49" s="18">
        <v>200767.69547400001</v>
      </c>
      <c r="S49" s="18">
        <v>224320.474667</v>
      </c>
      <c r="T49" s="18">
        <v>246016.245758</v>
      </c>
      <c r="V49" s="18">
        <v>8400</v>
      </c>
      <c r="W49" s="18">
        <v>243</v>
      </c>
      <c r="X49" s="18">
        <v>92</v>
      </c>
    </row>
    <row r="50" spans="1:24" x14ac:dyDescent="0.25">
      <c r="A50">
        <f t="shared" si="1"/>
        <v>48</v>
      </c>
      <c r="B50" t="s">
        <v>1148</v>
      </c>
      <c r="Q50" s="18">
        <v>215431.647459</v>
      </c>
      <c r="R50" s="18">
        <v>221628.67531300001</v>
      </c>
      <c r="T50" s="18">
        <v>245687.36791199999</v>
      </c>
      <c r="V50" s="18">
        <v>90130</v>
      </c>
      <c r="W50" s="18">
        <v>7418</v>
      </c>
      <c r="X50" s="18">
        <v>3389</v>
      </c>
    </row>
    <row r="51" spans="1:24" x14ac:dyDescent="0.25">
      <c r="A51">
        <f t="shared" si="1"/>
        <v>49</v>
      </c>
      <c r="B51" t="s">
        <v>1528</v>
      </c>
      <c r="Q51" s="18">
        <v>170139.15328500001</v>
      </c>
      <c r="R51" s="18">
        <v>168395.674753</v>
      </c>
      <c r="S51" s="18">
        <v>181535.15519200001</v>
      </c>
      <c r="T51" s="18">
        <v>183435.11627500001</v>
      </c>
      <c r="V51" s="18">
        <v>19800</v>
      </c>
      <c r="W51" s="18">
        <v>1417</v>
      </c>
      <c r="X51" s="18">
        <v>455</v>
      </c>
    </row>
    <row r="52" spans="1:24" x14ac:dyDescent="0.25">
      <c r="A52">
        <f t="shared" si="1"/>
        <v>50</v>
      </c>
      <c r="B52" t="s">
        <v>1529</v>
      </c>
      <c r="Q52" s="18">
        <v>159121.81900399999</v>
      </c>
      <c r="R52" s="18">
        <v>163404.07551299999</v>
      </c>
      <c r="S52" s="18">
        <v>172137.57574199999</v>
      </c>
      <c r="T52" s="18">
        <v>174100.225554</v>
      </c>
      <c r="V52" s="18">
        <v>1400</v>
      </c>
      <c r="W52" s="18">
        <v>239</v>
      </c>
      <c r="X52" s="18">
        <v>69</v>
      </c>
    </row>
    <row r="53" spans="1:24" x14ac:dyDescent="0.25">
      <c r="A53">
        <f t="shared" si="1"/>
        <v>51</v>
      </c>
      <c r="B53" t="s">
        <v>1530</v>
      </c>
      <c r="Q53" s="18">
        <v>152258.82949199999</v>
      </c>
      <c r="R53" s="18">
        <v>156096.503375</v>
      </c>
      <c r="S53" s="18">
        <v>172652.388905</v>
      </c>
      <c r="T53" s="18">
        <v>168586.073435</v>
      </c>
      <c r="V53" s="18">
        <v>239000</v>
      </c>
      <c r="W53" s="18">
        <v>14249</v>
      </c>
      <c r="X53" s="18">
        <v>5054</v>
      </c>
    </row>
    <row r="54" spans="1:24" x14ac:dyDescent="0.25">
      <c r="A54">
        <f t="shared" si="1"/>
        <v>52</v>
      </c>
      <c r="B54" t="s">
        <v>1531</v>
      </c>
      <c r="Q54" s="18">
        <v>147724.121266</v>
      </c>
      <c r="R54" s="18">
        <v>163562.601295</v>
      </c>
      <c r="S54" s="18">
        <v>171770.604173</v>
      </c>
      <c r="V54" s="18">
        <v>221000</v>
      </c>
      <c r="W54" s="18">
        <v>10718</v>
      </c>
      <c r="X54" s="18">
        <v>3519</v>
      </c>
    </row>
    <row r="55" spans="1:24" x14ac:dyDescent="0.25">
      <c r="A55">
        <f t="shared" si="1"/>
        <v>53</v>
      </c>
      <c r="B55" t="s">
        <v>714</v>
      </c>
      <c r="Q55" s="18">
        <f>168939.569844+49603.126175+16806.091012</f>
        <v>235348.78703100001</v>
      </c>
      <c r="R55" s="18">
        <f>123105.528523+51002.499342+17074.394051</f>
        <v>191182.42191600002</v>
      </c>
      <c r="S55" s="18">
        <f>131435.014616+49627.666628+18680.588777</f>
        <v>199743.270021</v>
      </c>
      <c r="T55" s="18">
        <f>54451.676345+18983.243552</f>
        <v>73434.919897</v>
      </c>
      <c r="U55" t="s">
        <v>1696</v>
      </c>
      <c r="W55" s="18">
        <v>5027</v>
      </c>
      <c r="X55" s="18">
        <v>1604</v>
      </c>
    </row>
    <row r="56" spans="1:24" x14ac:dyDescent="0.25">
      <c r="A56">
        <f t="shared" si="1"/>
        <v>54</v>
      </c>
      <c r="B56" t="s">
        <v>90</v>
      </c>
      <c r="Q56" s="18">
        <v>142689.247168</v>
      </c>
      <c r="R56" s="18">
        <v>145536.95328099999</v>
      </c>
      <c r="S56" s="18">
        <v>153962.351291</v>
      </c>
      <c r="T56" s="18">
        <v>150327.292472</v>
      </c>
      <c r="W56" s="18">
        <v>13</v>
      </c>
      <c r="X56" s="18">
        <v>0</v>
      </c>
    </row>
    <row r="57" spans="1:24" x14ac:dyDescent="0.25">
      <c r="A57">
        <f t="shared" si="1"/>
        <v>55</v>
      </c>
      <c r="B57" t="s">
        <v>1532</v>
      </c>
      <c r="Q57" s="18">
        <v>142196.740712</v>
      </c>
      <c r="R57" s="18">
        <v>136345.056426</v>
      </c>
      <c r="S57" s="18">
        <v>142949.19170900001</v>
      </c>
      <c r="T57" s="18">
        <v>149518.21004000001</v>
      </c>
      <c r="V57" s="18">
        <v>2843</v>
      </c>
      <c r="W57" s="18">
        <v>444</v>
      </c>
      <c r="X57" s="18">
        <v>194</v>
      </c>
    </row>
    <row r="58" spans="1:24" x14ac:dyDescent="0.25">
      <c r="A58">
        <f t="shared" si="1"/>
        <v>56</v>
      </c>
      <c r="B58" t="s">
        <v>1153</v>
      </c>
      <c r="Q58" s="18">
        <v>113858.40085599999</v>
      </c>
      <c r="R58" s="18">
        <v>122728.83816499999</v>
      </c>
      <c r="S58" s="18">
        <v>148820.61289700001</v>
      </c>
      <c r="V58" s="18">
        <v>163000</v>
      </c>
      <c r="W58" s="18">
        <v>6633</v>
      </c>
      <c r="X58" s="18">
        <v>3108</v>
      </c>
    </row>
    <row r="59" spans="1:24" x14ac:dyDescent="0.25">
      <c r="A59">
        <f t="shared" si="1"/>
        <v>57</v>
      </c>
      <c r="B59" t="s">
        <v>1533</v>
      </c>
      <c r="Q59" s="18">
        <v>128545.450604</v>
      </c>
      <c r="R59" s="18">
        <v>135409.19733600001</v>
      </c>
      <c r="S59" s="18">
        <v>140851.29356399999</v>
      </c>
      <c r="T59" s="18">
        <v>133987.38267699999</v>
      </c>
      <c r="V59" s="18">
        <v>61545</v>
      </c>
      <c r="W59" s="18">
        <v>1480</v>
      </c>
      <c r="X59" s="18">
        <v>501</v>
      </c>
    </row>
    <row r="60" spans="1:24" x14ac:dyDescent="0.25">
      <c r="A60">
        <f t="shared" si="1"/>
        <v>58</v>
      </c>
      <c r="B60" t="s">
        <v>1534</v>
      </c>
      <c r="Q60" s="18">
        <v>134077.21304500001</v>
      </c>
      <c r="R60" s="18">
        <v>138125.23652599999</v>
      </c>
      <c r="S60" s="18">
        <v>136008.850458</v>
      </c>
      <c r="T60" s="18">
        <v>129119.418859</v>
      </c>
      <c r="W60" s="18">
        <v>29</v>
      </c>
      <c r="X60" s="18">
        <v>4</v>
      </c>
    </row>
    <row r="61" spans="1:24" x14ac:dyDescent="0.25">
      <c r="A61">
        <f t="shared" si="1"/>
        <v>59</v>
      </c>
      <c r="B61" t="s">
        <v>1535</v>
      </c>
      <c r="Q61" s="18">
        <v>121002.35333300001</v>
      </c>
      <c r="R61" s="18">
        <v>121843.930448</v>
      </c>
      <c r="S61" s="18">
        <v>128159.392372</v>
      </c>
      <c r="T61" s="18">
        <v>125966.72394700001</v>
      </c>
      <c r="V61" s="18">
        <v>2800</v>
      </c>
      <c r="W61" s="18">
        <v>960</v>
      </c>
      <c r="X61" s="18">
        <v>432</v>
      </c>
    </row>
    <row r="62" spans="1:24" x14ac:dyDescent="0.25">
      <c r="A62">
        <f t="shared" si="1"/>
        <v>60</v>
      </c>
      <c r="B62" t="s">
        <v>1536</v>
      </c>
      <c r="Q62" s="18">
        <v>126142.347454</v>
      </c>
      <c r="R62" s="18">
        <v>121715.526379</v>
      </c>
      <c r="S62" s="18">
        <v>127163.20401099999</v>
      </c>
      <c r="T62" s="18">
        <v>123391.087224</v>
      </c>
      <c r="V62" s="18">
        <v>285</v>
      </c>
      <c r="W62" s="18">
        <v>224</v>
      </c>
      <c r="X62" s="18">
        <v>105</v>
      </c>
    </row>
    <row r="63" spans="1:24" x14ac:dyDescent="0.25">
      <c r="A63">
        <f t="shared" si="1"/>
        <v>61</v>
      </c>
      <c r="B63" t="s">
        <v>1537</v>
      </c>
      <c r="Q63" s="18">
        <v>97316.616003999996</v>
      </c>
      <c r="R63" s="18">
        <v>101370.80719199999</v>
      </c>
      <c r="S63" s="18">
        <v>112555.22175300001</v>
      </c>
      <c r="T63" s="18">
        <v>118519.35247300001</v>
      </c>
      <c r="W63" s="18">
        <v>86</v>
      </c>
      <c r="X63" s="18">
        <v>8</v>
      </c>
    </row>
    <row r="64" spans="1:24" x14ac:dyDescent="0.25">
      <c r="A64">
        <f t="shared" si="1"/>
        <v>62</v>
      </c>
      <c r="B64" t="s">
        <v>1130</v>
      </c>
      <c r="Q64" s="18">
        <v>111080.877796</v>
      </c>
      <c r="R64" s="18">
        <v>110759.09334199999</v>
      </c>
      <c r="S64" s="18">
        <v>115199.89564</v>
      </c>
      <c r="T64" s="18">
        <v>109790.96331599999</v>
      </c>
      <c r="W64" s="18">
        <v>144</v>
      </c>
      <c r="X64" s="18">
        <v>66</v>
      </c>
    </row>
    <row r="65" spans="1:24" x14ac:dyDescent="0.25">
      <c r="A65">
        <f t="shared" si="1"/>
        <v>63</v>
      </c>
      <c r="B65" t="s">
        <v>1538</v>
      </c>
      <c r="Q65" s="18">
        <v>107941.73597199999</v>
      </c>
      <c r="R65" s="18">
        <v>107108.391026</v>
      </c>
      <c r="S65" s="18">
        <v>114061.992136</v>
      </c>
      <c r="W65" s="18">
        <v>1846</v>
      </c>
      <c r="X65" s="18">
        <v>620</v>
      </c>
    </row>
    <row r="66" spans="1:24" x14ac:dyDescent="0.25">
      <c r="A66">
        <f t="shared" si="1"/>
        <v>64</v>
      </c>
      <c r="B66" t="s">
        <v>91</v>
      </c>
      <c r="W66" s="18">
        <v>192</v>
      </c>
      <c r="X66" s="18">
        <v>103</v>
      </c>
    </row>
    <row r="67" spans="1:24" x14ac:dyDescent="0.25">
      <c r="A67">
        <f t="shared" si="1"/>
        <v>65</v>
      </c>
      <c r="B67" s="2" t="s">
        <v>129</v>
      </c>
      <c r="P67" s="17">
        <v>3375.9219109999999</v>
      </c>
      <c r="Q67" s="18">
        <f>91852.161144+10647.534446</f>
        <v>102499.69559</v>
      </c>
      <c r="R67" s="18">
        <f>87250.98482+11040.366367</f>
        <v>98291.351186999993</v>
      </c>
      <c r="S67" s="18">
        <f>90859.665541+13182.530533</f>
        <v>104042.19607399999</v>
      </c>
      <c r="T67" s="18">
        <f>92663.593089+14979.798546</f>
        <v>107643.39163500001</v>
      </c>
      <c r="U67" t="s">
        <v>1784</v>
      </c>
      <c r="V67" s="18">
        <v>5400</v>
      </c>
      <c r="W67" s="18">
        <v>1013</v>
      </c>
      <c r="X67" s="18">
        <v>544</v>
      </c>
    </row>
    <row r="68" spans="1:24" x14ac:dyDescent="0.25">
      <c r="A68">
        <f t="shared" si="1"/>
        <v>66</v>
      </c>
      <c r="B68" t="s">
        <v>683</v>
      </c>
      <c r="W68" s="18">
        <v>717</v>
      </c>
      <c r="X68" s="18">
        <v>418</v>
      </c>
    </row>
    <row r="69" spans="1:24" x14ac:dyDescent="0.25">
      <c r="A69">
        <f t="shared" si="1"/>
        <v>67</v>
      </c>
      <c r="B69" t="s">
        <v>703</v>
      </c>
      <c r="Q69" s="18">
        <v>20550.468414999999</v>
      </c>
      <c r="R69" s="18">
        <v>20660.166120000002</v>
      </c>
      <c r="S69" s="18">
        <v>26746.671276000001</v>
      </c>
      <c r="W69" s="18">
        <v>804</v>
      </c>
      <c r="X69" s="18">
        <v>278</v>
      </c>
    </row>
    <row r="70" spans="1:24" x14ac:dyDescent="0.25">
      <c r="A70">
        <f t="shared" si="1"/>
        <v>68</v>
      </c>
      <c r="B70" t="s">
        <v>715</v>
      </c>
      <c r="Q70" s="18">
        <v>88289.399514999997</v>
      </c>
      <c r="R70" s="18">
        <v>88167.524101000003</v>
      </c>
      <c r="S70" s="18">
        <v>96445.802918999994</v>
      </c>
      <c r="W70" s="18">
        <v>629</v>
      </c>
      <c r="X70" s="18">
        <v>290</v>
      </c>
    </row>
    <row r="71" spans="1:24" x14ac:dyDescent="0.25">
      <c r="A71">
        <f t="shared" si="1"/>
        <v>69</v>
      </c>
      <c r="B71" t="s">
        <v>716</v>
      </c>
      <c r="W71" s="18">
        <v>610</v>
      </c>
      <c r="X71" s="18">
        <v>173</v>
      </c>
    </row>
    <row r="72" spans="1:24" x14ac:dyDescent="0.25">
      <c r="A72">
        <f t="shared" si="1"/>
        <v>70</v>
      </c>
      <c r="B72" t="s">
        <v>717</v>
      </c>
      <c r="Q72" s="18">
        <v>98527.705854</v>
      </c>
      <c r="R72" s="18">
        <v>98079.393719</v>
      </c>
      <c r="S72" s="18">
        <v>104966.71606000001</v>
      </c>
      <c r="T72" s="18">
        <v>113443.656642</v>
      </c>
      <c r="W72" s="18">
        <v>323</v>
      </c>
      <c r="X72" s="18">
        <v>190</v>
      </c>
    </row>
    <row r="73" spans="1:24" x14ac:dyDescent="0.25">
      <c r="A73">
        <f t="shared" si="1"/>
        <v>71</v>
      </c>
      <c r="B73" t="s">
        <v>1539</v>
      </c>
      <c r="Q73" s="18">
        <f>107494.517903+63805.474698+22495.105401+13349.617213</f>
        <v>207144.715215</v>
      </c>
      <c r="R73" s="18">
        <f>107231.183831+62340.187966+21900.130796+14830.411392</f>
        <v>206301.91398500002</v>
      </c>
      <c r="S73" s="18">
        <f>113316.266175+56565.335961+22327.399536+12317.766369</f>
        <v>204526.768041</v>
      </c>
      <c r="T73" s="18">
        <f>113025.379216+20637.175411+12398.202505</f>
        <v>146060.757132</v>
      </c>
      <c r="U73" t="s">
        <v>1759</v>
      </c>
      <c r="W73" s="18">
        <v>2560</v>
      </c>
      <c r="X73" s="18">
        <v>1088</v>
      </c>
    </row>
    <row r="74" spans="1:24" x14ac:dyDescent="0.25">
      <c r="A74">
        <f t="shared" si="1"/>
        <v>72</v>
      </c>
      <c r="B74" t="s">
        <v>1540</v>
      </c>
      <c r="Q74" s="18">
        <v>104131.915291</v>
      </c>
      <c r="R74" s="18">
        <v>106400.505297</v>
      </c>
      <c r="S74" s="18">
        <v>110852.92133899999</v>
      </c>
      <c r="T74" s="18">
        <v>111788.906814</v>
      </c>
      <c r="W74" s="18">
        <v>20</v>
      </c>
      <c r="X74" s="18">
        <v>6</v>
      </c>
    </row>
    <row r="75" spans="1:24" x14ac:dyDescent="0.25">
      <c r="A75">
        <f t="shared" si="1"/>
        <v>73</v>
      </c>
      <c r="B75" t="s">
        <v>1541</v>
      </c>
      <c r="Q75" s="18">
        <v>83331.937585000007</v>
      </c>
      <c r="R75" s="18">
        <v>87034.22709</v>
      </c>
      <c r="S75" s="18">
        <v>103695.042782</v>
      </c>
      <c r="T75" s="18">
        <v>105669.449414</v>
      </c>
      <c r="W75" s="18">
        <v>238</v>
      </c>
      <c r="X75" s="18">
        <v>93</v>
      </c>
    </row>
    <row r="76" spans="1:24" x14ac:dyDescent="0.25">
      <c r="A76">
        <f t="shared" si="1"/>
        <v>74</v>
      </c>
      <c r="B76" t="s">
        <v>876</v>
      </c>
      <c r="Q76" s="18">
        <v>95202.044771000001</v>
      </c>
      <c r="R76" s="18">
        <v>101757.31254499999</v>
      </c>
      <c r="S76" s="18">
        <v>105587.273906</v>
      </c>
      <c r="T76" s="18">
        <v>105026.714714</v>
      </c>
      <c r="W76" s="18">
        <v>3428</v>
      </c>
      <c r="X76" s="18">
        <v>1256</v>
      </c>
    </row>
    <row r="77" spans="1:24" x14ac:dyDescent="0.25">
      <c r="A77">
        <f t="shared" si="1"/>
        <v>75</v>
      </c>
      <c r="B77" t="s">
        <v>1542</v>
      </c>
      <c r="Q77" s="18">
        <v>73370.478973999998</v>
      </c>
      <c r="R77" s="18">
        <v>86516.438221000004</v>
      </c>
      <c r="S77" s="18">
        <v>97496.931272999995</v>
      </c>
      <c r="T77" s="18">
        <v>105199.698104</v>
      </c>
      <c r="W77" s="18">
        <v>377</v>
      </c>
      <c r="X77" s="18">
        <v>138</v>
      </c>
    </row>
    <row r="78" spans="1:24" x14ac:dyDescent="0.25">
      <c r="A78">
        <f t="shared" si="1"/>
        <v>76</v>
      </c>
      <c r="B78" t="s">
        <v>1543</v>
      </c>
      <c r="Q78" s="18">
        <v>104481.006479</v>
      </c>
      <c r="W78" s="18">
        <v>8436</v>
      </c>
      <c r="X78" s="18">
        <v>846</v>
      </c>
    </row>
    <row r="79" spans="1:24" x14ac:dyDescent="0.25">
      <c r="A79">
        <f t="shared" si="1"/>
        <v>77</v>
      </c>
      <c r="B79" t="s">
        <v>1544</v>
      </c>
      <c r="Q79" s="18">
        <v>85017.072023000001</v>
      </c>
      <c r="R79" s="18">
        <v>90675.455050999997</v>
      </c>
      <c r="S79" s="18">
        <v>97575.318847999995</v>
      </c>
      <c r="T79" s="18">
        <v>104373.414888</v>
      </c>
      <c r="V79" s="18">
        <v>6438</v>
      </c>
      <c r="W79" s="18">
        <v>1641</v>
      </c>
      <c r="X79" s="18">
        <v>583</v>
      </c>
    </row>
    <row r="80" spans="1:24" x14ac:dyDescent="0.25">
      <c r="A80">
        <f t="shared" si="1"/>
        <v>78</v>
      </c>
      <c r="B80" t="s">
        <v>1545</v>
      </c>
      <c r="Q80" s="18">
        <v>102433.49579</v>
      </c>
      <c r="R80" s="18">
        <v>99752.962178999995</v>
      </c>
      <c r="S80" s="18">
        <v>103809.450025</v>
      </c>
      <c r="T80" s="18">
        <v>101734.1902</v>
      </c>
      <c r="W80" s="18">
        <v>176</v>
      </c>
      <c r="X80" s="18">
        <v>82</v>
      </c>
    </row>
    <row r="81" spans="1:24" x14ac:dyDescent="0.25">
      <c r="A81">
        <f t="shared" si="1"/>
        <v>79</v>
      </c>
      <c r="B81" t="s">
        <v>1546</v>
      </c>
      <c r="Q81" s="18">
        <f>72385.587092+43645.960736+35506.339325</f>
        <v>151537.88715300002</v>
      </c>
      <c r="R81" s="18">
        <f>82038.504151+41965.7452+36648.907381</f>
        <v>160653.156732</v>
      </c>
      <c r="S81" s="18">
        <f>93564.007503+43826.558663+39307.357808</f>
        <v>176697.923974</v>
      </c>
      <c r="T81" s="18">
        <f>103241.322774+47407.147195+42556.626038</f>
        <v>193205.09600700001</v>
      </c>
      <c r="U81" t="s">
        <v>1602</v>
      </c>
      <c r="W81" s="18">
        <v>11500</v>
      </c>
      <c r="X81" s="18">
        <v>4093</v>
      </c>
    </row>
    <row r="82" spans="1:24" x14ac:dyDescent="0.25">
      <c r="A82">
        <f t="shared" si="1"/>
        <v>80</v>
      </c>
      <c r="B82" t="s">
        <v>1547</v>
      </c>
      <c r="Q82" s="18">
        <v>93216.836777000004</v>
      </c>
      <c r="R82" s="18">
        <v>97569.766048000005</v>
      </c>
      <c r="S82" s="18">
        <v>102013.857638</v>
      </c>
      <c r="W82" s="18">
        <v>1457</v>
      </c>
      <c r="X82" s="18">
        <v>719</v>
      </c>
    </row>
    <row r="83" spans="1:24" x14ac:dyDescent="0.25">
      <c r="A83">
        <f t="shared" si="1"/>
        <v>81</v>
      </c>
      <c r="B83" t="s">
        <v>1548</v>
      </c>
      <c r="Q83" s="18">
        <v>90216.875637000005</v>
      </c>
      <c r="R83" s="18">
        <v>93667.207616999993</v>
      </c>
      <c r="S83" s="18">
        <v>101004.35415699999</v>
      </c>
      <c r="W83" s="18">
        <v>23</v>
      </c>
      <c r="X83" s="18">
        <v>7</v>
      </c>
    </row>
    <row r="84" spans="1:24" x14ac:dyDescent="0.25">
      <c r="A84">
        <f t="shared" si="1"/>
        <v>82</v>
      </c>
      <c r="B84" t="s">
        <v>1550</v>
      </c>
      <c r="Q84" s="18">
        <v>87771.521859999993</v>
      </c>
      <c r="R84" s="18">
        <v>88865.712568000003</v>
      </c>
      <c r="S84" s="18">
        <v>95358.736348000006</v>
      </c>
      <c r="T84" s="18">
        <v>96007.230089000004</v>
      </c>
      <c r="V84" s="18">
        <v>9000</v>
      </c>
      <c r="W84" s="18">
        <v>2949</v>
      </c>
      <c r="X84" s="18">
        <v>1183</v>
      </c>
    </row>
    <row r="85" spans="1:24" x14ac:dyDescent="0.25">
      <c r="A85">
        <f t="shared" si="1"/>
        <v>83</v>
      </c>
      <c r="B85" t="s">
        <v>1551</v>
      </c>
      <c r="Q85" s="18">
        <v>65387.643601999996</v>
      </c>
      <c r="R85" s="18">
        <v>73365.540609999996</v>
      </c>
      <c r="S85" s="18">
        <v>87347.563110999996</v>
      </c>
      <c r="T85" s="18">
        <v>94392.434594000006</v>
      </c>
      <c r="W85" s="18">
        <v>1171</v>
      </c>
      <c r="X85" s="18">
        <v>474</v>
      </c>
    </row>
    <row r="86" spans="1:24" x14ac:dyDescent="0.25">
      <c r="A86">
        <f t="shared" si="1"/>
        <v>84</v>
      </c>
      <c r="B86" t="s">
        <v>1552</v>
      </c>
      <c r="Q86" s="18">
        <v>76939.318228000004</v>
      </c>
      <c r="R86" s="18">
        <v>88154.468544999996</v>
      </c>
      <c r="S86" s="18">
        <v>85840.478988999996</v>
      </c>
      <c r="T86" s="18">
        <v>74800.607015999994</v>
      </c>
      <c r="W86" s="18">
        <v>14</v>
      </c>
      <c r="X86" s="18">
        <v>1</v>
      </c>
    </row>
    <row r="87" spans="1:24" x14ac:dyDescent="0.25">
      <c r="A87">
        <f t="shared" si="1"/>
        <v>85</v>
      </c>
      <c r="B87" t="s">
        <v>1557</v>
      </c>
      <c r="Q87" s="18">
        <v>79148.512529</v>
      </c>
      <c r="R87" s="18">
        <v>68406.448638999995</v>
      </c>
      <c r="S87" s="18">
        <v>71352.683953999993</v>
      </c>
      <c r="W87" s="18">
        <v>444</v>
      </c>
      <c r="X87" s="18">
        <v>194</v>
      </c>
    </row>
    <row r="88" spans="1:24" x14ac:dyDescent="0.25">
      <c r="A88">
        <f t="shared" si="1"/>
        <v>86</v>
      </c>
      <c r="B88" t="s">
        <v>1114</v>
      </c>
      <c r="Q88" s="18">
        <v>43498.348695000001</v>
      </c>
      <c r="R88" s="18">
        <v>44127.315351999998</v>
      </c>
      <c r="S88" s="18">
        <v>47310.542157999997</v>
      </c>
      <c r="T88" s="18">
        <v>46354.038391000002</v>
      </c>
      <c r="W88" s="18">
        <v>19</v>
      </c>
      <c r="X88" s="18">
        <v>7</v>
      </c>
    </row>
    <row r="89" spans="1:24" x14ac:dyDescent="0.25">
      <c r="A89">
        <f t="shared" si="1"/>
        <v>87</v>
      </c>
      <c r="B89" t="s">
        <v>1116</v>
      </c>
      <c r="W89" s="18">
        <v>163</v>
      </c>
      <c r="X89" s="18">
        <v>59</v>
      </c>
    </row>
    <row r="90" spans="1:24" x14ac:dyDescent="0.25">
      <c r="A90">
        <f t="shared" si="1"/>
        <v>88</v>
      </c>
      <c r="B90" t="s">
        <v>1121</v>
      </c>
      <c r="W90" s="18">
        <v>831</v>
      </c>
      <c r="X90" s="18">
        <v>326</v>
      </c>
    </row>
    <row r="91" spans="1:24" x14ac:dyDescent="0.25">
      <c r="A91">
        <f t="shared" si="1"/>
        <v>89</v>
      </c>
      <c r="B91" t="s">
        <v>1122</v>
      </c>
      <c r="W91" s="18">
        <v>2527</v>
      </c>
      <c r="X91" s="18">
        <v>204</v>
      </c>
    </row>
    <row r="92" spans="1:24" x14ac:dyDescent="0.25">
      <c r="A92">
        <f t="shared" si="1"/>
        <v>90</v>
      </c>
      <c r="B92" t="s">
        <v>1123</v>
      </c>
      <c r="Q92" s="18">
        <v>41557.530975000001</v>
      </c>
      <c r="R92" s="18">
        <v>41188.301886000001</v>
      </c>
      <c r="S92" s="18">
        <v>50294.463882999997</v>
      </c>
      <c r="W92" s="18">
        <v>878</v>
      </c>
      <c r="X92" s="18">
        <v>286</v>
      </c>
    </row>
    <row r="93" spans="1:24" x14ac:dyDescent="0.25">
      <c r="A93">
        <f t="shared" si="1"/>
        <v>91</v>
      </c>
      <c r="B93" t="s">
        <v>1124</v>
      </c>
    </row>
    <row r="94" spans="1:24" x14ac:dyDescent="0.25">
      <c r="A94">
        <f t="shared" si="1"/>
        <v>92</v>
      </c>
      <c r="B94" t="s">
        <v>1126</v>
      </c>
      <c r="Q94" s="18">
        <v>29131.351996000001</v>
      </c>
      <c r="R94" s="18">
        <v>28442.165994999999</v>
      </c>
      <c r="S94" s="18">
        <v>31017.300455000001</v>
      </c>
      <c r="T94" s="18">
        <v>29388.254087000001</v>
      </c>
      <c r="W94" s="18">
        <v>35</v>
      </c>
      <c r="X94" s="18">
        <v>6</v>
      </c>
    </row>
    <row r="95" spans="1:24" x14ac:dyDescent="0.25">
      <c r="A95">
        <f t="shared" si="1"/>
        <v>93</v>
      </c>
      <c r="B95" t="s">
        <v>1127</v>
      </c>
      <c r="Q95" s="18">
        <v>61819.593902000001</v>
      </c>
      <c r="R95" s="18">
        <v>59081.494256999998</v>
      </c>
      <c r="S95" s="18">
        <v>76621.179646999997</v>
      </c>
      <c r="W95" s="18">
        <v>139</v>
      </c>
      <c r="X95" s="18">
        <v>37</v>
      </c>
    </row>
    <row r="96" spans="1:24" x14ac:dyDescent="0.25">
      <c r="A96">
        <f t="shared" si="1"/>
        <v>94</v>
      </c>
      <c r="B96" t="s">
        <v>1128</v>
      </c>
      <c r="Q96" s="18">
        <v>84606.229947</v>
      </c>
      <c r="R96" s="18">
        <v>85232.562961999996</v>
      </c>
      <c r="S96" s="18">
        <v>88036.376424000002</v>
      </c>
      <c r="T96" s="18">
        <v>95580.756695000004</v>
      </c>
      <c r="W96" s="18">
        <v>2069</v>
      </c>
      <c r="X96" s="18">
        <v>769</v>
      </c>
    </row>
    <row r="97" spans="1:24" x14ac:dyDescent="0.25">
      <c r="A97">
        <f t="shared" si="1"/>
        <v>95</v>
      </c>
      <c r="B97" t="s">
        <v>1553</v>
      </c>
      <c r="Q97" s="18">
        <v>83958.163931999996</v>
      </c>
      <c r="R97" s="18">
        <v>80497.228262999997</v>
      </c>
      <c r="S97" s="18">
        <v>84730.204415</v>
      </c>
      <c r="T97" s="18">
        <v>82214.319143000001</v>
      </c>
      <c r="W97" s="18">
        <v>102</v>
      </c>
      <c r="X97" s="18">
        <v>58</v>
      </c>
    </row>
    <row r="98" spans="1:24" x14ac:dyDescent="0.25">
      <c r="A98">
        <f t="shared" si="1"/>
        <v>96</v>
      </c>
      <c r="B98" t="s">
        <v>1555</v>
      </c>
      <c r="R98" s="18">
        <v>74809.760307999997</v>
      </c>
      <c r="S98" s="18">
        <v>78307.138391</v>
      </c>
      <c r="T98" s="18">
        <v>81324.659444999998</v>
      </c>
      <c r="W98" s="18">
        <v>940</v>
      </c>
      <c r="X98" s="18">
        <v>368</v>
      </c>
    </row>
    <row r="99" spans="1:24" x14ac:dyDescent="0.25">
      <c r="A99">
        <f t="shared" si="1"/>
        <v>97</v>
      </c>
      <c r="B99" t="s">
        <v>1556</v>
      </c>
      <c r="Q99" s="18">
        <v>74803.326224000004</v>
      </c>
      <c r="R99" s="18">
        <v>76497.694457000005</v>
      </c>
      <c r="S99" s="18">
        <v>79641.139135999998</v>
      </c>
      <c r="W99" s="18">
        <v>366</v>
      </c>
      <c r="X99" s="18">
        <v>111</v>
      </c>
    </row>
    <row r="100" spans="1:24" x14ac:dyDescent="0.25">
      <c r="A100">
        <f t="shared" si="1"/>
        <v>98</v>
      </c>
      <c r="B100" t="s">
        <v>1558</v>
      </c>
      <c r="Q100" s="18">
        <v>71752.348071999993</v>
      </c>
      <c r="R100" s="18">
        <v>73360.476569999999</v>
      </c>
      <c r="S100" s="18">
        <v>77877.840213000003</v>
      </c>
      <c r="T100" s="18">
        <v>76377.787009000007</v>
      </c>
      <c r="W100" s="18">
        <v>3263</v>
      </c>
      <c r="X100" s="18">
        <v>1230</v>
      </c>
    </row>
    <row r="101" spans="1:24" x14ac:dyDescent="0.25">
      <c r="A101">
        <f t="shared" si="1"/>
        <v>99</v>
      </c>
      <c r="B101" t="s">
        <v>1559</v>
      </c>
      <c r="Q101" s="18">
        <v>68249.527189999993</v>
      </c>
      <c r="R101" s="18">
        <v>70584.697931000002</v>
      </c>
      <c r="S101" s="18">
        <v>77007.505778999999</v>
      </c>
      <c r="T101" s="18">
        <v>77867.971925999998</v>
      </c>
      <c r="W101" s="18">
        <v>600</v>
      </c>
      <c r="X101" s="18">
        <v>92</v>
      </c>
    </row>
    <row r="102" spans="1:24" x14ac:dyDescent="0.25">
      <c r="A102">
        <f t="shared" si="1"/>
        <v>100</v>
      </c>
      <c r="B102" t="s">
        <v>1561</v>
      </c>
      <c r="Q102" s="18">
        <v>64823.486548000001</v>
      </c>
      <c r="R102" s="18">
        <v>67508.613519000006</v>
      </c>
      <c r="S102" s="18">
        <v>71514.255499000006</v>
      </c>
      <c r="T102" s="18">
        <v>74923.654905000003</v>
      </c>
      <c r="V102" s="18">
        <v>157000</v>
      </c>
      <c r="W102" s="18">
        <v>6175</v>
      </c>
      <c r="X102" s="18">
        <v>2120</v>
      </c>
    </row>
    <row r="103" spans="1:24" x14ac:dyDescent="0.25">
      <c r="A103">
        <f t="shared" si="1"/>
        <v>101</v>
      </c>
      <c r="B103" t="s">
        <v>1562</v>
      </c>
      <c r="Q103" s="18">
        <v>61734.758314999999</v>
      </c>
      <c r="R103" s="18">
        <v>64685.519734000001</v>
      </c>
      <c r="S103" s="18">
        <v>69999.426533000005</v>
      </c>
      <c r="T103" s="18">
        <v>73132.320387999993</v>
      </c>
      <c r="V103" s="18">
        <v>1700</v>
      </c>
      <c r="W103" s="18">
        <v>73</v>
      </c>
      <c r="X103" s="18">
        <v>6</v>
      </c>
    </row>
    <row r="104" spans="1:24" x14ac:dyDescent="0.25">
      <c r="A104">
        <f t="shared" si="1"/>
        <v>102</v>
      </c>
      <c r="B104" t="s">
        <v>1563</v>
      </c>
      <c r="Q104" s="18">
        <f>71023.578411+13122.324254</f>
        <v>84145.902665000001</v>
      </c>
      <c r="R104" s="18">
        <f>66606.645637+14826.9352</f>
        <v>81433.580836999987</v>
      </c>
      <c r="S104" s="18">
        <f>70978.680427+19905.023981</f>
        <v>90883.704407999991</v>
      </c>
      <c r="T104" s="18">
        <f>72947.906737+19882.82658</f>
        <v>92830.733317000006</v>
      </c>
      <c r="U104" t="s">
        <v>1690</v>
      </c>
      <c r="W104" s="18">
        <v>1888</v>
      </c>
      <c r="X104" s="18">
        <v>565</v>
      </c>
    </row>
    <row r="105" spans="1:24" x14ac:dyDescent="0.25">
      <c r="A105">
        <f t="shared" si="1"/>
        <v>103</v>
      </c>
      <c r="B105" t="s">
        <v>932</v>
      </c>
      <c r="Q105" s="18">
        <v>63378.592024999998</v>
      </c>
      <c r="R105" s="18">
        <v>62065.454792999997</v>
      </c>
      <c r="S105" s="18">
        <v>69052.023189</v>
      </c>
      <c r="T105" s="18">
        <v>72394.263737000001</v>
      </c>
      <c r="W105" s="18">
        <v>273</v>
      </c>
      <c r="X105" s="18">
        <v>107</v>
      </c>
    </row>
    <row r="106" spans="1:24" x14ac:dyDescent="0.25">
      <c r="A106">
        <f t="shared" si="1"/>
        <v>104</v>
      </c>
      <c r="B106" t="s">
        <v>1565</v>
      </c>
      <c r="Q106" s="18">
        <v>69392.973184000002</v>
      </c>
      <c r="R106" s="18">
        <v>67300.455818999995</v>
      </c>
      <c r="S106" s="18">
        <v>71862.229324</v>
      </c>
      <c r="W106" s="18">
        <v>996</v>
      </c>
      <c r="X106" s="18">
        <v>370</v>
      </c>
    </row>
    <row r="107" spans="1:24" x14ac:dyDescent="0.25">
      <c r="A107">
        <f t="shared" si="1"/>
        <v>105</v>
      </c>
      <c r="B107" t="s">
        <v>1133</v>
      </c>
      <c r="Q107" s="18">
        <v>69134.311300000001</v>
      </c>
      <c r="R107" s="18">
        <v>66685.231107</v>
      </c>
      <c r="S107" s="18">
        <v>67292.375109999994</v>
      </c>
      <c r="T107" s="18">
        <v>66474.011048</v>
      </c>
      <c r="W107" s="18">
        <v>398</v>
      </c>
      <c r="X107" s="18">
        <v>227</v>
      </c>
    </row>
    <row r="108" spans="1:24" x14ac:dyDescent="0.25">
      <c r="A108">
        <f t="shared" si="1"/>
        <v>106</v>
      </c>
      <c r="B108" t="s">
        <v>1566</v>
      </c>
      <c r="Q108" s="18">
        <v>59901.768964000003</v>
      </c>
      <c r="R108" s="18">
        <v>65280.030487000004</v>
      </c>
      <c r="S108" s="18">
        <v>69029.04135</v>
      </c>
      <c r="T108" s="18">
        <v>68389.92886</v>
      </c>
      <c r="W108" s="18">
        <v>22</v>
      </c>
      <c r="X108" s="18">
        <v>10</v>
      </c>
    </row>
    <row r="109" spans="1:24" x14ac:dyDescent="0.25">
      <c r="A109">
        <f t="shared" si="1"/>
        <v>107</v>
      </c>
      <c r="B109" t="s">
        <v>1567</v>
      </c>
      <c r="Q109" s="18">
        <v>62171.059484999998</v>
      </c>
      <c r="R109" s="18">
        <v>65955.262344999996</v>
      </c>
      <c r="S109" s="18">
        <v>63805.903496999999</v>
      </c>
      <c r="T109" s="18">
        <v>67379.043328999993</v>
      </c>
      <c r="W109" s="18">
        <v>72</v>
      </c>
      <c r="X109" s="18">
        <v>42</v>
      </c>
    </row>
    <row r="110" spans="1:24" x14ac:dyDescent="0.25">
      <c r="A110">
        <f t="shared" si="1"/>
        <v>108</v>
      </c>
      <c r="B110" t="s">
        <v>1568</v>
      </c>
      <c r="Q110" s="18">
        <v>66034.273629000003</v>
      </c>
      <c r="R110" s="18">
        <v>65752.064698999995</v>
      </c>
      <c r="S110" s="18">
        <v>63809.954867</v>
      </c>
      <c r="T110" s="18">
        <v>63913.030798</v>
      </c>
      <c r="V110" s="18">
        <v>25000</v>
      </c>
      <c r="W110" s="18">
        <v>2089</v>
      </c>
      <c r="X110" s="18">
        <v>561</v>
      </c>
    </row>
    <row r="111" spans="1:24" x14ac:dyDescent="0.25">
      <c r="A111">
        <f t="shared" si="1"/>
        <v>109</v>
      </c>
      <c r="B111" t="s">
        <v>1569</v>
      </c>
      <c r="Q111" s="18">
        <v>63963.062307</v>
      </c>
      <c r="R111" s="18">
        <v>61306.321340000002</v>
      </c>
      <c r="S111" s="18">
        <v>64579.842772000004</v>
      </c>
      <c r="T111" s="18">
        <v>62387.176861</v>
      </c>
      <c r="W111" s="18">
        <v>879</v>
      </c>
      <c r="X111" s="18">
        <v>388</v>
      </c>
    </row>
    <row r="112" spans="1:24" x14ac:dyDescent="0.25">
      <c r="A112">
        <f t="shared" si="1"/>
        <v>110</v>
      </c>
      <c r="B112" t="s">
        <v>1570</v>
      </c>
      <c r="Q112" s="18">
        <v>56170.884024999999</v>
      </c>
      <c r="R112" s="18">
        <v>57408.030899999998</v>
      </c>
      <c r="S112" s="18">
        <v>64068.364453000002</v>
      </c>
      <c r="T112" s="18">
        <v>60260.476025000004</v>
      </c>
    </row>
    <row r="113" spans="1:24" x14ac:dyDescent="0.25">
      <c r="A113">
        <f t="shared" si="1"/>
        <v>111</v>
      </c>
      <c r="B113" t="s">
        <v>1572</v>
      </c>
      <c r="Q113" s="18">
        <v>42245.776343999998</v>
      </c>
      <c r="R113" s="18">
        <v>44921.675081000001</v>
      </c>
      <c r="S113" s="18">
        <v>54336.524546000001</v>
      </c>
      <c r="T113" s="18">
        <v>62002.059526999998</v>
      </c>
    </row>
    <row r="114" spans="1:24" x14ac:dyDescent="0.25">
      <c r="A114">
        <f t="shared" si="1"/>
        <v>112</v>
      </c>
      <c r="B114" t="s">
        <v>1573</v>
      </c>
      <c r="Q114" s="18">
        <v>48359.176796</v>
      </c>
      <c r="R114" s="18">
        <v>51581.061628000003</v>
      </c>
      <c r="S114" s="18">
        <v>56362.952983000003</v>
      </c>
      <c r="T114" s="18">
        <v>59551.780386999999</v>
      </c>
      <c r="W114" s="18">
        <v>59</v>
      </c>
      <c r="X114" s="18">
        <v>8</v>
      </c>
    </row>
    <row r="115" spans="1:24" x14ac:dyDescent="0.25">
      <c r="A115">
        <f t="shared" si="1"/>
        <v>113</v>
      </c>
      <c r="B115" t="s">
        <v>1575</v>
      </c>
      <c r="Q115" s="18">
        <f>57082.692787+17274.511244</f>
        <v>74357.204031000001</v>
      </c>
      <c r="R115" s="18">
        <f>56050.347233+17462.82922</f>
        <v>73513.176452999993</v>
      </c>
      <c r="S115" s="18">
        <f>15066.968433+14775.401061</f>
        <v>29842.369493999999</v>
      </c>
      <c r="T115" s="18">
        <f>35903.091375+13180.930778</f>
        <v>49084.022153000005</v>
      </c>
      <c r="U115" t="s">
        <v>1713</v>
      </c>
    </row>
    <row r="116" spans="1:24" x14ac:dyDescent="0.25">
      <c r="A116">
        <f t="shared" si="1"/>
        <v>114</v>
      </c>
      <c r="B116" t="s">
        <v>1576</v>
      </c>
      <c r="Q116" s="18">
        <f>51051.366444+28835.914488+15250.39744</f>
        <v>95137.678371999995</v>
      </c>
      <c r="R116" s="18">
        <f>53317.665762+28102.227554+15268.450288</f>
        <v>96688.343603999994</v>
      </c>
      <c r="S116" s="18">
        <f>55803.124187+30824.217165+13868.402228</f>
        <v>100495.74358000001</v>
      </c>
      <c r="T116" s="18">
        <f>55156.40028+30514.915836+17076.616082</f>
        <v>102747.93219799999</v>
      </c>
      <c r="U116" t="s">
        <v>1756</v>
      </c>
      <c r="V116" s="18">
        <v>48525</v>
      </c>
    </row>
    <row r="117" spans="1:24" x14ac:dyDescent="0.25">
      <c r="A117">
        <f t="shared" si="1"/>
        <v>115</v>
      </c>
      <c r="B117" t="s">
        <v>1578</v>
      </c>
      <c r="Q117" s="18">
        <v>53885.177388999997</v>
      </c>
      <c r="R117" s="18">
        <v>51703.013235999999</v>
      </c>
      <c r="S117" s="18">
        <v>54928.639590999999</v>
      </c>
    </row>
    <row r="118" spans="1:24" x14ac:dyDescent="0.25">
      <c r="A118">
        <f t="shared" si="1"/>
        <v>116</v>
      </c>
      <c r="B118" t="s">
        <v>1134</v>
      </c>
    </row>
    <row r="119" spans="1:24" x14ac:dyDescent="0.25">
      <c r="A119">
        <f t="shared" si="1"/>
        <v>117</v>
      </c>
      <c r="B119" t="s">
        <v>1135</v>
      </c>
    </row>
    <row r="120" spans="1:24" x14ac:dyDescent="0.25">
      <c r="A120">
        <f t="shared" si="1"/>
        <v>118</v>
      </c>
      <c r="B120" t="s">
        <v>1137</v>
      </c>
    </row>
    <row r="121" spans="1:24" x14ac:dyDescent="0.25">
      <c r="A121">
        <f t="shared" si="1"/>
        <v>119</v>
      </c>
      <c r="B121" t="s">
        <v>1138</v>
      </c>
      <c r="Q121" s="18">
        <v>46791.0867</v>
      </c>
      <c r="R121" s="18">
        <v>45915.617215999999</v>
      </c>
      <c r="S121" s="18">
        <v>47139.118639</v>
      </c>
      <c r="T121" s="18">
        <v>45019.622474000003</v>
      </c>
    </row>
    <row r="122" spans="1:24" x14ac:dyDescent="0.25">
      <c r="A122">
        <f t="shared" si="1"/>
        <v>120</v>
      </c>
      <c r="B122" t="s">
        <v>1139</v>
      </c>
    </row>
    <row r="123" spans="1:24" x14ac:dyDescent="0.25">
      <c r="A123">
        <f t="shared" ref="A123:A353" si="2">+A122+1</f>
        <v>121</v>
      </c>
      <c r="B123" t="s">
        <v>1140</v>
      </c>
    </row>
    <row r="124" spans="1:24" x14ac:dyDescent="0.25">
      <c r="A124">
        <f t="shared" si="2"/>
        <v>122</v>
      </c>
      <c r="B124" t="s">
        <v>1141</v>
      </c>
    </row>
    <row r="125" spans="1:24" x14ac:dyDescent="0.25">
      <c r="A125">
        <f t="shared" si="2"/>
        <v>123</v>
      </c>
      <c r="B125" t="s">
        <v>1142</v>
      </c>
      <c r="Q125" s="18">
        <v>10821.350415000001</v>
      </c>
      <c r="R125" s="18">
        <v>10387.065741</v>
      </c>
      <c r="S125" s="18">
        <v>11008.486943</v>
      </c>
      <c r="T125" s="18">
        <v>10376.065932</v>
      </c>
    </row>
    <row r="126" spans="1:24" x14ac:dyDescent="0.25">
      <c r="A126">
        <f t="shared" si="2"/>
        <v>124</v>
      </c>
      <c r="B126" t="s">
        <v>1143</v>
      </c>
    </row>
    <row r="127" spans="1:24" x14ac:dyDescent="0.25">
      <c r="A127">
        <f t="shared" si="2"/>
        <v>125</v>
      </c>
      <c r="B127" t="s">
        <v>1144</v>
      </c>
    </row>
    <row r="128" spans="1:24" x14ac:dyDescent="0.25">
      <c r="A128">
        <f t="shared" si="2"/>
        <v>126</v>
      </c>
      <c r="B128" t="s">
        <v>1145</v>
      </c>
      <c r="Q128" s="18">
        <v>21908.105871</v>
      </c>
      <c r="R128" s="18">
        <v>20775.578858000001</v>
      </c>
      <c r="S128" s="18">
        <v>21407.540123999999</v>
      </c>
    </row>
    <row r="129" spans="1:24" x14ac:dyDescent="0.25">
      <c r="A129">
        <f t="shared" si="2"/>
        <v>127</v>
      </c>
      <c r="B129" t="s">
        <v>1146</v>
      </c>
    </row>
    <row r="130" spans="1:24" x14ac:dyDescent="0.25">
      <c r="A130">
        <f t="shared" si="2"/>
        <v>128</v>
      </c>
      <c r="B130" t="s">
        <v>1147</v>
      </c>
    </row>
    <row r="131" spans="1:24" x14ac:dyDescent="0.25">
      <c r="A131">
        <f t="shared" si="2"/>
        <v>129</v>
      </c>
      <c r="B131" t="s">
        <v>1149</v>
      </c>
    </row>
    <row r="132" spans="1:24" x14ac:dyDescent="0.25">
      <c r="A132">
        <f t="shared" si="2"/>
        <v>130</v>
      </c>
      <c r="B132" t="s">
        <v>1150</v>
      </c>
    </row>
    <row r="133" spans="1:24" x14ac:dyDescent="0.25">
      <c r="A133">
        <f t="shared" si="2"/>
        <v>131</v>
      </c>
      <c r="B133" t="s">
        <v>1151</v>
      </c>
    </row>
    <row r="134" spans="1:24" x14ac:dyDescent="0.25">
      <c r="A134">
        <f t="shared" si="2"/>
        <v>132</v>
      </c>
      <c r="B134" t="s">
        <v>1152</v>
      </c>
      <c r="Q134" s="18">
        <v>9303.4897380000002</v>
      </c>
      <c r="R134" s="18">
        <v>18620.051256999999</v>
      </c>
      <c r="S134" s="18">
        <v>23281.439689999999</v>
      </c>
      <c r="W134" s="18">
        <v>8746</v>
      </c>
      <c r="X134" s="18">
        <v>2852</v>
      </c>
    </row>
    <row r="135" spans="1:24" x14ac:dyDescent="0.25">
      <c r="A135">
        <f t="shared" si="2"/>
        <v>133</v>
      </c>
      <c r="B135" t="s">
        <v>1154</v>
      </c>
    </row>
    <row r="136" spans="1:24" x14ac:dyDescent="0.25">
      <c r="A136">
        <f t="shared" si="2"/>
        <v>134</v>
      </c>
      <c r="B136" t="s">
        <v>1205</v>
      </c>
      <c r="Q136" s="18">
        <v>54751.960169999998</v>
      </c>
      <c r="R136" s="18">
        <v>54719.876559999997</v>
      </c>
      <c r="S136" s="18">
        <v>56861.956705999997</v>
      </c>
    </row>
    <row r="137" spans="1:24" x14ac:dyDescent="0.25">
      <c r="A137">
        <f t="shared" si="2"/>
        <v>135</v>
      </c>
      <c r="B137" t="s">
        <v>197</v>
      </c>
      <c r="Q137" s="18">
        <v>52979.539382000003</v>
      </c>
      <c r="R137" s="18">
        <v>54008.710010000003</v>
      </c>
      <c r="S137" s="18">
        <v>56635.136795999999</v>
      </c>
    </row>
    <row r="138" spans="1:24" x14ac:dyDescent="0.25">
      <c r="A138">
        <f t="shared" si="2"/>
        <v>136</v>
      </c>
      <c r="B138" t="s">
        <v>1579</v>
      </c>
      <c r="Q138" s="18">
        <v>51002.404795000002</v>
      </c>
      <c r="R138" s="18">
        <v>52167.367171999998</v>
      </c>
      <c r="S138" s="18">
        <v>54540.124961000001</v>
      </c>
      <c r="T138" s="18">
        <v>53268.546018000001</v>
      </c>
    </row>
    <row r="139" spans="1:24" x14ac:dyDescent="0.25">
      <c r="A139">
        <f t="shared" si="2"/>
        <v>137</v>
      </c>
      <c r="B139" t="s">
        <v>1580</v>
      </c>
      <c r="Q139" s="18">
        <v>46019.196891</v>
      </c>
      <c r="R139" s="18">
        <v>46476.831030000001</v>
      </c>
      <c r="S139" s="18">
        <v>50343.044012999999</v>
      </c>
      <c r="T139" s="18">
        <v>52757.395789000002</v>
      </c>
      <c r="V139" s="18">
        <v>1500</v>
      </c>
      <c r="W139" s="18">
        <v>339</v>
      </c>
      <c r="X139" s="18">
        <v>164</v>
      </c>
    </row>
    <row r="140" spans="1:24" x14ac:dyDescent="0.25">
      <c r="A140">
        <f t="shared" si="2"/>
        <v>138</v>
      </c>
      <c r="B140" t="s">
        <v>1581</v>
      </c>
      <c r="Q140" s="18">
        <v>42716.147340000003</v>
      </c>
      <c r="R140" s="18">
        <v>50778.216228999998</v>
      </c>
      <c r="S140" s="18">
        <v>52418.774123000003</v>
      </c>
      <c r="T140" s="18">
        <v>52555.475607</v>
      </c>
    </row>
    <row r="141" spans="1:24" x14ac:dyDescent="0.25">
      <c r="A141">
        <f t="shared" si="2"/>
        <v>139</v>
      </c>
      <c r="B141" t="s">
        <v>1582</v>
      </c>
      <c r="Q141" s="18">
        <f>40048.195645+27550.133324</f>
        <v>67598.328968999995</v>
      </c>
      <c r="R141" s="18">
        <f>52168.9389+29341.480056</f>
        <v>81510.418956000009</v>
      </c>
      <c r="S141" s="18">
        <f>43579.740009+32436.261691</f>
        <v>76016.001699999993</v>
      </c>
      <c r="T141" s="18">
        <v>33237.001909999999</v>
      </c>
      <c r="U141" t="s">
        <v>1628</v>
      </c>
      <c r="V141" s="18">
        <v>26850</v>
      </c>
      <c r="W141" s="18">
        <v>7391</v>
      </c>
      <c r="X141" s="18">
        <v>3030</v>
      </c>
    </row>
    <row r="142" spans="1:24" x14ac:dyDescent="0.25">
      <c r="A142">
        <f t="shared" si="2"/>
        <v>140</v>
      </c>
      <c r="B142" t="s">
        <v>1583</v>
      </c>
      <c r="Q142" s="18">
        <v>47689.546507999999</v>
      </c>
      <c r="R142" s="18">
        <v>48206.226021000002</v>
      </c>
      <c r="S142" s="18">
        <v>51494.799701999997</v>
      </c>
    </row>
    <row r="143" spans="1:24" x14ac:dyDescent="0.25">
      <c r="A143">
        <f t="shared" si="2"/>
        <v>141</v>
      </c>
      <c r="B143" t="s">
        <v>1584</v>
      </c>
      <c r="Q143" s="18">
        <v>38666.183408999997</v>
      </c>
      <c r="R143" s="18">
        <v>42101.555493</v>
      </c>
      <c r="S143" s="18">
        <v>46519.639168000002</v>
      </c>
      <c r="T143" s="18">
        <v>49486.210978000003</v>
      </c>
    </row>
    <row r="144" spans="1:24" x14ac:dyDescent="0.25">
      <c r="A144">
        <f t="shared" si="2"/>
        <v>142</v>
      </c>
      <c r="B144" t="s">
        <v>1585</v>
      </c>
      <c r="Q144" s="18">
        <v>44022.364403</v>
      </c>
      <c r="R144" s="18">
        <v>44670.110519000002</v>
      </c>
      <c r="S144" s="18">
        <v>48607.373247000003</v>
      </c>
      <c r="T144" s="18">
        <v>44807.139258000003</v>
      </c>
    </row>
    <row r="145" spans="1:24" x14ac:dyDescent="0.25">
      <c r="A145">
        <f t="shared" si="2"/>
        <v>143</v>
      </c>
      <c r="B145" t="s">
        <v>1586</v>
      </c>
      <c r="Q145" s="18">
        <v>44368.548970000003</v>
      </c>
      <c r="R145" s="18">
        <v>45011.374929999998</v>
      </c>
      <c r="S145" s="18">
        <v>47918.061158999997</v>
      </c>
      <c r="T145" s="18">
        <v>47515.786766999998</v>
      </c>
    </row>
    <row r="146" spans="1:24" x14ac:dyDescent="0.25">
      <c r="A146">
        <f t="shared" si="2"/>
        <v>144</v>
      </c>
      <c r="B146" t="s">
        <v>1587</v>
      </c>
      <c r="Q146" s="18">
        <v>45859.445374000003</v>
      </c>
      <c r="R146" s="18">
        <v>47666.958892000002</v>
      </c>
      <c r="S146" s="18">
        <v>45088.138766999997</v>
      </c>
    </row>
    <row r="147" spans="1:24" x14ac:dyDescent="0.25">
      <c r="A147">
        <f t="shared" si="2"/>
        <v>145</v>
      </c>
      <c r="B147" t="s">
        <v>1590</v>
      </c>
      <c r="Q147" s="18">
        <v>37863.906886999997</v>
      </c>
      <c r="R147" s="18">
        <v>37979.267502000002</v>
      </c>
      <c r="S147" s="18">
        <v>45165.017097000004</v>
      </c>
      <c r="T147" s="18">
        <v>46096.092685000003</v>
      </c>
    </row>
    <row r="148" spans="1:24" x14ac:dyDescent="0.25">
      <c r="A148">
        <f t="shared" si="2"/>
        <v>146</v>
      </c>
      <c r="B148" t="s">
        <v>1591</v>
      </c>
      <c r="Q148" s="18">
        <v>46072.208547000002</v>
      </c>
      <c r="R148" s="18">
        <f>42060.220821+20069.394085</f>
        <v>62129.614906000003</v>
      </c>
      <c r="S148" s="18">
        <f>44461.80943+22598.005658</f>
        <v>67059.815088000003</v>
      </c>
      <c r="T148" s="18">
        <v>24628.108183</v>
      </c>
      <c r="U148" t="s">
        <v>1597</v>
      </c>
    </row>
    <row r="149" spans="1:24" x14ac:dyDescent="0.25">
      <c r="A149">
        <f t="shared" si="2"/>
        <v>147</v>
      </c>
      <c r="B149" t="s">
        <v>1592</v>
      </c>
      <c r="Q149" s="18">
        <f>20199.635956+12684.684809+9287.658356</f>
        <v>42171.979120999997</v>
      </c>
      <c r="R149" s="18">
        <v>43422.523611999997</v>
      </c>
      <c r="S149" s="18">
        <v>45714.122976999999</v>
      </c>
      <c r="U149" t="s">
        <v>1685</v>
      </c>
      <c r="W149" s="18">
        <v>306</v>
      </c>
      <c r="X149" s="18">
        <v>54</v>
      </c>
    </row>
    <row r="150" spans="1:24" x14ac:dyDescent="0.25">
      <c r="A150">
        <f t="shared" si="2"/>
        <v>148</v>
      </c>
      <c r="B150" t="s">
        <v>1594</v>
      </c>
      <c r="Q150" s="18">
        <v>43135.381801000003</v>
      </c>
      <c r="R150" s="18">
        <v>40966.78585</v>
      </c>
      <c r="S150" s="18">
        <v>45305.643426000002</v>
      </c>
      <c r="T150" s="18">
        <v>43052.559330999997</v>
      </c>
      <c r="W150" s="18">
        <v>605</v>
      </c>
      <c r="X150" s="18">
        <v>268</v>
      </c>
    </row>
    <row r="151" spans="1:24" x14ac:dyDescent="0.25">
      <c r="A151">
        <f t="shared" si="2"/>
        <v>149</v>
      </c>
      <c r="B151" t="s">
        <v>1595</v>
      </c>
      <c r="Q151" s="18">
        <v>44770.242665999998</v>
      </c>
      <c r="R151" s="18">
        <v>42320.440338</v>
      </c>
      <c r="S151" s="18">
        <v>44348.111970999998</v>
      </c>
      <c r="T151" s="18">
        <v>39201.835650000001</v>
      </c>
    </row>
    <row r="152" spans="1:24" x14ac:dyDescent="0.25">
      <c r="A152">
        <f t="shared" si="2"/>
        <v>150</v>
      </c>
      <c r="B152" t="s">
        <v>1596</v>
      </c>
      <c r="T152" s="18">
        <v>44628.469355000001</v>
      </c>
    </row>
    <row r="153" spans="1:24" x14ac:dyDescent="0.25">
      <c r="A153">
        <f t="shared" si="2"/>
        <v>151</v>
      </c>
      <c r="B153" t="s">
        <v>1598</v>
      </c>
      <c r="Q153" s="18">
        <v>42069.674503000002</v>
      </c>
      <c r="R153" s="18">
        <v>42304.285980000001</v>
      </c>
      <c r="S153" s="18">
        <v>44123.746715000001</v>
      </c>
      <c r="T153" s="18">
        <v>42523.933711999998</v>
      </c>
    </row>
    <row r="154" spans="1:24" x14ac:dyDescent="0.25">
      <c r="A154">
        <f t="shared" si="2"/>
        <v>152</v>
      </c>
      <c r="B154" t="s">
        <v>1600</v>
      </c>
      <c r="Q154" s="18">
        <v>43317.845974999997</v>
      </c>
      <c r="R154" s="18">
        <v>39855.562576999997</v>
      </c>
      <c r="S154" s="18">
        <v>38739.331264</v>
      </c>
      <c r="T154" s="18">
        <v>37010.355943000002</v>
      </c>
    </row>
    <row r="155" spans="1:24" x14ac:dyDescent="0.25">
      <c r="A155">
        <f t="shared" si="2"/>
        <v>153</v>
      </c>
      <c r="B155" t="s">
        <v>1601</v>
      </c>
      <c r="R155" s="18">
        <v>36679.393512000002</v>
      </c>
      <c r="S155" s="18">
        <v>42730.720221000003</v>
      </c>
      <c r="W155" s="18">
        <v>249</v>
      </c>
      <c r="X155" s="18">
        <v>39</v>
      </c>
    </row>
    <row r="156" spans="1:24" x14ac:dyDescent="0.25">
      <c r="A156">
        <f t="shared" si="2"/>
        <v>154</v>
      </c>
      <c r="B156" t="s">
        <v>1603</v>
      </c>
      <c r="Q156" s="18">
        <v>29668.001351999999</v>
      </c>
      <c r="R156" s="18">
        <v>34907.205350999997</v>
      </c>
      <c r="S156" s="18">
        <v>42244.808022999998</v>
      </c>
    </row>
    <row r="157" spans="1:24" x14ac:dyDescent="0.25">
      <c r="A157">
        <f t="shared" si="2"/>
        <v>155</v>
      </c>
      <c r="B157" t="s">
        <v>1604</v>
      </c>
      <c r="Q157" s="18">
        <v>39407.883379999999</v>
      </c>
      <c r="R157" s="18">
        <v>39689.789810000002</v>
      </c>
      <c r="S157" s="18">
        <v>42136.021312999997</v>
      </c>
      <c r="T157" s="18">
        <v>42177.380848000001</v>
      </c>
      <c r="W157" s="18">
        <v>252</v>
      </c>
      <c r="X157" s="18">
        <v>100</v>
      </c>
    </row>
    <row r="158" spans="1:24" x14ac:dyDescent="0.25">
      <c r="A158">
        <f t="shared" si="2"/>
        <v>156</v>
      </c>
      <c r="B158" t="s">
        <v>1605</v>
      </c>
      <c r="Q158" s="18">
        <v>36797.567920000001</v>
      </c>
      <c r="R158" s="18">
        <v>39807.957020000002</v>
      </c>
      <c r="S158" s="18">
        <v>41244.903600999998</v>
      </c>
      <c r="T158" s="18">
        <v>41272.387094999998</v>
      </c>
    </row>
    <row r="159" spans="1:24" x14ac:dyDescent="0.25">
      <c r="A159">
        <f t="shared" si="2"/>
        <v>157</v>
      </c>
      <c r="B159" t="s">
        <v>1606</v>
      </c>
      <c r="Q159" s="18">
        <v>40121.945845000002</v>
      </c>
      <c r="R159" s="18">
        <v>39169.590728000003</v>
      </c>
      <c r="S159" s="18">
        <v>40614.495894</v>
      </c>
      <c r="T159" s="18">
        <v>41011.176628000001</v>
      </c>
    </row>
    <row r="160" spans="1:24" x14ac:dyDescent="0.25">
      <c r="A160">
        <f t="shared" si="2"/>
        <v>158</v>
      </c>
      <c r="B160" t="s">
        <v>1607</v>
      </c>
      <c r="Q160" s="18">
        <f>38687.455009+31838.490579</f>
        <v>70525.945588000002</v>
      </c>
      <c r="R160" s="18">
        <f>38120.36827+32421.064819</f>
        <v>70541.433088999998</v>
      </c>
      <c r="S160" s="18">
        <f>40534.351361+34050.187603</f>
        <v>74584.538964000007</v>
      </c>
      <c r="T160" s="18">
        <f>40939.661997+34378.594285</f>
        <v>75318.256282000002</v>
      </c>
      <c r="U160" t="s">
        <v>1620</v>
      </c>
      <c r="W160" s="18">
        <v>730</v>
      </c>
      <c r="X160" s="18">
        <v>220</v>
      </c>
    </row>
    <row r="161" spans="1:24" x14ac:dyDescent="0.25">
      <c r="A161">
        <f t="shared" si="2"/>
        <v>159</v>
      </c>
      <c r="B161" t="s">
        <v>1608</v>
      </c>
      <c r="Q161" s="18">
        <v>37612.394798000001</v>
      </c>
      <c r="R161" s="18">
        <v>37378.109923999997</v>
      </c>
      <c r="S161" s="18">
        <v>40800.019390000001</v>
      </c>
      <c r="W161" s="18">
        <v>18</v>
      </c>
      <c r="X161" s="18">
        <v>1</v>
      </c>
    </row>
    <row r="162" spans="1:24" x14ac:dyDescent="0.25">
      <c r="A162">
        <f t="shared" si="2"/>
        <v>160</v>
      </c>
      <c r="B162" t="s">
        <v>1612</v>
      </c>
      <c r="Q162" s="18">
        <v>37896.465042000003</v>
      </c>
      <c r="R162" s="18">
        <v>37831.387917</v>
      </c>
      <c r="S162" s="18">
        <v>39772.927227</v>
      </c>
    </row>
    <row r="163" spans="1:24" x14ac:dyDescent="0.25">
      <c r="A163">
        <f t="shared" si="2"/>
        <v>161</v>
      </c>
      <c r="B163" t="s">
        <v>1609</v>
      </c>
      <c r="P163" s="18">
        <v>32723.236637000002</v>
      </c>
      <c r="Q163" s="18">
        <v>33553.310835999997</v>
      </c>
      <c r="R163" s="18">
        <v>37059.194254000002</v>
      </c>
      <c r="S163" s="18">
        <v>39337.977121999997</v>
      </c>
      <c r="W163" s="18">
        <v>36</v>
      </c>
      <c r="X163" s="18">
        <v>8</v>
      </c>
    </row>
    <row r="164" spans="1:24" x14ac:dyDescent="0.25">
      <c r="A164">
        <f t="shared" si="2"/>
        <v>162</v>
      </c>
      <c r="B164" t="s">
        <v>1610</v>
      </c>
      <c r="Q164" s="18">
        <v>34261.235830999998</v>
      </c>
      <c r="R164" s="18">
        <v>35183.070574999998</v>
      </c>
      <c r="S164" s="18">
        <v>37152.409510999998</v>
      </c>
      <c r="T164" s="18">
        <v>38610.010824999998</v>
      </c>
      <c r="W164" s="18">
        <v>294</v>
      </c>
      <c r="X164" s="18">
        <v>98</v>
      </c>
    </row>
    <row r="165" spans="1:24" x14ac:dyDescent="0.25">
      <c r="A165">
        <f t="shared" si="2"/>
        <v>163</v>
      </c>
      <c r="B165" t="s">
        <v>1611</v>
      </c>
      <c r="Q165" s="18">
        <v>30371.248124000002</v>
      </c>
      <c r="R165" s="18">
        <v>36073.68679</v>
      </c>
      <c r="S165" s="18">
        <v>38595.650685000001</v>
      </c>
      <c r="T165" s="18">
        <v>38501.093649000002</v>
      </c>
      <c r="W165" s="18">
        <v>1265</v>
      </c>
      <c r="X165" s="18">
        <v>384</v>
      </c>
    </row>
    <row r="166" spans="1:24" x14ac:dyDescent="0.25">
      <c r="A166">
        <f t="shared" si="2"/>
        <v>164</v>
      </c>
      <c r="B166" t="s">
        <v>1613</v>
      </c>
      <c r="Q166" s="18">
        <v>37521.423334999999</v>
      </c>
      <c r="R166" s="18">
        <v>34917.811759999997</v>
      </c>
      <c r="S166" s="18">
        <v>37697.860591999997</v>
      </c>
      <c r="W166" s="18">
        <v>90</v>
      </c>
      <c r="X166" s="18">
        <v>31</v>
      </c>
    </row>
    <row r="167" spans="1:24" x14ac:dyDescent="0.25">
      <c r="A167">
        <f t="shared" si="2"/>
        <v>165</v>
      </c>
      <c r="B167" t="s">
        <v>1614</v>
      </c>
      <c r="Q167" s="18">
        <v>35609.987120999998</v>
      </c>
      <c r="R167" s="18">
        <v>36215.546027999997</v>
      </c>
      <c r="S167" s="18">
        <v>37466.840981000001</v>
      </c>
      <c r="T167" s="18">
        <v>37379.906458999998</v>
      </c>
      <c r="W167" s="18">
        <v>77</v>
      </c>
      <c r="X167" s="18">
        <v>30</v>
      </c>
    </row>
    <row r="168" spans="1:24" x14ac:dyDescent="0.25">
      <c r="A168">
        <f t="shared" si="2"/>
        <v>166</v>
      </c>
      <c r="B168" t="s">
        <v>1615</v>
      </c>
      <c r="Q168" s="18">
        <v>37230.066219</v>
      </c>
      <c r="R168" s="18">
        <v>36888.536778000002</v>
      </c>
      <c r="S168" s="18">
        <v>37077.308106999997</v>
      </c>
      <c r="T168" s="18">
        <v>34834.960855999998</v>
      </c>
      <c r="W168" s="18">
        <v>56</v>
      </c>
      <c r="X168" s="18">
        <v>15</v>
      </c>
    </row>
    <row r="169" spans="1:24" x14ac:dyDescent="0.25">
      <c r="A169">
        <f t="shared" si="2"/>
        <v>167</v>
      </c>
      <c r="B169" t="s">
        <v>1616</v>
      </c>
      <c r="Q169" s="18">
        <v>30759.680285999999</v>
      </c>
      <c r="R169" s="18">
        <v>32334.211027000001</v>
      </c>
      <c r="S169" s="18">
        <v>34915.672702000003</v>
      </c>
      <c r="T169" s="18">
        <v>36814.830044000002</v>
      </c>
      <c r="W169" s="18">
        <v>38</v>
      </c>
      <c r="X169" s="18">
        <v>8</v>
      </c>
    </row>
    <row r="170" spans="1:24" x14ac:dyDescent="0.25">
      <c r="A170">
        <f t="shared" si="2"/>
        <v>168</v>
      </c>
      <c r="B170" t="s">
        <v>1617</v>
      </c>
      <c r="Q170" s="18">
        <v>35751.757681000003</v>
      </c>
      <c r="R170" s="18">
        <v>34032.557868999997</v>
      </c>
      <c r="S170" s="18">
        <v>32948.045234999998</v>
      </c>
      <c r="T170" s="18">
        <v>33795.783382000001</v>
      </c>
      <c r="W170" s="18">
        <v>112</v>
      </c>
      <c r="X170" s="18">
        <v>12</v>
      </c>
    </row>
    <row r="171" spans="1:24" x14ac:dyDescent="0.25">
      <c r="A171">
        <f t="shared" si="2"/>
        <v>169</v>
      </c>
      <c r="B171" t="s">
        <v>1618</v>
      </c>
      <c r="Q171" s="18">
        <v>28549.248364999999</v>
      </c>
      <c r="R171" s="18">
        <v>30748.776248999999</v>
      </c>
      <c r="S171" s="18">
        <v>33600.970461999997</v>
      </c>
      <c r="T171" s="18">
        <v>35097.639185</v>
      </c>
    </row>
    <row r="172" spans="1:24" x14ac:dyDescent="0.25">
      <c r="A172">
        <f t="shared" si="2"/>
        <v>170</v>
      </c>
      <c r="B172" t="s">
        <v>1621</v>
      </c>
      <c r="Q172" s="18">
        <v>34313.327147999997</v>
      </c>
      <c r="R172" s="18">
        <v>31799.354093000002</v>
      </c>
      <c r="S172" s="18">
        <v>33251.276290000002</v>
      </c>
      <c r="T172" s="18">
        <v>31757.266285999998</v>
      </c>
    </row>
    <row r="173" spans="1:24" x14ac:dyDescent="0.25">
      <c r="A173">
        <f t="shared" si="2"/>
        <v>171</v>
      </c>
      <c r="B173" t="s">
        <v>1622</v>
      </c>
      <c r="Q173" s="18">
        <v>33361.073810000002</v>
      </c>
      <c r="R173" s="18">
        <v>33615.929752999997</v>
      </c>
      <c r="S173" s="18">
        <v>33773.635363000001</v>
      </c>
      <c r="W173" s="18">
        <v>2409</v>
      </c>
      <c r="X173" s="18">
        <v>674</v>
      </c>
    </row>
    <row r="174" spans="1:24" x14ac:dyDescent="0.25">
      <c r="A174">
        <f t="shared" si="2"/>
        <v>172</v>
      </c>
      <c r="B174" t="s">
        <v>1623</v>
      </c>
      <c r="Q174" s="18">
        <v>30862.907063999999</v>
      </c>
      <c r="R174" s="18">
        <v>31181.095494000001</v>
      </c>
      <c r="S174" s="18">
        <v>33728.772685000004</v>
      </c>
      <c r="W174" s="18">
        <v>56</v>
      </c>
      <c r="X174" s="18">
        <v>0</v>
      </c>
    </row>
    <row r="175" spans="1:24" x14ac:dyDescent="0.25">
      <c r="A175">
        <f t="shared" si="2"/>
        <v>173</v>
      </c>
      <c r="B175" t="s">
        <v>1624</v>
      </c>
      <c r="Q175" s="18">
        <v>27215.512261</v>
      </c>
      <c r="R175" s="18">
        <v>31071.506447</v>
      </c>
      <c r="S175" s="18">
        <v>33707.861091999999</v>
      </c>
    </row>
    <row r="176" spans="1:24" x14ac:dyDescent="0.25">
      <c r="A176">
        <f t="shared" si="2"/>
        <v>174</v>
      </c>
      <c r="B176" t="s">
        <v>1625</v>
      </c>
      <c r="Q176" s="18">
        <v>32684.862487999999</v>
      </c>
      <c r="R176" s="18">
        <v>32399.876112000002</v>
      </c>
      <c r="S176" s="18">
        <v>33548.071670999998</v>
      </c>
      <c r="T176" s="18">
        <v>32939.805691000001</v>
      </c>
      <c r="W176" s="18">
        <v>1577</v>
      </c>
      <c r="X176" s="18">
        <v>576</v>
      </c>
    </row>
    <row r="177" spans="1:24" x14ac:dyDescent="0.25">
      <c r="A177">
        <f t="shared" si="2"/>
        <v>175</v>
      </c>
      <c r="B177" t="s">
        <v>1626</v>
      </c>
      <c r="Q177" s="18">
        <v>28576.193691</v>
      </c>
      <c r="R177" s="18">
        <v>29719.802032</v>
      </c>
      <c r="S177" s="18">
        <v>32527.233787000001</v>
      </c>
      <c r="T177" s="18">
        <v>33102.470594999999</v>
      </c>
    </row>
    <row r="178" spans="1:24" x14ac:dyDescent="0.25">
      <c r="A178">
        <f t="shared" si="2"/>
        <v>176</v>
      </c>
      <c r="B178" t="s">
        <v>1627</v>
      </c>
      <c r="Q178" s="18">
        <v>33086.420536999998</v>
      </c>
      <c r="R178" s="18">
        <v>22921.294308</v>
      </c>
      <c r="S178" s="18">
        <v>24261.044312000002</v>
      </c>
      <c r="T178" s="18">
        <v>24772.480299999999</v>
      </c>
    </row>
    <row r="179" spans="1:24" x14ac:dyDescent="0.25">
      <c r="A179">
        <f t="shared" si="2"/>
        <v>177</v>
      </c>
      <c r="B179" t="s">
        <v>133</v>
      </c>
      <c r="Q179" s="18">
        <v>23465.795541</v>
      </c>
      <c r="R179" s="18">
        <v>31918.202727</v>
      </c>
      <c r="S179" s="18">
        <v>32860.152525999998</v>
      </c>
    </row>
    <row r="180" spans="1:24" x14ac:dyDescent="0.25">
      <c r="A180">
        <f t="shared" si="2"/>
        <v>178</v>
      </c>
      <c r="B180" t="s">
        <v>1629</v>
      </c>
      <c r="Q180" s="18">
        <v>26054.755892000001</v>
      </c>
      <c r="R180" s="18">
        <v>26147.062579000001</v>
      </c>
      <c r="S180" s="18">
        <v>29726.846655000001</v>
      </c>
      <c r="T180" s="18">
        <v>32388.006559000001</v>
      </c>
      <c r="W180" s="18">
        <v>1460</v>
      </c>
      <c r="X180" s="18">
        <v>669</v>
      </c>
    </row>
    <row r="181" spans="1:24" x14ac:dyDescent="0.25">
      <c r="A181">
        <f t="shared" si="2"/>
        <v>179</v>
      </c>
      <c r="B181" t="s">
        <v>1630</v>
      </c>
      <c r="Q181" s="18">
        <v>27517.344581000001</v>
      </c>
      <c r="R181" s="18">
        <v>29607.884775999999</v>
      </c>
      <c r="S181" s="18">
        <v>31906.011006000001</v>
      </c>
      <c r="T181" s="18">
        <v>30741.684611000001</v>
      </c>
    </row>
    <row r="182" spans="1:24" x14ac:dyDescent="0.25">
      <c r="A182">
        <f t="shared" si="2"/>
        <v>180</v>
      </c>
      <c r="B182" t="s">
        <v>1631</v>
      </c>
      <c r="Q182" s="18">
        <v>29965.221009000001</v>
      </c>
      <c r="R182" s="18">
        <v>29761.975729999998</v>
      </c>
      <c r="S182" s="18">
        <v>31230.908328000001</v>
      </c>
      <c r="T182" s="18">
        <v>29309.050824999998</v>
      </c>
    </row>
    <row r="183" spans="1:24" x14ac:dyDescent="0.25">
      <c r="A183">
        <f t="shared" si="2"/>
        <v>181</v>
      </c>
      <c r="B183" t="s">
        <v>1632</v>
      </c>
      <c r="Q183" s="18">
        <f>18078.465386+12507.585741</f>
        <v>30586.051126999999</v>
      </c>
      <c r="R183" s="18">
        <v>30791.008440000001</v>
      </c>
      <c r="S183" s="18">
        <v>30977.122673999998</v>
      </c>
      <c r="T183" s="18">
        <v>29222.961353999999</v>
      </c>
      <c r="U183" t="s">
        <v>1763</v>
      </c>
      <c r="W183" s="18">
        <v>997</v>
      </c>
      <c r="X183" s="18">
        <v>384</v>
      </c>
    </row>
    <row r="184" spans="1:24" x14ac:dyDescent="0.25">
      <c r="A184">
        <f t="shared" si="2"/>
        <v>182</v>
      </c>
      <c r="B184" t="s">
        <v>1634</v>
      </c>
      <c r="Q184" s="18">
        <v>28738.848051000001</v>
      </c>
      <c r="R184" s="18">
        <v>29300.844491</v>
      </c>
      <c r="S184" s="18">
        <v>30430.066702</v>
      </c>
      <c r="T184" s="18">
        <v>29837.122951000001</v>
      </c>
      <c r="W184" s="18">
        <v>533</v>
      </c>
      <c r="X184" s="18">
        <v>151</v>
      </c>
    </row>
    <row r="185" spans="1:24" x14ac:dyDescent="0.25">
      <c r="A185">
        <f t="shared" si="2"/>
        <v>183</v>
      </c>
      <c r="B185" t="s">
        <v>1635</v>
      </c>
      <c r="Q185" s="18">
        <v>30010.190918</v>
      </c>
      <c r="R185" s="18">
        <v>28676.946320999999</v>
      </c>
      <c r="S185" s="18">
        <v>30100.661113999999</v>
      </c>
    </row>
    <row r="186" spans="1:24" x14ac:dyDescent="0.25">
      <c r="A186">
        <f t="shared" si="2"/>
        <v>184</v>
      </c>
      <c r="B186" t="s">
        <v>1636</v>
      </c>
      <c r="Q186" s="18">
        <v>26710.714907000001</v>
      </c>
      <c r="R186" s="18">
        <v>26940.155819</v>
      </c>
      <c r="S186" s="18">
        <v>29579.463755000001</v>
      </c>
      <c r="T186" s="18">
        <v>29693.878825</v>
      </c>
    </row>
    <row r="187" spans="1:24" x14ac:dyDescent="0.25">
      <c r="A187">
        <f t="shared" si="2"/>
        <v>185</v>
      </c>
      <c r="B187" t="s">
        <v>874</v>
      </c>
      <c r="Q187" s="18">
        <v>25527.830458</v>
      </c>
      <c r="R187" s="18">
        <v>24737.314181000002</v>
      </c>
      <c r="S187" s="18">
        <v>18831.409180999999</v>
      </c>
      <c r="W187" s="18">
        <v>2434</v>
      </c>
      <c r="X187" s="18">
        <v>815</v>
      </c>
    </row>
    <row r="188" spans="1:24" x14ac:dyDescent="0.25">
      <c r="A188">
        <f t="shared" si="2"/>
        <v>186</v>
      </c>
      <c r="B188" t="s">
        <v>1637</v>
      </c>
      <c r="Q188" s="18">
        <v>26806.242954000001</v>
      </c>
      <c r="R188" s="18">
        <v>26939.614300000001</v>
      </c>
      <c r="S188" s="18">
        <v>29188.082216999999</v>
      </c>
      <c r="W188" s="18">
        <v>57</v>
      </c>
      <c r="X188" s="18">
        <v>19</v>
      </c>
    </row>
    <row r="189" spans="1:24" x14ac:dyDescent="0.25">
      <c r="A189">
        <f t="shared" si="2"/>
        <v>187</v>
      </c>
      <c r="B189" t="s">
        <v>1638</v>
      </c>
      <c r="Q189" s="18">
        <v>25946.766387</v>
      </c>
      <c r="R189" s="18">
        <v>26139.350858000002</v>
      </c>
      <c r="S189" s="18">
        <v>28100.679454000001</v>
      </c>
      <c r="T189" s="18">
        <v>29105.402633000002</v>
      </c>
    </row>
    <row r="190" spans="1:24" x14ac:dyDescent="0.25">
      <c r="A190">
        <f t="shared" si="2"/>
        <v>188</v>
      </c>
      <c r="B190" t="s">
        <v>1639</v>
      </c>
      <c r="Q190" s="18">
        <v>27039.104735000001</v>
      </c>
      <c r="R190" s="18">
        <v>27207.389899999998</v>
      </c>
      <c r="S190" s="18">
        <v>28445.133815000001</v>
      </c>
      <c r="T190" s="18">
        <v>27553.759077999999</v>
      </c>
    </row>
    <row r="191" spans="1:24" x14ac:dyDescent="0.25">
      <c r="A191">
        <f t="shared" si="2"/>
        <v>189</v>
      </c>
      <c r="B191" t="s">
        <v>1640</v>
      </c>
      <c r="Q191" s="18">
        <v>28278.568415000002</v>
      </c>
      <c r="R191" s="18">
        <v>25412.041565</v>
      </c>
      <c r="S191" s="18">
        <v>27846.78053</v>
      </c>
      <c r="U191" t="s">
        <v>1641</v>
      </c>
    </row>
    <row r="192" spans="1:24" x14ac:dyDescent="0.25">
      <c r="A192">
        <f t="shared" si="2"/>
        <v>190</v>
      </c>
      <c r="B192" t="s">
        <v>1642</v>
      </c>
      <c r="Q192" s="18">
        <v>26477.296376999999</v>
      </c>
      <c r="R192" s="18">
        <v>25351.999607000002</v>
      </c>
      <c r="S192" s="18">
        <v>27700.919522</v>
      </c>
      <c r="T192" s="18">
        <v>16200.703942</v>
      </c>
    </row>
    <row r="193" spans="1:24" x14ac:dyDescent="0.25">
      <c r="A193">
        <f t="shared" si="2"/>
        <v>191</v>
      </c>
      <c r="B193" t="s">
        <v>1643</v>
      </c>
      <c r="Q193" s="18">
        <v>26547.531223999998</v>
      </c>
      <c r="R193" s="18">
        <v>27723.915624000001</v>
      </c>
      <c r="S193" s="18">
        <v>27830.143078000001</v>
      </c>
      <c r="T193" s="18">
        <v>28148.258869000001</v>
      </c>
      <c r="U193" t="s">
        <v>1650</v>
      </c>
      <c r="W193" s="18">
        <v>34</v>
      </c>
      <c r="X193" s="18">
        <v>6</v>
      </c>
    </row>
    <row r="194" spans="1:24" x14ac:dyDescent="0.25">
      <c r="A194">
        <f t="shared" si="2"/>
        <v>192</v>
      </c>
      <c r="B194" t="s">
        <v>1644</v>
      </c>
      <c r="Q194" s="18">
        <v>27919.277783000001</v>
      </c>
      <c r="R194" s="18">
        <v>8863.9294339999997</v>
      </c>
      <c r="S194" s="18">
        <v>8504.0392019999999</v>
      </c>
      <c r="W194" s="18">
        <v>1514</v>
      </c>
      <c r="X194" s="18">
        <v>328</v>
      </c>
    </row>
    <row r="195" spans="1:24" x14ac:dyDescent="0.25">
      <c r="A195">
        <f t="shared" si="2"/>
        <v>193</v>
      </c>
      <c r="B195" t="s">
        <v>1645</v>
      </c>
      <c r="Q195" s="18">
        <v>25563.147280000001</v>
      </c>
      <c r="R195" s="18">
        <v>26259.190061000001</v>
      </c>
      <c r="S195" s="18">
        <v>27606.756689999998</v>
      </c>
      <c r="T195" s="18">
        <v>27569.971207999999</v>
      </c>
      <c r="W195" s="18">
        <v>837</v>
      </c>
      <c r="X195" s="18">
        <v>308</v>
      </c>
    </row>
    <row r="196" spans="1:24" x14ac:dyDescent="0.25">
      <c r="A196">
        <f t="shared" si="2"/>
        <v>194</v>
      </c>
      <c r="B196" t="s">
        <v>1647</v>
      </c>
      <c r="Q196" s="18">
        <v>27026.716371999999</v>
      </c>
      <c r="R196" s="18">
        <v>25789.35785</v>
      </c>
      <c r="S196" s="18">
        <v>24768.158759999998</v>
      </c>
      <c r="T196" s="18">
        <v>24618.487260999998</v>
      </c>
      <c r="W196" s="18">
        <v>61</v>
      </c>
      <c r="X196" s="18">
        <v>14</v>
      </c>
    </row>
    <row r="197" spans="1:24" x14ac:dyDescent="0.25">
      <c r="A197">
        <f t="shared" si="2"/>
        <v>195</v>
      </c>
      <c r="B197" t="s">
        <v>1648</v>
      </c>
      <c r="Q197" s="18">
        <v>25859.27291</v>
      </c>
      <c r="R197" s="18">
        <v>26966.883529999999</v>
      </c>
      <c r="S197" s="18">
        <v>26920.442589999999</v>
      </c>
      <c r="W197" s="18">
        <v>21</v>
      </c>
      <c r="X197" s="18">
        <v>5</v>
      </c>
    </row>
    <row r="198" spans="1:24" x14ac:dyDescent="0.25">
      <c r="A198">
        <f t="shared" si="2"/>
        <v>196</v>
      </c>
      <c r="B198" t="s">
        <v>1649</v>
      </c>
      <c r="Q198" s="18">
        <v>25859.865043000002</v>
      </c>
      <c r="R198" s="18">
        <v>25854.064870999999</v>
      </c>
      <c r="S198" s="18">
        <v>26728.420631000001</v>
      </c>
      <c r="T198" s="18">
        <v>26944.070534999999</v>
      </c>
    </row>
    <row r="199" spans="1:24" x14ac:dyDescent="0.25">
      <c r="A199">
        <f t="shared" si="2"/>
        <v>197</v>
      </c>
      <c r="B199" t="s">
        <v>1651</v>
      </c>
      <c r="Q199" s="18">
        <v>26126.729745000001</v>
      </c>
      <c r="R199" s="18">
        <v>24540.128001000001</v>
      </c>
      <c r="S199" s="18">
        <v>25371.039341</v>
      </c>
      <c r="T199" s="18">
        <v>22081.146792</v>
      </c>
    </row>
    <row r="200" spans="1:24" x14ac:dyDescent="0.25">
      <c r="A200">
        <f t="shared" si="2"/>
        <v>198</v>
      </c>
      <c r="B200" t="s">
        <v>1652</v>
      </c>
      <c r="Q200" s="18">
        <v>24224.927899999999</v>
      </c>
      <c r="R200" s="18">
        <v>24439.1973</v>
      </c>
      <c r="S200" s="18">
        <v>25928.866808999999</v>
      </c>
      <c r="T200" s="18">
        <v>26041.617068</v>
      </c>
      <c r="W200" s="18">
        <v>113</v>
      </c>
      <c r="X200" s="18">
        <v>7</v>
      </c>
    </row>
    <row r="201" spans="1:24" x14ac:dyDescent="0.25">
      <c r="A201">
        <f t="shared" si="2"/>
        <v>199</v>
      </c>
      <c r="B201" t="s">
        <v>1653</v>
      </c>
      <c r="P201" s="18">
        <v>25028.243842</v>
      </c>
      <c r="Q201" s="18">
        <f>25553.48889+25098.855305</f>
        <v>50652.344194999998</v>
      </c>
      <c r="R201" s="18">
        <f>25620.349934+25308.30661</f>
        <v>50928.656543999998</v>
      </c>
      <c r="S201" s="18">
        <f>25992.151403+23356.411554</f>
        <v>49348.562957000002</v>
      </c>
      <c r="U201" t="s">
        <v>1657</v>
      </c>
    </row>
    <row r="202" spans="1:24" x14ac:dyDescent="0.25">
      <c r="A202">
        <f t="shared" si="2"/>
        <v>200</v>
      </c>
      <c r="B202" t="s">
        <v>1654</v>
      </c>
      <c r="Q202" s="18">
        <v>20776.503508999998</v>
      </c>
      <c r="R202" s="18">
        <v>23808.847710999999</v>
      </c>
      <c r="S202" s="18">
        <v>25986.991211</v>
      </c>
    </row>
    <row r="203" spans="1:24" x14ac:dyDescent="0.25">
      <c r="A203">
        <f t="shared" si="2"/>
        <v>201</v>
      </c>
      <c r="B203" t="s">
        <v>1655</v>
      </c>
      <c r="Q203" s="18">
        <v>22376.673975000002</v>
      </c>
      <c r="R203" s="18">
        <v>24180.953458</v>
      </c>
      <c r="S203" s="18">
        <v>25930.722989999998</v>
      </c>
      <c r="W203" s="18">
        <v>9</v>
      </c>
      <c r="X203" s="18">
        <v>7</v>
      </c>
    </row>
    <row r="204" spans="1:24" x14ac:dyDescent="0.25">
      <c r="A204">
        <f t="shared" si="2"/>
        <v>202</v>
      </c>
      <c r="B204" t="s">
        <v>1656</v>
      </c>
      <c r="Q204" s="18">
        <v>15383.359841</v>
      </c>
      <c r="R204" s="18">
        <v>15902.842608999999</v>
      </c>
      <c r="S204" s="18">
        <v>16894.506954</v>
      </c>
      <c r="T204" s="18">
        <v>25785.799429999999</v>
      </c>
      <c r="W204" s="18">
        <v>365</v>
      </c>
      <c r="X204" s="18">
        <v>192</v>
      </c>
    </row>
    <row r="205" spans="1:24" x14ac:dyDescent="0.25">
      <c r="A205">
        <f t="shared" si="2"/>
        <v>203</v>
      </c>
      <c r="B205" t="s">
        <v>1658</v>
      </c>
      <c r="Q205" s="18">
        <v>25550.406404000001</v>
      </c>
      <c r="R205" s="18">
        <v>24539.466800999999</v>
      </c>
      <c r="S205" s="18">
        <v>25278.411424999998</v>
      </c>
      <c r="W205" s="18">
        <v>36</v>
      </c>
      <c r="X205" s="18">
        <v>21</v>
      </c>
    </row>
    <row r="206" spans="1:24" x14ac:dyDescent="0.25">
      <c r="A206">
        <f t="shared" si="2"/>
        <v>204</v>
      </c>
      <c r="B206" t="s">
        <v>1659</v>
      </c>
      <c r="Q206" s="18">
        <v>22983.332232000001</v>
      </c>
      <c r="R206" s="18">
        <v>23856.983187999998</v>
      </c>
      <c r="S206" s="18">
        <v>25497.831043999999</v>
      </c>
      <c r="T206" s="18">
        <v>25134.402555000001</v>
      </c>
    </row>
    <row r="207" spans="1:24" x14ac:dyDescent="0.25">
      <c r="A207">
        <f t="shared" si="2"/>
        <v>205</v>
      </c>
      <c r="B207" t="s">
        <v>1660</v>
      </c>
      <c r="Q207" s="18">
        <v>22924.152096000002</v>
      </c>
      <c r="R207" s="18">
        <v>23355.046605</v>
      </c>
      <c r="S207" s="18">
        <v>25472.972441000002</v>
      </c>
      <c r="W207" s="18">
        <v>29</v>
      </c>
      <c r="X207" s="18">
        <v>11</v>
      </c>
    </row>
    <row r="208" spans="1:24" x14ac:dyDescent="0.25">
      <c r="A208">
        <f t="shared" si="2"/>
        <v>206</v>
      </c>
      <c r="B208" t="s">
        <v>1661</v>
      </c>
      <c r="Q208" s="18">
        <v>24764.541324000002</v>
      </c>
      <c r="R208" s="18">
        <v>23931.511087999999</v>
      </c>
      <c r="S208" s="18">
        <v>22927.663719</v>
      </c>
      <c r="W208" s="18">
        <v>1320</v>
      </c>
      <c r="X208" s="18">
        <v>423</v>
      </c>
    </row>
    <row r="209" spans="1:24" x14ac:dyDescent="0.25">
      <c r="A209">
        <f t="shared" si="2"/>
        <v>207</v>
      </c>
      <c r="B209" t="s">
        <v>1662</v>
      </c>
      <c r="Q209" s="18">
        <v>24501.252111999998</v>
      </c>
      <c r="R209" s="18">
        <v>23379.941973000001</v>
      </c>
      <c r="S209" s="18">
        <v>24719.469423999999</v>
      </c>
      <c r="T209" s="18">
        <v>22646.357067000001</v>
      </c>
      <c r="W209" s="18">
        <v>119</v>
      </c>
      <c r="X209" s="18">
        <v>31</v>
      </c>
    </row>
    <row r="210" spans="1:24" x14ac:dyDescent="0.25">
      <c r="A210">
        <f t="shared" si="2"/>
        <v>208</v>
      </c>
      <c r="B210" t="s">
        <v>880</v>
      </c>
      <c r="Q210" s="18">
        <v>18062.347472000001</v>
      </c>
      <c r="R210" s="18">
        <v>21535.153732999999</v>
      </c>
      <c r="S210" s="18">
        <v>24690.574099000001</v>
      </c>
      <c r="W210" s="18">
        <v>2571</v>
      </c>
    </row>
    <row r="211" spans="1:24" x14ac:dyDescent="0.25">
      <c r="A211">
        <f t="shared" si="2"/>
        <v>209</v>
      </c>
      <c r="B211" t="s">
        <v>1663</v>
      </c>
      <c r="Q211" s="18">
        <v>21107.344217999998</v>
      </c>
      <c r="R211" s="18">
        <v>22515.377495000001</v>
      </c>
      <c r="S211" s="18">
        <v>23126.305892</v>
      </c>
      <c r="T211" s="18">
        <v>23911.123619999998</v>
      </c>
      <c r="W211" s="18">
        <v>156</v>
      </c>
      <c r="X211" s="18">
        <v>78</v>
      </c>
    </row>
    <row r="212" spans="1:24" x14ac:dyDescent="0.25">
      <c r="A212">
        <f t="shared" si="2"/>
        <v>210</v>
      </c>
      <c r="B212" t="s">
        <v>1664</v>
      </c>
      <c r="Q212" s="18">
        <v>23904.067749999998</v>
      </c>
      <c r="R212" s="18">
        <v>22653.397343000001</v>
      </c>
      <c r="S212" s="18">
        <v>23600.158368</v>
      </c>
      <c r="T212" s="18">
        <v>19939.372554000001</v>
      </c>
    </row>
    <row r="213" spans="1:24" x14ac:dyDescent="0.25">
      <c r="A213">
        <f t="shared" si="2"/>
        <v>211</v>
      </c>
      <c r="B213" t="s">
        <v>1665</v>
      </c>
      <c r="Q213" s="18">
        <v>23246.477964000002</v>
      </c>
      <c r="R213" s="18">
        <v>23814.499918000001</v>
      </c>
      <c r="S213" s="18">
        <v>20625.263959</v>
      </c>
      <c r="T213" s="18">
        <v>22116.519230999998</v>
      </c>
      <c r="W213" s="18">
        <v>76</v>
      </c>
      <c r="X213" s="18">
        <v>28</v>
      </c>
    </row>
    <row r="214" spans="1:24" x14ac:dyDescent="0.25">
      <c r="A214">
        <f t="shared" si="2"/>
        <v>212</v>
      </c>
      <c r="B214" t="s">
        <v>1666</v>
      </c>
      <c r="Q214" s="18">
        <v>19047.708537999999</v>
      </c>
      <c r="R214" s="18">
        <v>21418.721393</v>
      </c>
      <c r="S214" s="18">
        <v>23718.035</v>
      </c>
      <c r="W214" s="18">
        <v>154</v>
      </c>
      <c r="X214" s="18">
        <v>51</v>
      </c>
    </row>
    <row r="215" spans="1:24" x14ac:dyDescent="0.25">
      <c r="A215">
        <f t="shared" si="2"/>
        <v>213</v>
      </c>
      <c r="B215" t="s">
        <v>1667</v>
      </c>
      <c r="Q215" s="18">
        <v>22169.872920999998</v>
      </c>
      <c r="R215" s="18">
        <v>22188.926476000001</v>
      </c>
      <c r="S215" s="18">
        <v>23298.135470000001</v>
      </c>
      <c r="T215" s="18">
        <v>23107.338851</v>
      </c>
      <c r="W215" s="18">
        <v>71</v>
      </c>
      <c r="X215" s="18">
        <v>21</v>
      </c>
    </row>
    <row r="216" spans="1:24" x14ac:dyDescent="0.25">
      <c r="A216">
        <f t="shared" si="2"/>
        <v>214</v>
      </c>
      <c r="B216" t="s">
        <v>1668</v>
      </c>
      <c r="Q216" s="18">
        <v>19179.142561000001</v>
      </c>
      <c r="R216" s="18">
        <v>20960.054118</v>
      </c>
      <c r="S216" s="18">
        <v>22149.515775</v>
      </c>
      <c r="T216" s="18">
        <v>23112.189514000002</v>
      </c>
      <c r="W216" s="18">
        <v>1114</v>
      </c>
      <c r="X216" s="18">
        <v>521</v>
      </c>
    </row>
    <row r="217" spans="1:24" x14ac:dyDescent="0.25">
      <c r="A217">
        <f t="shared" si="2"/>
        <v>215</v>
      </c>
      <c r="B217" t="s">
        <v>1669</v>
      </c>
      <c r="R217" s="18">
        <v>20353.525988000001</v>
      </c>
      <c r="S217" s="18">
        <v>22133.837079000001</v>
      </c>
      <c r="T217" s="18">
        <v>22971.696459999999</v>
      </c>
      <c r="W217" s="18">
        <v>68</v>
      </c>
      <c r="X217" s="18">
        <v>25</v>
      </c>
    </row>
    <row r="218" spans="1:24" x14ac:dyDescent="0.25">
      <c r="A218">
        <f t="shared" si="2"/>
        <v>216</v>
      </c>
      <c r="B218" t="s">
        <v>1670</v>
      </c>
      <c r="Q218" s="18">
        <v>21841.700628999999</v>
      </c>
      <c r="R218" s="18">
        <v>21389.716579</v>
      </c>
      <c r="S218" s="18">
        <v>22966.652764999999</v>
      </c>
    </row>
    <row r="219" spans="1:24" x14ac:dyDescent="0.25">
      <c r="A219">
        <f t="shared" si="2"/>
        <v>217</v>
      </c>
      <c r="B219" t="s">
        <v>1671</v>
      </c>
      <c r="Q219" s="18">
        <v>21457.299222000001</v>
      </c>
      <c r="R219" s="18">
        <v>22153.388285000001</v>
      </c>
      <c r="S219" s="18">
        <v>22606.285077</v>
      </c>
    </row>
    <row r="220" spans="1:24" x14ac:dyDescent="0.25">
      <c r="A220">
        <f t="shared" si="2"/>
        <v>218</v>
      </c>
      <c r="B220" t="s">
        <v>1672</v>
      </c>
      <c r="Q220" s="18">
        <v>21564.493218</v>
      </c>
      <c r="R220" s="18">
        <v>21124.607425999999</v>
      </c>
      <c r="S220" s="18">
        <v>21949.312019000001</v>
      </c>
      <c r="T220" s="18">
        <v>22030.393779999999</v>
      </c>
    </row>
    <row r="221" spans="1:24" x14ac:dyDescent="0.25">
      <c r="A221">
        <f t="shared" si="2"/>
        <v>219</v>
      </c>
      <c r="B221" t="s">
        <v>871</v>
      </c>
      <c r="Q221" s="18">
        <v>19058.019715999999</v>
      </c>
      <c r="R221" s="18">
        <v>19194.117276000001</v>
      </c>
      <c r="S221" s="18">
        <v>21947.420055999999</v>
      </c>
      <c r="W221" s="18">
        <v>212</v>
      </c>
      <c r="X221" s="18">
        <v>25</v>
      </c>
    </row>
    <row r="222" spans="1:24" x14ac:dyDescent="0.25">
      <c r="A222">
        <f t="shared" si="2"/>
        <v>220</v>
      </c>
      <c r="B222" t="s">
        <v>1674</v>
      </c>
      <c r="Q222" s="18">
        <v>19184.773739</v>
      </c>
      <c r="R222" s="18">
        <v>19886.492903999999</v>
      </c>
      <c r="S222" s="18">
        <v>20928.388126999998</v>
      </c>
      <c r="T222" s="18">
        <v>21636.409666</v>
      </c>
      <c r="U222" t="s">
        <v>1675</v>
      </c>
      <c r="W222" s="18">
        <v>137</v>
      </c>
      <c r="X222" s="18">
        <v>45</v>
      </c>
    </row>
    <row r="223" spans="1:24" x14ac:dyDescent="0.25">
      <c r="A223">
        <f t="shared" si="2"/>
        <v>221</v>
      </c>
      <c r="B223" t="s">
        <v>1676</v>
      </c>
      <c r="Q223" s="18">
        <v>17089.419456</v>
      </c>
      <c r="R223" s="18">
        <v>17353.009730999998</v>
      </c>
      <c r="S223" s="18">
        <v>20063.426645</v>
      </c>
      <c r="T223" s="18">
        <v>21195.010675000001</v>
      </c>
    </row>
    <row r="224" spans="1:24" x14ac:dyDescent="0.25">
      <c r="A224">
        <f t="shared" si="2"/>
        <v>222</v>
      </c>
      <c r="B224" t="s">
        <v>1677</v>
      </c>
      <c r="T224" s="18">
        <v>21112.242719999998</v>
      </c>
    </row>
    <row r="225" spans="1:24" x14ac:dyDescent="0.25">
      <c r="A225">
        <f t="shared" si="2"/>
        <v>223</v>
      </c>
      <c r="B225" t="s">
        <v>1678</v>
      </c>
      <c r="Q225" s="18">
        <v>19065.029340000001</v>
      </c>
      <c r="R225" s="18">
        <v>16970.478769000001</v>
      </c>
      <c r="S225" s="18">
        <v>20962.784679</v>
      </c>
    </row>
    <row r="226" spans="1:24" x14ac:dyDescent="0.25">
      <c r="A226">
        <f t="shared" si="2"/>
        <v>224</v>
      </c>
      <c r="B226" t="s">
        <v>1679</v>
      </c>
      <c r="Q226" s="18">
        <v>19945.769101000002</v>
      </c>
      <c r="R226" s="18">
        <v>19724.037337999998</v>
      </c>
      <c r="S226" s="18">
        <v>20908.804264999999</v>
      </c>
    </row>
    <row r="227" spans="1:24" x14ac:dyDescent="0.25">
      <c r="A227">
        <f t="shared" si="2"/>
        <v>225</v>
      </c>
      <c r="B227" t="s">
        <v>1680</v>
      </c>
      <c r="Q227" s="18">
        <v>17328.011709999999</v>
      </c>
      <c r="R227" s="18">
        <v>18360.219682999999</v>
      </c>
      <c r="S227" s="18">
        <v>19817.322027999999</v>
      </c>
      <c r="T227" s="18">
        <v>20656.248672999998</v>
      </c>
    </row>
    <row r="228" spans="1:24" x14ac:dyDescent="0.25">
      <c r="A228">
        <f t="shared" si="2"/>
        <v>226</v>
      </c>
      <c r="B228" t="s">
        <v>1681</v>
      </c>
      <c r="Q228" s="18">
        <v>20166.473183999999</v>
      </c>
      <c r="R228" s="18">
        <v>20570.057184000001</v>
      </c>
      <c r="S228" s="18">
        <v>20630.441944999999</v>
      </c>
    </row>
    <row r="229" spans="1:24" x14ac:dyDescent="0.25">
      <c r="A229">
        <f t="shared" si="2"/>
        <v>227</v>
      </c>
      <c r="B229" t="s">
        <v>1682</v>
      </c>
      <c r="Q229" s="18">
        <v>20442.162294999998</v>
      </c>
    </row>
    <row r="230" spans="1:24" x14ac:dyDescent="0.25">
      <c r="A230">
        <f t="shared" si="2"/>
        <v>228</v>
      </c>
      <c r="B230" t="s">
        <v>1683</v>
      </c>
      <c r="Q230" s="18">
        <v>19121.616769</v>
      </c>
      <c r="R230" s="18">
        <v>18695.800093999998</v>
      </c>
      <c r="S230" s="18">
        <v>20403.244848999999</v>
      </c>
      <c r="T230" s="18">
        <v>20199.486829000001</v>
      </c>
      <c r="W230" s="18">
        <v>92</v>
      </c>
      <c r="X230" s="18">
        <v>39</v>
      </c>
    </row>
    <row r="231" spans="1:24" x14ac:dyDescent="0.25">
      <c r="A231">
        <f t="shared" si="2"/>
        <v>229</v>
      </c>
      <c r="B231" t="s">
        <v>1684</v>
      </c>
      <c r="Q231" s="18">
        <v>13847.513846</v>
      </c>
      <c r="R231" s="18">
        <v>18641.481844000002</v>
      </c>
      <c r="S231" s="18">
        <v>20236.219796000001</v>
      </c>
    </row>
    <row r="232" spans="1:24" x14ac:dyDescent="0.25">
      <c r="A232">
        <f t="shared" si="2"/>
        <v>230</v>
      </c>
      <c r="B232" t="s">
        <v>1686</v>
      </c>
      <c r="Q232" s="18">
        <v>18601.829435</v>
      </c>
      <c r="S232" s="18">
        <v>20165.853102000001</v>
      </c>
      <c r="T232" s="18">
        <v>19235.425047000001</v>
      </c>
    </row>
    <row r="233" spans="1:24" x14ac:dyDescent="0.25">
      <c r="A233">
        <f t="shared" si="2"/>
        <v>231</v>
      </c>
      <c r="B233" t="s">
        <v>1688</v>
      </c>
      <c r="Q233" s="18">
        <v>18044.773056000002</v>
      </c>
      <c r="R233" s="18">
        <v>18018.705733999999</v>
      </c>
      <c r="S233" s="18">
        <v>19745.788221999999</v>
      </c>
      <c r="T233" s="18">
        <v>20108.294016</v>
      </c>
    </row>
    <row r="234" spans="1:24" x14ac:dyDescent="0.25">
      <c r="A234">
        <f t="shared" si="2"/>
        <v>232</v>
      </c>
      <c r="B234" t="s">
        <v>1689</v>
      </c>
      <c r="Q234" s="18">
        <v>17003.780708999999</v>
      </c>
      <c r="R234" s="18">
        <v>17964.036064</v>
      </c>
      <c r="S234" s="18">
        <v>20058.365463999999</v>
      </c>
    </row>
    <row r="235" spans="1:24" x14ac:dyDescent="0.25">
      <c r="A235">
        <f t="shared" si="2"/>
        <v>233</v>
      </c>
      <c r="B235" t="s">
        <v>1691</v>
      </c>
      <c r="Q235" s="18">
        <v>19742.315164</v>
      </c>
      <c r="R235" s="18">
        <v>18644.835427999999</v>
      </c>
      <c r="S235" s="18">
        <v>19596.820111000001</v>
      </c>
    </row>
    <row r="236" spans="1:24" x14ac:dyDescent="0.25">
      <c r="A236">
        <f t="shared" si="2"/>
        <v>234</v>
      </c>
      <c r="B236" t="s">
        <v>1692</v>
      </c>
      <c r="Q236" s="18">
        <v>17960.900615999999</v>
      </c>
      <c r="R236" s="18">
        <v>17898.695583000001</v>
      </c>
      <c r="S236" s="18">
        <v>19420.090258</v>
      </c>
      <c r="T236" s="18">
        <v>18913.744353999999</v>
      </c>
    </row>
    <row r="237" spans="1:24" x14ac:dyDescent="0.25">
      <c r="A237">
        <f t="shared" si="2"/>
        <v>235</v>
      </c>
      <c r="B237" t="s">
        <v>1693</v>
      </c>
      <c r="Q237" s="18">
        <v>19236.581719999998</v>
      </c>
      <c r="R237" s="18">
        <v>17469.700731000001</v>
      </c>
      <c r="S237" s="18">
        <v>17741.754578</v>
      </c>
      <c r="T237" s="18">
        <v>16369.059316000001</v>
      </c>
      <c r="W237" s="18">
        <v>4242</v>
      </c>
      <c r="X237" s="18">
        <v>1061</v>
      </c>
    </row>
    <row r="238" spans="1:24" x14ac:dyDescent="0.25">
      <c r="A238">
        <f t="shared" si="2"/>
        <v>236</v>
      </c>
      <c r="B238" t="s">
        <v>1694</v>
      </c>
      <c r="T238" s="18">
        <v>19136.174384000002</v>
      </c>
    </row>
    <row r="239" spans="1:24" x14ac:dyDescent="0.25">
      <c r="A239">
        <f t="shared" si="2"/>
        <v>237</v>
      </c>
      <c r="B239" t="s">
        <v>1695</v>
      </c>
      <c r="Q239" s="18">
        <v>18990.216770999999</v>
      </c>
      <c r="R239" s="18">
        <v>17795.488224000001</v>
      </c>
      <c r="S239" s="18">
        <v>18990.692325</v>
      </c>
    </row>
    <row r="240" spans="1:24" x14ac:dyDescent="0.25">
      <c r="A240">
        <f t="shared" si="2"/>
        <v>238</v>
      </c>
      <c r="B240" t="s">
        <v>1697</v>
      </c>
      <c r="Q240" s="18">
        <v>17488.510439999998</v>
      </c>
      <c r="R240" s="18">
        <v>17945.400205999998</v>
      </c>
      <c r="S240" s="18">
        <v>18173.393091999998</v>
      </c>
      <c r="T240" s="18">
        <v>18967.154897</v>
      </c>
    </row>
    <row r="241" spans="1:24" x14ac:dyDescent="0.25">
      <c r="A241">
        <f t="shared" si="2"/>
        <v>239</v>
      </c>
      <c r="B241" t="s">
        <v>1698</v>
      </c>
      <c r="Q241" s="18">
        <v>16692.216862000001</v>
      </c>
      <c r="R241" s="18">
        <v>16053.60533</v>
      </c>
      <c r="S241" s="18">
        <v>18887.460583</v>
      </c>
    </row>
    <row r="242" spans="1:24" x14ac:dyDescent="0.25">
      <c r="A242">
        <f t="shared" si="2"/>
        <v>240</v>
      </c>
      <c r="B242" t="s">
        <v>1699</v>
      </c>
      <c r="R242" s="18">
        <v>18194.958573</v>
      </c>
      <c r="S242" s="18">
        <v>18733.757719000001</v>
      </c>
      <c r="T242" s="18">
        <v>18502.047581999999</v>
      </c>
      <c r="W242" s="18">
        <v>245</v>
      </c>
      <c r="X242" s="18">
        <v>100</v>
      </c>
    </row>
    <row r="243" spans="1:24" x14ac:dyDescent="0.25">
      <c r="A243">
        <f t="shared" si="2"/>
        <v>241</v>
      </c>
      <c r="B243" t="s">
        <v>1701</v>
      </c>
      <c r="R243" s="18">
        <v>15987.052314</v>
      </c>
      <c r="S243" s="18">
        <v>18549.866391</v>
      </c>
    </row>
    <row r="244" spans="1:24" x14ac:dyDescent="0.25">
      <c r="A244">
        <f t="shared" si="2"/>
        <v>242</v>
      </c>
      <c r="B244" t="s">
        <v>1702</v>
      </c>
      <c r="Q244" s="18">
        <v>14882.294664999999</v>
      </c>
      <c r="R244" s="18">
        <v>16835.092412000002</v>
      </c>
      <c r="S244" s="18">
        <v>17438.862680999999</v>
      </c>
      <c r="T244" s="18">
        <v>18429.461976999999</v>
      </c>
      <c r="W244" s="18">
        <v>1231</v>
      </c>
      <c r="X244" s="18">
        <v>383</v>
      </c>
    </row>
    <row r="245" spans="1:24" x14ac:dyDescent="0.25">
      <c r="A245">
        <f t="shared" si="2"/>
        <v>243</v>
      </c>
      <c r="B245" t="s">
        <v>1703</v>
      </c>
      <c r="Q245" s="18">
        <v>11275.010018000001</v>
      </c>
      <c r="R245" s="18">
        <v>13582.201462999999</v>
      </c>
      <c r="S245" s="18">
        <v>16932.873824999999</v>
      </c>
      <c r="T245" s="18">
        <v>18404.994832</v>
      </c>
      <c r="W245" s="18">
        <v>7</v>
      </c>
      <c r="X245" s="18">
        <v>3</v>
      </c>
    </row>
    <row r="246" spans="1:24" x14ac:dyDescent="0.25">
      <c r="A246">
        <f t="shared" si="2"/>
        <v>244</v>
      </c>
      <c r="B246" t="s">
        <v>1704</v>
      </c>
      <c r="Q246" s="18">
        <v>14920.784954000001</v>
      </c>
      <c r="R246" s="18">
        <v>17893.367679999999</v>
      </c>
      <c r="S246" s="18">
        <v>18153.957890000001</v>
      </c>
      <c r="T246" s="18">
        <v>18297.710551</v>
      </c>
    </row>
    <row r="247" spans="1:24" x14ac:dyDescent="0.25">
      <c r="A247">
        <f t="shared" si="2"/>
        <v>245</v>
      </c>
      <c r="B247" t="s">
        <v>1705</v>
      </c>
      <c r="Q247" s="18">
        <v>14151.98156</v>
      </c>
      <c r="R247" s="18">
        <v>15507.427992000001</v>
      </c>
      <c r="S247" s="18">
        <v>16423.837506</v>
      </c>
      <c r="T247" s="18">
        <v>18177.311613999998</v>
      </c>
    </row>
    <row r="248" spans="1:24" x14ac:dyDescent="0.25">
      <c r="A248">
        <f t="shared" si="2"/>
        <v>246</v>
      </c>
      <c r="B248" t="s">
        <v>1706</v>
      </c>
      <c r="Q248" s="18">
        <v>16201.530237000001</v>
      </c>
      <c r="R248" s="18">
        <v>18118.374239000001</v>
      </c>
      <c r="S248" s="18">
        <v>17334.718065000001</v>
      </c>
    </row>
    <row r="249" spans="1:24" x14ac:dyDescent="0.25">
      <c r="A249">
        <f t="shared" si="2"/>
        <v>247</v>
      </c>
      <c r="B249" t="s">
        <v>1707</v>
      </c>
      <c r="R249" s="18">
        <v>16464.743735</v>
      </c>
      <c r="S249" s="18">
        <v>17879.154764999999</v>
      </c>
    </row>
    <row r="250" spans="1:24" x14ac:dyDescent="0.25">
      <c r="A250">
        <f t="shared" si="2"/>
        <v>248</v>
      </c>
      <c r="B250" t="s">
        <v>1708</v>
      </c>
      <c r="Q250" s="18">
        <v>17841.580568000001</v>
      </c>
      <c r="R250" s="18">
        <v>17215.167888</v>
      </c>
      <c r="S250" s="18">
        <v>17828.055833999999</v>
      </c>
      <c r="T250" s="18">
        <v>17206.361762</v>
      </c>
    </row>
    <row r="251" spans="1:24" x14ac:dyDescent="0.25">
      <c r="A251">
        <f t="shared" si="2"/>
        <v>249</v>
      </c>
      <c r="B251" t="s">
        <v>1709</v>
      </c>
      <c r="Q251" s="18">
        <v>13915.653206999999</v>
      </c>
      <c r="R251" s="18">
        <v>14906.627751</v>
      </c>
      <c r="S251" s="18">
        <v>16106.196598</v>
      </c>
      <c r="T251" s="18">
        <v>17765.141124999998</v>
      </c>
    </row>
    <row r="252" spans="1:24" x14ac:dyDescent="0.25">
      <c r="A252">
        <f t="shared" si="2"/>
        <v>250</v>
      </c>
      <c r="B252" t="s">
        <v>1710</v>
      </c>
      <c r="Q252" s="18">
        <v>16310.407864000001</v>
      </c>
      <c r="R252" s="18">
        <v>16557.877777000002</v>
      </c>
      <c r="S252" s="18">
        <v>17643.774374000001</v>
      </c>
      <c r="T252" s="18">
        <v>17704.13492</v>
      </c>
      <c r="W252" s="18">
        <v>249</v>
      </c>
      <c r="X252" s="18">
        <v>29</v>
      </c>
    </row>
    <row r="253" spans="1:24" x14ac:dyDescent="0.25">
      <c r="A253">
        <f t="shared" si="2"/>
        <v>251</v>
      </c>
      <c r="B253" t="s">
        <v>1711</v>
      </c>
      <c r="Q253" s="18">
        <v>16930.187104000001</v>
      </c>
      <c r="R253" s="18">
        <v>15947.877173999999</v>
      </c>
      <c r="T253" s="18">
        <v>17694.139755</v>
      </c>
    </row>
    <row r="254" spans="1:24" x14ac:dyDescent="0.25">
      <c r="A254">
        <f t="shared" si="2"/>
        <v>252</v>
      </c>
      <c r="B254" t="s">
        <v>1712</v>
      </c>
      <c r="Q254" s="18">
        <v>17463.754084</v>
      </c>
      <c r="R254" s="18">
        <v>16310.324364</v>
      </c>
      <c r="S254" s="18">
        <v>16545.382973</v>
      </c>
      <c r="T254" s="18">
        <v>15804.194895000001</v>
      </c>
    </row>
    <row r="255" spans="1:24" x14ac:dyDescent="0.25">
      <c r="A255">
        <f t="shared" si="2"/>
        <v>253</v>
      </c>
      <c r="B255" t="s">
        <v>1714</v>
      </c>
      <c r="Q255" s="18">
        <v>15637.086799000001</v>
      </c>
      <c r="R255" s="18">
        <v>16497.614829999999</v>
      </c>
      <c r="S255" s="18">
        <v>17401.934455999999</v>
      </c>
      <c r="T255" s="18">
        <v>17365.299833000001</v>
      </c>
      <c r="U255" t="s">
        <v>1715</v>
      </c>
    </row>
    <row r="256" spans="1:24" x14ac:dyDescent="0.25">
      <c r="A256">
        <f t="shared" si="2"/>
        <v>254</v>
      </c>
      <c r="B256" t="s">
        <v>1716</v>
      </c>
      <c r="Q256" s="18">
        <v>14587.821733000001</v>
      </c>
      <c r="R256" s="18">
        <v>16858.265330999999</v>
      </c>
      <c r="S256" s="18">
        <v>17205.849381</v>
      </c>
      <c r="T256" s="18">
        <v>14839.713414</v>
      </c>
      <c r="W256" s="18">
        <v>3789</v>
      </c>
      <c r="X256" s="18">
        <v>1313</v>
      </c>
    </row>
    <row r="257" spans="1:24" x14ac:dyDescent="0.25">
      <c r="A257">
        <f t="shared" si="2"/>
        <v>255</v>
      </c>
      <c r="B257" t="s">
        <v>1717</v>
      </c>
      <c r="T257" s="18">
        <v>16904.301607000001</v>
      </c>
    </row>
    <row r="258" spans="1:24" x14ac:dyDescent="0.25">
      <c r="A258">
        <f t="shared" si="2"/>
        <v>256</v>
      </c>
      <c r="B258" t="s">
        <v>1718</v>
      </c>
      <c r="Q258" s="18">
        <v>14456.101564000001</v>
      </c>
      <c r="R258" s="18">
        <v>15345.312103</v>
      </c>
      <c r="T258" s="18">
        <v>16745.939428999998</v>
      </c>
    </row>
    <row r="259" spans="1:24" x14ac:dyDescent="0.25">
      <c r="A259">
        <f t="shared" si="2"/>
        <v>257</v>
      </c>
      <c r="B259" t="s">
        <v>1719</v>
      </c>
      <c r="Q259" s="18">
        <v>14474.781418</v>
      </c>
      <c r="R259" s="18">
        <v>16572.074278</v>
      </c>
      <c r="S259" s="18">
        <v>16664.198836</v>
      </c>
    </row>
    <row r="260" spans="1:24" x14ac:dyDescent="0.25">
      <c r="A260">
        <f t="shared" si="2"/>
        <v>258</v>
      </c>
      <c r="B260" t="s">
        <v>1720</v>
      </c>
      <c r="R260" s="18">
        <v>13736.047423</v>
      </c>
      <c r="S260" s="18">
        <v>15417.734673999999</v>
      </c>
      <c r="T260" s="18">
        <v>16641.258727</v>
      </c>
    </row>
    <row r="261" spans="1:24" x14ac:dyDescent="0.25">
      <c r="A261">
        <f t="shared" si="2"/>
        <v>259</v>
      </c>
      <c r="B261" t="s">
        <v>1724</v>
      </c>
      <c r="Q261" s="18">
        <v>14454.097022</v>
      </c>
      <c r="R261" s="18">
        <v>14980.345681999999</v>
      </c>
      <c r="S261" s="18">
        <v>15868.213822</v>
      </c>
      <c r="T261" s="18">
        <v>16361.863837999999</v>
      </c>
    </row>
    <row r="262" spans="1:24" x14ac:dyDescent="0.25">
      <c r="A262">
        <f t="shared" si="2"/>
        <v>260</v>
      </c>
      <c r="B262" t="s">
        <v>1725</v>
      </c>
      <c r="Q262" s="18">
        <v>15122.833865000001</v>
      </c>
      <c r="R262" s="18">
        <v>15437.065662000001</v>
      </c>
      <c r="S262" s="18">
        <v>16319.438888000001</v>
      </c>
      <c r="T262" s="18">
        <v>16221.807923</v>
      </c>
      <c r="W262" s="18">
        <v>208</v>
      </c>
      <c r="X262" s="18">
        <v>68</v>
      </c>
    </row>
    <row r="263" spans="1:24" x14ac:dyDescent="0.25">
      <c r="A263">
        <f t="shared" si="2"/>
        <v>261</v>
      </c>
      <c r="B263" t="s">
        <v>1726</v>
      </c>
      <c r="Q263" s="18">
        <v>14604.461160999999</v>
      </c>
      <c r="R263" s="18">
        <v>15126.052769</v>
      </c>
      <c r="S263" s="18">
        <v>15834.026733000001</v>
      </c>
      <c r="T263" s="18">
        <v>16074.917034</v>
      </c>
    </row>
    <row r="264" spans="1:24" x14ac:dyDescent="0.25">
      <c r="A264">
        <f t="shared" si="2"/>
        <v>262</v>
      </c>
      <c r="B264" t="s">
        <v>1727</v>
      </c>
      <c r="Q264" s="18">
        <v>13323.885246</v>
      </c>
      <c r="R264" s="18">
        <v>14716.739258</v>
      </c>
      <c r="S264" s="18">
        <v>15868.213822</v>
      </c>
      <c r="T264" s="18">
        <v>15954.854885000001</v>
      </c>
    </row>
    <row r="265" spans="1:24" x14ac:dyDescent="0.25">
      <c r="A265">
        <f t="shared" si="2"/>
        <v>263</v>
      </c>
      <c r="B265" t="s">
        <v>1728</v>
      </c>
      <c r="Q265" s="18">
        <v>11266.408751000001</v>
      </c>
      <c r="R265" s="18">
        <v>14024.741549</v>
      </c>
      <c r="S265" s="18">
        <v>15235.030075999999</v>
      </c>
      <c r="T265" s="18">
        <v>15923.082270000001</v>
      </c>
    </row>
    <row r="266" spans="1:24" x14ac:dyDescent="0.25">
      <c r="A266">
        <f t="shared" si="2"/>
        <v>264</v>
      </c>
      <c r="B266" t="s">
        <v>1729</v>
      </c>
      <c r="Q266" s="18">
        <v>14126.634661</v>
      </c>
      <c r="R266" s="18">
        <v>14568.380111</v>
      </c>
      <c r="S266" s="18">
        <v>14941.692197</v>
      </c>
      <c r="T266" s="18">
        <v>15845.009583999999</v>
      </c>
    </row>
    <row r="267" spans="1:24" x14ac:dyDescent="0.25">
      <c r="A267">
        <f t="shared" si="2"/>
        <v>265</v>
      </c>
      <c r="B267" t="s">
        <v>1730</v>
      </c>
      <c r="R267" s="18">
        <v>13769.30078</v>
      </c>
      <c r="S267" s="18">
        <v>15784.004618999999</v>
      </c>
      <c r="T267" s="18">
        <v>15819.410185999999</v>
      </c>
    </row>
    <row r="268" spans="1:24" x14ac:dyDescent="0.25">
      <c r="A268">
        <f t="shared" si="2"/>
        <v>266</v>
      </c>
      <c r="B268" t="s">
        <v>1731</v>
      </c>
      <c r="Q268" s="18">
        <v>14433.001661</v>
      </c>
      <c r="R268" s="18">
        <v>15106.594325</v>
      </c>
      <c r="T268" s="18">
        <v>15792.504702</v>
      </c>
    </row>
    <row r="269" spans="1:24" x14ac:dyDescent="0.25">
      <c r="A269">
        <f t="shared" si="2"/>
        <v>267</v>
      </c>
      <c r="B269" s="39" t="s">
        <v>1512</v>
      </c>
      <c r="P269" s="17"/>
      <c r="T269" s="18">
        <v>617.65254800000002</v>
      </c>
    </row>
    <row r="270" spans="1:24" x14ac:dyDescent="0.25">
      <c r="A270">
        <f t="shared" si="2"/>
        <v>268</v>
      </c>
      <c r="B270" t="s">
        <v>1735</v>
      </c>
      <c r="Q270" s="18">
        <v>15606.624295</v>
      </c>
      <c r="R270" s="18">
        <v>14577.329035000001</v>
      </c>
      <c r="S270" s="18">
        <v>14696.950607000001</v>
      </c>
      <c r="W270" s="18">
        <v>170</v>
      </c>
      <c r="X270" s="18">
        <v>25</v>
      </c>
    </row>
    <row r="271" spans="1:24" x14ac:dyDescent="0.25">
      <c r="A271">
        <f t="shared" si="2"/>
        <v>269</v>
      </c>
      <c r="B271" t="s">
        <v>1525</v>
      </c>
      <c r="T271" s="18">
        <v>207.895308</v>
      </c>
    </row>
    <row r="272" spans="1:24" x14ac:dyDescent="0.25">
      <c r="A272">
        <f t="shared" si="2"/>
        <v>270</v>
      </c>
      <c r="B272" t="s">
        <v>1549</v>
      </c>
      <c r="Q272" s="18">
        <v>100.03956684000001</v>
      </c>
    </row>
    <row r="273" spans="1:24" x14ac:dyDescent="0.25">
      <c r="A273">
        <f t="shared" si="2"/>
        <v>271</v>
      </c>
      <c r="B273" t="s">
        <v>1738</v>
      </c>
      <c r="W273" s="18">
        <v>170</v>
      </c>
      <c r="X273" s="18">
        <v>81</v>
      </c>
    </row>
    <row r="274" spans="1:24" x14ac:dyDescent="0.25">
      <c r="A274">
        <f t="shared" si="2"/>
        <v>272</v>
      </c>
      <c r="B274" t="s">
        <v>1739</v>
      </c>
      <c r="R274" s="18">
        <v>9414.1094830000002</v>
      </c>
      <c r="S274" s="18">
        <v>13984.589258</v>
      </c>
      <c r="W274" s="18">
        <v>4711</v>
      </c>
      <c r="X274" s="18">
        <v>1909</v>
      </c>
    </row>
    <row r="275" spans="1:24" x14ac:dyDescent="0.25">
      <c r="A275">
        <f t="shared" si="2"/>
        <v>273</v>
      </c>
      <c r="B275" t="s">
        <v>1740</v>
      </c>
      <c r="W275" s="18">
        <v>4860</v>
      </c>
      <c r="X275" s="18">
        <v>1542</v>
      </c>
    </row>
    <row r="276" spans="1:24" x14ac:dyDescent="0.25">
      <c r="A276">
        <f t="shared" si="2"/>
        <v>274</v>
      </c>
      <c r="B276" t="s">
        <v>1741</v>
      </c>
      <c r="Q276" s="18">
        <v>8295.3940920000005</v>
      </c>
      <c r="R276" s="18">
        <v>8068.7506210000001</v>
      </c>
      <c r="S276" s="18">
        <v>8484.7812959999992</v>
      </c>
      <c r="T276" s="18">
        <v>8311.8455300000005</v>
      </c>
      <c r="W276" s="18">
        <v>5782</v>
      </c>
      <c r="X276" s="18">
        <v>2151</v>
      </c>
    </row>
    <row r="277" spans="1:24" x14ac:dyDescent="0.25">
      <c r="A277">
        <f t="shared" si="2"/>
        <v>275</v>
      </c>
      <c r="B277" t="s">
        <v>1742</v>
      </c>
      <c r="W277" s="18">
        <v>11041</v>
      </c>
      <c r="X277" s="18">
        <v>4494</v>
      </c>
    </row>
    <row r="278" spans="1:24" x14ac:dyDescent="0.25">
      <c r="A278">
        <f t="shared" si="2"/>
        <v>276</v>
      </c>
      <c r="B278" t="s">
        <v>1743</v>
      </c>
      <c r="W278" s="18">
        <v>429</v>
      </c>
      <c r="X278" s="18">
        <v>49</v>
      </c>
    </row>
    <row r="279" spans="1:24" x14ac:dyDescent="0.25">
      <c r="A279">
        <f t="shared" si="2"/>
        <v>277</v>
      </c>
      <c r="B279" t="s">
        <v>1477</v>
      </c>
      <c r="W279" s="18">
        <v>262</v>
      </c>
      <c r="X279" s="18">
        <v>23</v>
      </c>
    </row>
    <row r="280" spans="1:24" x14ac:dyDescent="0.25">
      <c r="A280">
        <f t="shared" si="2"/>
        <v>278</v>
      </c>
      <c r="B280" t="s">
        <v>1744</v>
      </c>
      <c r="W280" s="18">
        <v>51</v>
      </c>
      <c r="X280" s="18">
        <v>2</v>
      </c>
    </row>
    <row r="281" spans="1:24" x14ac:dyDescent="0.25">
      <c r="A281">
        <f t="shared" si="2"/>
        <v>279</v>
      </c>
      <c r="B281" t="s">
        <v>1476</v>
      </c>
      <c r="W281" s="18">
        <v>1965</v>
      </c>
      <c r="X281" s="18">
        <v>856</v>
      </c>
    </row>
    <row r="282" spans="1:24" x14ac:dyDescent="0.25">
      <c r="A282">
        <f t="shared" si="2"/>
        <v>280</v>
      </c>
      <c r="B282" t="s">
        <v>1745</v>
      </c>
      <c r="Q282" s="18">
        <v>4092.2112029999998</v>
      </c>
      <c r="R282" s="18">
        <v>4521.3592490000001</v>
      </c>
      <c r="S282" s="18">
        <v>4658.4516940000003</v>
      </c>
      <c r="W282" s="18">
        <v>11487</v>
      </c>
      <c r="X282" s="18">
        <v>4309</v>
      </c>
    </row>
    <row r="283" spans="1:24" x14ac:dyDescent="0.25">
      <c r="A283">
        <f t="shared" si="2"/>
        <v>281</v>
      </c>
      <c r="B283" t="s">
        <v>1746</v>
      </c>
      <c r="W283" s="18">
        <v>526</v>
      </c>
      <c r="X283" s="18">
        <v>135</v>
      </c>
    </row>
    <row r="284" spans="1:24" x14ac:dyDescent="0.25">
      <c r="A284">
        <f t="shared" si="2"/>
        <v>282</v>
      </c>
      <c r="B284" t="s">
        <v>1747</v>
      </c>
      <c r="W284" s="18">
        <v>226</v>
      </c>
      <c r="X284" s="18">
        <v>30</v>
      </c>
    </row>
    <row r="285" spans="1:24" x14ac:dyDescent="0.25">
      <c r="A285">
        <f t="shared" si="2"/>
        <v>283</v>
      </c>
      <c r="B285" t="s">
        <v>1748</v>
      </c>
      <c r="W285" s="18">
        <v>518</v>
      </c>
      <c r="X285" s="18">
        <v>117</v>
      </c>
    </row>
    <row r="286" spans="1:24" x14ac:dyDescent="0.25">
      <c r="A286">
        <f t="shared" si="2"/>
        <v>284</v>
      </c>
      <c r="B286" t="s">
        <v>1749</v>
      </c>
      <c r="W286" s="18">
        <v>1864</v>
      </c>
      <c r="X286" s="18">
        <v>556</v>
      </c>
    </row>
    <row r="287" spans="1:24" x14ac:dyDescent="0.25">
      <c r="A287">
        <f t="shared" si="2"/>
        <v>285</v>
      </c>
      <c r="B287" t="s">
        <v>1750</v>
      </c>
      <c r="W287" s="18">
        <v>47</v>
      </c>
      <c r="X287" s="18">
        <v>5</v>
      </c>
    </row>
    <row r="288" spans="1:24" x14ac:dyDescent="0.25">
      <c r="A288">
        <f t="shared" si="2"/>
        <v>286</v>
      </c>
      <c r="B288" t="s">
        <v>1751</v>
      </c>
      <c r="W288" s="18">
        <v>1473</v>
      </c>
      <c r="X288" s="18">
        <v>174</v>
      </c>
    </row>
    <row r="289" spans="1:24" x14ac:dyDescent="0.25">
      <c r="A289">
        <f t="shared" si="2"/>
        <v>287</v>
      </c>
      <c r="B289" t="s">
        <v>1752</v>
      </c>
      <c r="W289" s="18">
        <v>391</v>
      </c>
      <c r="X289" s="18">
        <v>30</v>
      </c>
    </row>
    <row r="290" spans="1:24" x14ac:dyDescent="0.25">
      <c r="A290">
        <f t="shared" si="2"/>
        <v>288</v>
      </c>
      <c r="B290" t="s">
        <v>1753</v>
      </c>
      <c r="W290" s="18">
        <v>2265</v>
      </c>
      <c r="X290" s="18">
        <v>553</v>
      </c>
    </row>
    <row r="291" spans="1:24" x14ac:dyDescent="0.25">
      <c r="A291">
        <f t="shared" si="2"/>
        <v>289</v>
      </c>
      <c r="B291" t="s">
        <v>1754</v>
      </c>
      <c r="Q291" s="18">
        <v>15486.293333</v>
      </c>
      <c r="R291" s="18">
        <v>13477.437749999999</v>
      </c>
      <c r="S291" s="18">
        <v>14577.995757999999</v>
      </c>
      <c r="T291" s="18">
        <v>13390.866040000001</v>
      </c>
    </row>
    <row r="292" spans="1:24" x14ac:dyDescent="0.25">
      <c r="A292">
        <f t="shared" si="2"/>
        <v>290</v>
      </c>
      <c r="B292" t="s">
        <v>1755</v>
      </c>
      <c r="T292" s="18">
        <v>15352.691535</v>
      </c>
    </row>
    <row r="293" spans="1:24" x14ac:dyDescent="0.25">
      <c r="A293">
        <f t="shared" si="2"/>
        <v>291</v>
      </c>
      <c r="B293" t="s">
        <v>1757</v>
      </c>
      <c r="Q293" s="18">
        <v>13846.662431000001</v>
      </c>
      <c r="R293" s="18">
        <v>13380.885065</v>
      </c>
      <c r="S293" s="18">
        <v>14998.033012</v>
      </c>
      <c r="T293" s="18">
        <v>13765.288119999999</v>
      </c>
    </row>
    <row r="294" spans="1:24" x14ac:dyDescent="0.25">
      <c r="A294">
        <f t="shared" si="2"/>
        <v>292</v>
      </c>
      <c r="B294" t="s">
        <v>1758</v>
      </c>
      <c r="Q294" s="18">
        <v>9881.2201569999997</v>
      </c>
      <c r="R294" s="18">
        <v>9448.3767380000008</v>
      </c>
      <c r="S294" s="18">
        <v>11577.362709999999</v>
      </c>
      <c r="T294" s="18">
        <v>14992.974303000001</v>
      </c>
    </row>
    <row r="295" spans="1:24" x14ac:dyDescent="0.25">
      <c r="A295">
        <f t="shared" si="2"/>
        <v>293</v>
      </c>
      <c r="B295" t="s">
        <v>1760</v>
      </c>
      <c r="P295" s="18">
        <v>12703.427737</v>
      </c>
      <c r="Q295" s="18">
        <v>14022.049137</v>
      </c>
      <c r="R295" s="18">
        <v>13954.189073</v>
      </c>
      <c r="S295" s="18">
        <v>14667.138462999999</v>
      </c>
      <c r="T295" s="18">
        <v>14795.435889</v>
      </c>
    </row>
    <row r="296" spans="1:24" x14ac:dyDescent="0.25">
      <c r="A296">
        <f t="shared" si="2"/>
        <v>294</v>
      </c>
      <c r="B296" t="s">
        <v>1761</v>
      </c>
      <c r="Q296" s="18">
        <v>13013.413869</v>
      </c>
      <c r="R296" s="18">
        <v>13282.517457</v>
      </c>
      <c r="S296" s="18">
        <v>14709.679470999999</v>
      </c>
      <c r="T296" s="18">
        <v>14262.560095000001</v>
      </c>
      <c r="W296" s="18">
        <v>1048</v>
      </c>
      <c r="X296" s="18">
        <v>223</v>
      </c>
    </row>
    <row r="297" spans="1:24" x14ac:dyDescent="0.25">
      <c r="A297">
        <f t="shared" si="2"/>
        <v>295</v>
      </c>
      <c r="B297" t="s">
        <v>834</v>
      </c>
      <c r="Q297" s="18">
        <v>2513.750822</v>
      </c>
      <c r="W297" s="18">
        <v>948</v>
      </c>
      <c r="X297" s="18">
        <v>67</v>
      </c>
    </row>
    <row r="298" spans="1:24" x14ac:dyDescent="0.25">
      <c r="A298">
        <f t="shared" si="2"/>
        <v>296</v>
      </c>
      <c r="B298" t="s">
        <v>1762</v>
      </c>
      <c r="W298" s="18">
        <v>1291</v>
      </c>
      <c r="X298" s="18">
        <v>42</v>
      </c>
    </row>
    <row r="299" spans="1:24" x14ac:dyDescent="0.25">
      <c r="A299">
        <f t="shared" si="2"/>
        <v>297</v>
      </c>
      <c r="B299" t="s">
        <v>1764</v>
      </c>
      <c r="Q299" s="18">
        <v>14192.447597</v>
      </c>
      <c r="R299" s="18">
        <v>14102.439711999999</v>
      </c>
      <c r="S299" s="18">
        <v>14290.402948999999</v>
      </c>
      <c r="T299" s="18">
        <v>12335.864567000001</v>
      </c>
      <c r="U299" t="s">
        <v>1765</v>
      </c>
      <c r="W299" s="18">
        <v>1689</v>
      </c>
      <c r="X299" s="18">
        <v>544</v>
      </c>
    </row>
    <row r="300" spans="1:24" x14ac:dyDescent="0.25">
      <c r="A300">
        <f t="shared" si="2"/>
        <v>298</v>
      </c>
      <c r="B300" t="s">
        <v>1766</v>
      </c>
      <c r="Q300" s="18">
        <v>14019.002769999999</v>
      </c>
      <c r="R300" s="18">
        <v>13482.135561999999</v>
      </c>
      <c r="S300" s="18">
        <v>14374.267013999999</v>
      </c>
      <c r="T300" s="18">
        <v>14251.004256</v>
      </c>
      <c r="W300" s="18">
        <v>56</v>
      </c>
      <c r="X300" s="18">
        <v>6</v>
      </c>
    </row>
    <row r="301" spans="1:24" x14ac:dyDescent="0.25">
      <c r="A301">
        <f t="shared" si="2"/>
        <v>299</v>
      </c>
      <c r="B301" t="s">
        <v>1767</v>
      </c>
      <c r="Q301" s="18">
        <v>12421.333896</v>
      </c>
      <c r="R301" s="18">
        <v>12907.212047000001</v>
      </c>
      <c r="S301" s="18">
        <v>13745.662265999999</v>
      </c>
      <c r="T301" s="18">
        <v>14027.513376999999</v>
      </c>
      <c r="W301" s="18">
        <v>421</v>
      </c>
      <c r="X301" s="18">
        <v>105</v>
      </c>
    </row>
    <row r="302" spans="1:24" x14ac:dyDescent="0.25">
      <c r="A302">
        <f t="shared" si="2"/>
        <v>300</v>
      </c>
      <c r="B302" t="s">
        <v>1768</v>
      </c>
      <c r="Q302" s="18">
        <v>13196.509442</v>
      </c>
      <c r="R302" s="18">
        <v>13409.832893000001</v>
      </c>
      <c r="S302" s="18">
        <v>13985.405645999999</v>
      </c>
      <c r="T302" s="18">
        <v>14071.215805</v>
      </c>
      <c r="W302" s="18">
        <v>97</v>
      </c>
      <c r="X302" s="18">
        <v>38</v>
      </c>
    </row>
    <row r="303" spans="1:24" x14ac:dyDescent="0.25">
      <c r="A303">
        <f t="shared" si="2"/>
        <v>301</v>
      </c>
      <c r="B303" t="s">
        <v>1769</v>
      </c>
      <c r="Q303" s="18">
        <v>13574.807014</v>
      </c>
      <c r="R303" s="18">
        <v>13166.233162</v>
      </c>
      <c r="S303" s="18">
        <v>13874.329566</v>
      </c>
      <c r="T303" s="18">
        <v>13315.964909</v>
      </c>
      <c r="W303" s="18">
        <v>167</v>
      </c>
      <c r="X303" s="18">
        <v>30</v>
      </c>
    </row>
    <row r="304" spans="1:24" x14ac:dyDescent="0.25">
      <c r="A304">
        <f t="shared" si="2"/>
        <v>302</v>
      </c>
      <c r="B304" t="s">
        <v>1776</v>
      </c>
      <c r="Q304" s="18">
        <v>13786.556488</v>
      </c>
      <c r="R304" s="18">
        <v>13216.427049</v>
      </c>
      <c r="S304" s="18">
        <v>13532.930623</v>
      </c>
      <c r="T304" s="18">
        <v>10724.71394</v>
      </c>
      <c r="W304" s="18">
        <v>66</v>
      </c>
      <c r="X304" s="18">
        <v>32</v>
      </c>
    </row>
    <row r="305" spans="1:24" x14ac:dyDescent="0.25">
      <c r="A305">
        <f t="shared" si="2"/>
        <v>303</v>
      </c>
      <c r="B305" t="s">
        <v>1777</v>
      </c>
      <c r="Q305" s="18">
        <v>13422.706905999999</v>
      </c>
      <c r="R305" s="18">
        <v>13604.975872999999</v>
      </c>
      <c r="S305" s="18">
        <v>14605.579135</v>
      </c>
      <c r="W305" s="18">
        <v>47</v>
      </c>
      <c r="X305" s="18">
        <v>19</v>
      </c>
    </row>
    <row r="306" spans="1:24" x14ac:dyDescent="0.25">
      <c r="A306">
        <f t="shared" si="2"/>
        <v>304</v>
      </c>
      <c r="B306" t="s">
        <v>1780</v>
      </c>
      <c r="Q306" s="18">
        <v>12552.281314</v>
      </c>
      <c r="R306" s="18">
        <v>12398.469727</v>
      </c>
      <c r="S306" s="18">
        <v>13330.194039</v>
      </c>
      <c r="W306" s="18">
        <v>844</v>
      </c>
      <c r="X306" s="18">
        <v>285</v>
      </c>
    </row>
    <row r="307" spans="1:24" x14ac:dyDescent="0.25">
      <c r="A307">
        <f t="shared" si="2"/>
        <v>305</v>
      </c>
      <c r="B307" t="s">
        <v>1781</v>
      </c>
      <c r="Q307" s="18">
        <v>12087.745994000001</v>
      </c>
      <c r="R307" s="18">
        <v>11366.082231</v>
      </c>
      <c r="S307" s="18">
        <v>12017.990024000001</v>
      </c>
      <c r="T307" s="18">
        <v>11561.087092</v>
      </c>
      <c r="W307" s="18">
        <v>15</v>
      </c>
      <c r="X307" s="18">
        <v>10</v>
      </c>
    </row>
    <row r="308" spans="1:24" x14ac:dyDescent="0.25">
      <c r="A308">
        <f t="shared" si="2"/>
        <v>306</v>
      </c>
      <c r="B308" t="s">
        <v>1782</v>
      </c>
      <c r="Q308" s="18">
        <v>8847.3283929999998</v>
      </c>
      <c r="R308" s="18">
        <v>9997.0443770000002</v>
      </c>
      <c r="S308" s="18">
        <v>11023.440769999999</v>
      </c>
      <c r="T308" s="18">
        <v>11787.939978</v>
      </c>
      <c r="W308" s="18">
        <v>9</v>
      </c>
      <c r="X308" s="18">
        <v>0</v>
      </c>
    </row>
    <row r="309" spans="1:24" x14ac:dyDescent="0.25">
      <c r="A309">
        <f t="shared" si="2"/>
        <v>307</v>
      </c>
      <c r="B309" t="s">
        <v>1783</v>
      </c>
      <c r="Q309" s="18">
        <v>11458.686326999999</v>
      </c>
      <c r="R309" s="18">
        <v>11473.88609</v>
      </c>
      <c r="S309" s="18">
        <v>11388.442099</v>
      </c>
      <c r="T309" s="18">
        <v>13571.583051</v>
      </c>
      <c r="W309" s="18">
        <v>395</v>
      </c>
      <c r="X309" s="18">
        <v>73</v>
      </c>
    </row>
    <row r="310" spans="1:24" x14ac:dyDescent="0.25">
      <c r="A310">
        <f t="shared" si="2"/>
        <v>308</v>
      </c>
      <c r="B310" t="s">
        <v>1785</v>
      </c>
      <c r="Q310" s="18">
        <v>11101.428030999999</v>
      </c>
      <c r="R310" s="18">
        <v>11281.308158</v>
      </c>
      <c r="S310" s="18">
        <v>12110.446889000001</v>
      </c>
      <c r="T310" s="18">
        <v>12289.619344999999</v>
      </c>
      <c r="W310" s="18">
        <v>463</v>
      </c>
      <c r="X310" s="18">
        <v>161</v>
      </c>
    </row>
    <row r="311" spans="1:24" x14ac:dyDescent="0.25">
      <c r="A311">
        <f t="shared" si="2"/>
        <v>309</v>
      </c>
      <c r="B311" t="s">
        <v>1787</v>
      </c>
      <c r="Q311" s="18">
        <v>12219.050090999999</v>
      </c>
      <c r="R311" s="18">
        <v>11868.949044999999</v>
      </c>
      <c r="S311" s="18">
        <v>12683.018040000001</v>
      </c>
      <c r="W311" s="18">
        <v>77</v>
      </c>
      <c r="X311" s="18">
        <v>9</v>
      </c>
    </row>
    <row r="312" spans="1:24" x14ac:dyDescent="0.25">
      <c r="A312">
        <f t="shared" si="2"/>
        <v>310</v>
      </c>
      <c r="B312" t="s">
        <v>1788</v>
      </c>
      <c r="Q312" s="18">
        <v>11804.369704999999</v>
      </c>
      <c r="R312" s="18">
        <v>11279.564307000001</v>
      </c>
      <c r="S312" s="18">
        <v>13007.533995</v>
      </c>
      <c r="T312" s="18">
        <v>14077.445556999999</v>
      </c>
      <c r="W312" s="18">
        <v>88</v>
      </c>
      <c r="X312" s="18">
        <v>26</v>
      </c>
    </row>
    <row r="313" spans="1:24" x14ac:dyDescent="0.25">
      <c r="A313">
        <f t="shared" si="2"/>
        <v>311</v>
      </c>
      <c r="B313" t="s">
        <v>1789</v>
      </c>
      <c r="Q313" s="18">
        <v>10699.653463000001</v>
      </c>
      <c r="R313" s="18">
        <v>10099.282807</v>
      </c>
      <c r="S313" s="18">
        <v>10623.50513</v>
      </c>
      <c r="W313" s="18">
        <v>35</v>
      </c>
      <c r="X313" s="18">
        <v>0</v>
      </c>
    </row>
    <row r="314" spans="1:24" x14ac:dyDescent="0.25">
      <c r="A314">
        <f t="shared" si="2"/>
        <v>312</v>
      </c>
      <c r="B314" t="s">
        <v>1790</v>
      </c>
      <c r="Q314" s="18">
        <v>9747.1991190000008</v>
      </c>
      <c r="R314" s="18">
        <v>9466.3962940000001</v>
      </c>
      <c r="S314" s="18">
        <v>9741.2245139999995</v>
      </c>
      <c r="T314" s="18">
        <v>8845.870766</v>
      </c>
    </row>
    <row r="315" spans="1:24" x14ac:dyDescent="0.25">
      <c r="A315">
        <f t="shared" si="2"/>
        <v>313</v>
      </c>
      <c r="B315" t="s">
        <v>1791</v>
      </c>
      <c r="Q315" s="18">
        <v>11791.640402000001</v>
      </c>
      <c r="R315" s="18">
        <v>11270.698780999999</v>
      </c>
      <c r="S315" s="18">
        <v>11943.820207000001</v>
      </c>
      <c r="T315" s="18">
        <v>11691.503334999999</v>
      </c>
    </row>
    <row r="316" spans="1:24" x14ac:dyDescent="0.25">
      <c r="A316">
        <f t="shared" si="2"/>
        <v>314</v>
      </c>
      <c r="B316" t="s">
        <v>1792</v>
      </c>
      <c r="Q316" s="18">
        <v>10760.567847</v>
      </c>
      <c r="R316" s="18">
        <v>10544.835137</v>
      </c>
      <c r="S316" s="18">
        <v>11241.436419</v>
      </c>
      <c r="T316" s="18">
        <v>10986.632170999999</v>
      </c>
    </row>
    <row r="317" spans="1:24" x14ac:dyDescent="0.25">
      <c r="A317">
        <f t="shared" si="2"/>
        <v>315</v>
      </c>
      <c r="B317" t="s">
        <v>1809</v>
      </c>
      <c r="Q317" s="18">
        <v>12088.75073</v>
      </c>
      <c r="R317" s="18">
        <v>10860.301071</v>
      </c>
      <c r="S317" s="18">
        <v>11337.608715</v>
      </c>
      <c r="T317" s="18">
        <v>13321.061175999999</v>
      </c>
    </row>
    <row r="318" spans="1:24" x14ac:dyDescent="0.25">
      <c r="A318">
        <f t="shared" si="2"/>
        <v>316</v>
      </c>
      <c r="B318" t="s">
        <v>1810</v>
      </c>
      <c r="Q318" s="18">
        <v>13091.698543</v>
      </c>
      <c r="R318" s="18">
        <v>12220.495521999999</v>
      </c>
      <c r="S318" s="18">
        <v>11959.966628</v>
      </c>
      <c r="T318" s="18">
        <v>11048.719969</v>
      </c>
    </row>
    <row r="319" spans="1:24" x14ac:dyDescent="0.25">
      <c r="A319">
        <f t="shared" si="2"/>
        <v>317</v>
      </c>
      <c r="B319" t="s">
        <v>1811</v>
      </c>
      <c r="Q319" s="18">
        <v>11230.022140999999</v>
      </c>
      <c r="R319" s="18">
        <v>10747.193283000001</v>
      </c>
      <c r="S319" s="18">
        <v>11413.461769</v>
      </c>
      <c r="T319" s="18">
        <v>10717.653893999999</v>
      </c>
    </row>
    <row r="320" spans="1:24" x14ac:dyDescent="0.25">
      <c r="A320">
        <f t="shared" si="2"/>
        <v>318</v>
      </c>
      <c r="B320" t="s">
        <v>1812</v>
      </c>
      <c r="Q320" s="18">
        <v>10898.328017</v>
      </c>
      <c r="R320" s="18">
        <v>10612.150454000001</v>
      </c>
      <c r="S320" s="18">
        <v>10604.596948</v>
      </c>
    </row>
    <row r="321" spans="1:20" x14ac:dyDescent="0.25">
      <c r="A321">
        <f t="shared" si="2"/>
        <v>319</v>
      </c>
      <c r="B321" t="s">
        <v>1814</v>
      </c>
      <c r="Q321" s="18">
        <v>8871.0962980000004</v>
      </c>
      <c r="R321" s="18">
        <v>9060.1607929999991</v>
      </c>
      <c r="S321" s="18">
        <v>9228.1542599999993</v>
      </c>
      <c r="T321" s="18">
        <v>9145.6442669999997</v>
      </c>
    </row>
    <row r="322" spans="1:20" x14ac:dyDescent="0.25">
      <c r="A322">
        <f t="shared" si="2"/>
        <v>320</v>
      </c>
      <c r="B322" t="s">
        <v>1815</v>
      </c>
      <c r="Q322" s="18">
        <v>10166.61809</v>
      </c>
      <c r="R322" s="18">
        <v>9238.4077460000008</v>
      </c>
      <c r="S322" s="18">
        <v>9793.7773840000009</v>
      </c>
    </row>
    <row r="323" spans="1:20" x14ac:dyDescent="0.25">
      <c r="A323">
        <f t="shared" si="2"/>
        <v>321</v>
      </c>
      <c r="B323" t="s">
        <v>1817</v>
      </c>
      <c r="Q323" s="18">
        <v>9059.3639349999994</v>
      </c>
      <c r="R323" s="18">
        <v>10362.034987999999</v>
      </c>
      <c r="S323" s="18">
        <v>10057.696115999999</v>
      </c>
      <c r="T323" s="18">
        <v>9720.0489899999993</v>
      </c>
    </row>
    <row r="324" spans="1:20" x14ac:dyDescent="0.25">
      <c r="A324">
        <f t="shared" si="2"/>
        <v>322</v>
      </c>
      <c r="B324" t="s">
        <v>1819</v>
      </c>
      <c r="Q324" s="18">
        <v>9640.6943740000006</v>
      </c>
      <c r="R324" s="18">
        <v>10357.168019999999</v>
      </c>
      <c r="S324" s="18">
        <v>11048.684018</v>
      </c>
      <c r="T324" s="18">
        <v>11138.852029</v>
      </c>
    </row>
    <row r="325" spans="1:20" x14ac:dyDescent="0.25">
      <c r="A325">
        <f t="shared" si="2"/>
        <v>323</v>
      </c>
      <c r="B325" t="s">
        <v>1820</v>
      </c>
      <c r="Q325" s="18">
        <v>8326.2132010000005</v>
      </c>
      <c r="R325" s="18">
        <v>7817.3656149999997</v>
      </c>
      <c r="S325" s="18">
        <v>8214.551641</v>
      </c>
      <c r="T325" s="18">
        <v>8278.3993699999992</v>
      </c>
    </row>
    <row r="326" spans="1:20" x14ac:dyDescent="0.25">
      <c r="A326">
        <f t="shared" si="2"/>
        <v>324</v>
      </c>
      <c r="B326" t="s">
        <v>1821</v>
      </c>
      <c r="Q326" s="18">
        <v>9701.9170680000007</v>
      </c>
      <c r="R326" s="18">
        <v>9480.5403979999992</v>
      </c>
      <c r="S326" s="18">
        <v>9480.5403979999992</v>
      </c>
    </row>
    <row r="327" spans="1:20" x14ac:dyDescent="0.25">
      <c r="A327">
        <f t="shared" si="2"/>
        <v>325</v>
      </c>
      <c r="B327" t="s">
        <v>1822</v>
      </c>
      <c r="Q327" s="18">
        <v>10037.932005000001</v>
      </c>
      <c r="R327" s="18">
        <v>10372.016664000001</v>
      </c>
      <c r="S327" s="18">
        <v>11648.367989</v>
      </c>
    </row>
    <row r="328" spans="1:20" x14ac:dyDescent="0.25">
      <c r="A328">
        <f t="shared" si="2"/>
        <v>326</v>
      </c>
      <c r="B328" t="s">
        <v>1823</v>
      </c>
      <c r="Q328" s="18">
        <v>9019.6505219999999</v>
      </c>
      <c r="R328" s="18">
        <v>8840.0771029999996</v>
      </c>
      <c r="S328" s="18">
        <v>9223.4648140000008</v>
      </c>
      <c r="T328" s="18">
        <v>9049.3304939999998</v>
      </c>
    </row>
    <row r="329" spans="1:20" x14ac:dyDescent="0.25">
      <c r="A329">
        <f t="shared" si="2"/>
        <v>327</v>
      </c>
      <c r="B329" t="s">
        <v>1824</v>
      </c>
      <c r="Q329" s="18">
        <v>7755.6663509999998</v>
      </c>
      <c r="R329" s="18">
        <v>8735.8876509999991</v>
      </c>
      <c r="S329" s="18">
        <v>9920.6962000000003</v>
      </c>
      <c r="T329" s="18">
        <v>10799.130363</v>
      </c>
    </row>
    <row r="330" spans="1:20" x14ac:dyDescent="0.25">
      <c r="A330">
        <f t="shared" si="2"/>
        <v>328</v>
      </c>
      <c r="B330" t="s">
        <v>1825</v>
      </c>
      <c r="Q330" s="18">
        <v>6764.1126819999999</v>
      </c>
      <c r="R330" s="18">
        <v>5897.4234580000002</v>
      </c>
      <c r="S330" s="18">
        <v>4838.2615409999999</v>
      </c>
    </row>
    <row r="331" spans="1:20" x14ac:dyDescent="0.25">
      <c r="A331">
        <f t="shared" si="2"/>
        <v>329</v>
      </c>
      <c r="B331" t="s">
        <v>1826</v>
      </c>
      <c r="Q331" s="18">
        <v>11027.13155</v>
      </c>
      <c r="R331" s="18">
        <v>10419.95334</v>
      </c>
      <c r="S331" s="18">
        <v>10869.731963</v>
      </c>
    </row>
    <row r="332" spans="1:20" x14ac:dyDescent="0.25">
      <c r="A332">
        <f t="shared" si="2"/>
        <v>330</v>
      </c>
      <c r="B332" t="s">
        <v>1827</v>
      </c>
      <c r="Q332" s="18">
        <v>10475.3711</v>
      </c>
      <c r="R332" s="18">
        <v>10583.665628000001</v>
      </c>
      <c r="S332" s="18">
        <v>11411.358864</v>
      </c>
      <c r="T332" s="18">
        <v>10253.031805000001</v>
      </c>
    </row>
    <row r="333" spans="1:20" x14ac:dyDescent="0.25">
      <c r="A333">
        <f t="shared" si="2"/>
        <v>331</v>
      </c>
      <c r="B333" t="s">
        <v>1828</v>
      </c>
      <c r="P333" s="18">
        <v>9692.1666170000008</v>
      </c>
      <c r="Q333" s="18">
        <v>10230.608428</v>
      </c>
      <c r="R333" s="18">
        <v>9199.151672</v>
      </c>
      <c r="S333" s="18">
        <v>9225.6469679999991</v>
      </c>
      <c r="T333" s="18">
        <v>8517.7147629999999</v>
      </c>
    </row>
    <row r="334" spans="1:20" x14ac:dyDescent="0.25">
      <c r="A334">
        <f t="shared" si="2"/>
        <v>332</v>
      </c>
      <c r="B334" t="s">
        <v>1829</v>
      </c>
      <c r="Q334" s="18">
        <v>6441.791792</v>
      </c>
      <c r="R334" s="18">
        <v>6417.1063059999997</v>
      </c>
      <c r="S334" s="18">
        <v>6392.2931829999998</v>
      </c>
    </row>
    <row r="335" spans="1:20" x14ac:dyDescent="0.25">
      <c r="A335">
        <f t="shared" si="2"/>
        <v>333</v>
      </c>
      <c r="B335" t="s">
        <v>1831</v>
      </c>
      <c r="Q335" s="18">
        <v>11204.039022999999</v>
      </c>
      <c r="R335" s="18">
        <v>10697.782139000001</v>
      </c>
      <c r="S335" s="18">
        <v>11000.953056</v>
      </c>
      <c r="T335" s="18">
        <v>10778.469918000001</v>
      </c>
    </row>
    <row r="336" spans="1:20" x14ac:dyDescent="0.25">
      <c r="A336">
        <f t="shared" si="2"/>
        <v>334</v>
      </c>
      <c r="B336" t="s">
        <v>1833</v>
      </c>
      <c r="R336" s="18">
        <v>8045.0271419999999</v>
      </c>
      <c r="S336" s="18">
        <v>8935.7907709999999</v>
      </c>
      <c r="T336" s="18">
        <v>10318.32307</v>
      </c>
    </row>
    <row r="337" spans="1:20" x14ac:dyDescent="0.25">
      <c r="A337">
        <f t="shared" si="2"/>
        <v>335</v>
      </c>
      <c r="B337" t="s">
        <v>1838</v>
      </c>
      <c r="R337" s="18">
        <v>6300.0913430000001</v>
      </c>
      <c r="S337" s="18">
        <v>6557.4335629999996</v>
      </c>
      <c r="T337" s="18">
        <v>6701.5258819999999</v>
      </c>
    </row>
    <row r="338" spans="1:20" x14ac:dyDescent="0.25">
      <c r="A338">
        <f t="shared" si="2"/>
        <v>336</v>
      </c>
      <c r="B338" t="s">
        <v>2074</v>
      </c>
      <c r="Q338" s="18">
        <v>10140.054136999999</v>
      </c>
      <c r="R338" s="18">
        <v>10165.588895999999</v>
      </c>
      <c r="S338" s="18">
        <v>11110.479835</v>
      </c>
      <c r="T338" s="18">
        <v>11344.171281999999</v>
      </c>
    </row>
    <row r="339" spans="1:20" x14ac:dyDescent="0.25">
      <c r="A339">
        <f t="shared" si="2"/>
        <v>337</v>
      </c>
      <c r="B339" t="s">
        <v>2075</v>
      </c>
      <c r="Q339" s="18">
        <v>8714.9970300000004</v>
      </c>
      <c r="R339" s="18">
        <v>9990.5428209999991</v>
      </c>
      <c r="S339" s="18">
        <v>12048.108136999999</v>
      </c>
      <c r="T339" s="18">
        <v>12721.643527</v>
      </c>
    </row>
    <row r="340" spans="1:20" x14ac:dyDescent="0.25">
      <c r="A340">
        <f t="shared" si="2"/>
        <v>338</v>
      </c>
      <c r="B340" t="s">
        <v>2076</v>
      </c>
      <c r="Q340" s="18">
        <v>10156.347877</v>
      </c>
      <c r="R340" s="18">
        <v>11288.801534</v>
      </c>
      <c r="S340" s="18">
        <v>10599.122090000001</v>
      </c>
      <c r="T340" s="18">
        <v>9064.3309079999999</v>
      </c>
    </row>
    <row r="341" spans="1:20" x14ac:dyDescent="0.25">
      <c r="A341">
        <f t="shared" si="2"/>
        <v>339</v>
      </c>
      <c r="B341" t="s">
        <v>2077</v>
      </c>
      <c r="Q341" s="18">
        <v>135.89378099999999</v>
      </c>
      <c r="R341" s="18">
        <v>9177.0143289999996</v>
      </c>
      <c r="S341" s="18">
        <v>10701.579175999999</v>
      </c>
    </row>
    <row r="342" spans="1:20" x14ac:dyDescent="0.25">
      <c r="A342">
        <f t="shared" si="2"/>
        <v>340</v>
      </c>
      <c r="B342" t="s">
        <v>2078</v>
      </c>
      <c r="Q342" s="18">
        <v>10043.797742000001</v>
      </c>
      <c r="R342" s="18">
        <v>9945.0114659999999</v>
      </c>
      <c r="S342" s="18">
        <v>10281.890283999999</v>
      </c>
      <c r="T342" s="18">
        <v>10240.183483999999</v>
      </c>
    </row>
    <row r="343" spans="1:20" x14ac:dyDescent="0.25">
      <c r="A343">
        <f t="shared" si="2"/>
        <v>341</v>
      </c>
      <c r="B343" t="s">
        <v>2079</v>
      </c>
      <c r="Q343" s="18">
        <v>7377.115753</v>
      </c>
      <c r="R343" s="18">
        <v>7895.9637400000001</v>
      </c>
      <c r="S343" s="18">
        <v>9998.3128479999996</v>
      </c>
    </row>
    <row r="344" spans="1:20" x14ac:dyDescent="0.25">
      <c r="A344">
        <f t="shared" si="2"/>
        <v>342</v>
      </c>
      <c r="B344" t="s">
        <v>2080</v>
      </c>
      <c r="Q344" s="18">
        <v>7875.7325339999998</v>
      </c>
      <c r="R344" s="18">
        <v>8432.3556509999999</v>
      </c>
      <c r="S344" s="18">
        <v>9255.8550790000008</v>
      </c>
      <c r="T344" s="18">
        <v>9712.2878870000004</v>
      </c>
    </row>
    <row r="345" spans="1:20" x14ac:dyDescent="0.25">
      <c r="A345">
        <f t="shared" si="2"/>
        <v>343</v>
      </c>
      <c r="B345" t="s">
        <v>2081</v>
      </c>
      <c r="S345" s="18">
        <v>2205.136364</v>
      </c>
    </row>
    <row r="346" spans="1:20" x14ac:dyDescent="0.25">
      <c r="A346">
        <f t="shared" si="2"/>
        <v>344</v>
      </c>
      <c r="B346" t="s">
        <v>2097</v>
      </c>
      <c r="Q346" s="18">
        <v>11119.650505</v>
      </c>
      <c r="R346" s="18">
        <v>10656.351341</v>
      </c>
      <c r="S346" s="18">
        <v>9749.8401059999997</v>
      </c>
      <c r="T346" s="18">
        <v>8554.1880509999992</v>
      </c>
    </row>
    <row r="347" spans="1:20" x14ac:dyDescent="0.25">
      <c r="A347">
        <f t="shared" si="2"/>
        <v>345</v>
      </c>
      <c r="B347" t="s">
        <v>2098</v>
      </c>
      <c r="Q347" s="18">
        <v>5465.1049999999996</v>
      </c>
      <c r="R347" s="18">
        <v>5730.741</v>
      </c>
      <c r="S347" s="18">
        <v>6145.7370000000001</v>
      </c>
      <c r="T347" s="18">
        <v>6357.2932220000002</v>
      </c>
    </row>
    <row r="348" spans="1:20" x14ac:dyDescent="0.25">
      <c r="A348">
        <f t="shared" si="2"/>
        <v>346</v>
      </c>
      <c r="B348" t="s">
        <v>2105</v>
      </c>
      <c r="Q348" s="18">
        <v>6791.3090309999998</v>
      </c>
      <c r="R348" s="18">
        <v>6750.8743359999999</v>
      </c>
      <c r="S348" s="18">
        <v>6829.5465430000004</v>
      </c>
      <c r="T348" s="18">
        <v>6737.630553</v>
      </c>
    </row>
    <row r="349" spans="1:20" x14ac:dyDescent="0.25">
      <c r="A349">
        <f t="shared" si="2"/>
        <v>347</v>
      </c>
      <c r="B349" t="s">
        <v>2106</v>
      </c>
      <c r="Q349" s="18">
        <v>7968.0709859999997</v>
      </c>
      <c r="R349" s="18">
        <v>8229.8441550000007</v>
      </c>
      <c r="S349" s="18">
        <v>8417.0067639999997</v>
      </c>
      <c r="T349" s="18">
        <v>8660.7010900000005</v>
      </c>
    </row>
    <row r="350" spans="1:20" x14ac:dyDescent="0.25">
      <c r="A350">
        <f t="shared" si="2"/>
        <v>348</v>
      </c>
      <c r="B350" t="s">
        <v>2107</v>
      </c>
      <c r="Q350" s="18">
        <v>7697.0070079999996</v>
      </c>
      <c r="R350" s="18">
        <v>7571.8907090000002</v>
      </c>
      <c r="S350" s="18">
        <v>9401.0473290000009</v>
      </c>
      <c r="T350" s="18">
        <v>7858.1095429999996</v>
      </c>
    </row>
    <row r="351" spans="1:20" x14ac:dyDescent="0.25">
      <c r="A351">
        <f t="shared" si="2"/>
        <v>349</v>
      </c>
      <c r="B351" t="s">
        <v>2109</v>
      </c>
      <c r="Q351" s="18">
        <v>7770.9051049999998</v>
      </c>
      <c r="R351" s="18">
        <v>8120.8585229999999</v>
      </c>
      <c r="S351" s="18">
        <v>8893.9675779999998</v>
      </c>
      <c r="T351" s="18">
        <v>8949.94607</v>
      </c>
    </row>
    <row r="352" spans="1:20" x14ac:dyDescent="0.25">
      <c r="A352">
        <f t="shared" si="2"/>
        <v>350</v>
      </c>
      <c r="B352" t="s">
        <v>2110</v>
      </c>
      <c r="P352" s="18">
        <v>1888.5017660000001</v>
      </c>
      <c r="Q352" s="18">
        <v>5633.0871790000001</v>
      </c>
      <c r="R352" s="18">
        <v>5951.8110420000003</v>
      </c>
      <c r="S352" s="18">
        <v>6790.3457250000001</v>
      </c>
      <c r="T352" s="18">
        <v>6243.5463410000002</v>
      </c>
    </row>
    <row r="353" spans="1:19" x14ac:dyDescent="0.25">
      <c r="A353">
        <f t="shared" si="2"/>
        <v>351</v>
      </c>
      <c r="B353" t="s">
        <v>2111</v>
      </c>
      <c r="Q353" s="18">
        <v>5375.6626290000004</v>
      </c>
      <c r="R353" s="18">
        <v>5679.6869720000004</v>
      </c>
      <c r="S353" s="18">
        <v>6703.4363030000004</v>
      </c>
    </row>
  </sheetData>
  <hyperlinks>
    <hyperlink ref="P42" r:id="rId1" display="https://www.sec.gov/Archives/edgar/data/1697748/000110465924004517/xslForm13F_X02/primary_doc.xml" xr:uid="{90675D98-C1D1-B348-AC46-FEEEA1B3CB22}"/>
    <hyperlink ref="B42"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6" r:id="rId7" xr:uid="{353931A5-0120-DE43-BFCE-810E4BD4066E}"/>
    <hyperlink ref="P6" r:id="rId8" display="https://www.sec.gov/Archives/edgar/data/93751/000009375124000484/xslForm13F_X02/primary_doc.xml" xr:uid="{082A01A6-C625-2448-8453-43911D0F4224}"/>
    <hyperlink ref="B36" r:id="rId9" xr:uid="{47F374D1-16E5-F844-A1B0-5FA92D4C1B51}"/>
    <hyperlink ref="P36" r:id="rId10" display="https://www.sec.gov/Archives/edgar/data/1475365/000121465924001344/xslForm13F_X02/primary_doc.xml" xr:uid="{F0C8B35E-4815-DB4E-8198-6DE1056D06FD}"/>
    <hyperlink ref="B8" r:id="rId11" xr:uid="{F6F52DFC-CABD-C542-AEC7-CBA6FA45546C}"/>
    <hyperlink ref="P8" r:id="rId12" display="https://www.sec.gov/Archives/edgar/data/895421/000089542124000245/xslForm13F_X02/primary_doc.xml" xr:uid="{9E6B51C3-4827-3649-B8EF-44A26894AEEF}"/>
    <hyperlink ref="B16" r:id="rId13" xr:uid="{3182BBF8-812A-B143-BFC8-8A084E1185ED}"/>
    <hyperlink ref="P16" r:id="rId14" display="https://www.sec.gov/Archives/edgar/data/902219/000090221924000290/xslForm13F_X02/primary_doc.xml" xr:uid="{3DE5B5B3-F3EB-F241-A6D1-04B6C917423B}"/>
    <hyperlink ref="B40" r:id="rId15" xr:uid="{5E0BA1A9-4485-6549-A493-6DB12657CC2C}"/>
    <hyperlink ref="P40" r:id="rId16" display="https://www.sec.gov/Archives/edgar/data/1056288/000162363224000202/xslForm13F_X02/primary_doc.xml" xr:uid="{BF3F7807-3C40-AD4B-B6EC-B780C627B860}"/>
    <hyperlink ref="B10" r:id="rId17" xr:uid="{0E6F07F2-0597-CF44-B706-69BC744500F3}"/>
    <hyperlink ref="P10" r:id="rId18" display="https://www.sec.gov/Archives/edgar/data/1214717/000126924124000004/xslForm13F_X02/primary_doc.xml" xr:uid="{F22DFA74-F243-C04F-9D30-77C5FFFE778A}"/>
    <hyperlink ref="B12" r:id="rId19" xr:uid="{D0E575BF-E466-B043-B3AF-43E0309FD505}"/>
    <hyperlink ref="P12" r:id="rId20" display="https://www.sec.gov/Archives/edgar/data/80255/000008025524000820/xslForm13F_X02/primary_doc.xml" xr:uid="{6CD7543C-43F4-5C46-A752-6E6FE2F8B88B}"/>
    <hyperlink ref="B31" r:id="rId21" xr:uid="{B27E58ED-B092-5C40-8645-5529C5C592A1}"/>
    <hyperlink ref="P31" r:id="rId22" display="https://www.sec.gov/Archives/edgar/data/1109448/000153215524000008/xslForm13F_X02/primary_doc.xml" xr:uid="{0880664A-4F14-2D41-B4ED-573510A4040F}"/>
    <hyperlink ref="P7" r:id="rId23" display="https://www.sec.gov/Archives/edgar/data/315066/000031506624001639/xslForm13F_X02/primary_doc.xml" xr:uid="{8611CB73-A53B-BA48-BC42-B51AC752BDA7}"/>
    <hyperlink ref="B7" r:id="rId24" xr:uid="{65D9DBE2-3539-B64A-9A96-FAEF241D1703}"/>
    <hyperlink ref="P27" r:id="rId25" display="https://www.sec.gov/Archives/edgar/data/354204/000035420424001740/xslForm13F_X02/primary_doc.xml" xr:uid="{F52B7F06-6B63-B144-A319-668E05A26DDC}"/>
    <hyperlink ref="B27" r:id="rId26" xr:uid="{12060422-446F-4745-9327-1899DD6D6F7F}"/>
    <hyperlink ref="B41" r:id="rId27" xr:uid="{231DCCD5-B18E-CC48-BE6F-1DCEB774BE85}"/>
    <hyperlink ref="P41" r:id="rId28" display="https://www.sec.gov/Archives/edgar/data/1462020/000108514624000448/xslForm13F_X02/primary_doc.xml" xr:uid="{451A4A59-A365-DB40-83A2-E93872D3F637}"/>
    <hyperlink ref="B15" r:id="rId29" xr:uid="{E5FE8DE6-BE5E-7642-94F1-E0043DF94D15}"/>
    <hyperlink ref="P15" r:id="rId30" display="https://www.sec.gov/Archives/edgar/data/73124/000125648424000002/xslForm13F_X02/primary_doc.xml" xr:uid="{0576038D-3175-5D41-BA38-098BECADB265}"/>
    <hyperlink ref="B67" r:id="rId31" xr:uid="{F4158713-A4C3-3F4C-B89C-A09A20C97A00}"/>
    <hyperlink ref="P67" r:id="rId32" display="https://www.sec.gov/Archives/edgar/data/1123274/000153560224000003/xslForm13F_X02/primary_doc.xml" xr:uid="{4C5B1D2E-54CF-4F47-94F3-81B6DB548419}"/>
    <hyperlink ref="B14" r:id="rId33" xr:uid="{C6AF6090-FE37-314F-9A5C-6E3385DC3D22}"/>
    <hyperlink ref="P14" r:id="rId34" display="https://www.sec.gov/Archives/edgar/data/886982/000076999324000161/xslForm13F_X02/primary_doc.xml" xr:uid="{84F4D4F6-DFAB-9246-BCDB-309E3CFD459E}"/>
    <hyperlink ref="B28" r:id="rId35" xr:uid="{F91F43F7-336D-D345-9E8B-19D1FBAA5777}"/>
    <hyperlink ref="P28" r:id="rId36" display="https://www.sec.gov/Archives/edgar/data/1610520/000095012324001214/xslForm13F_X02/primary_doc.xml" xr:uid="{98AFB0FA-254D-CD4E-B157-9B30BDFE7FC6}"/>
    <hyperlink ref="B17" r:id="rId37" xr:uid="{2F168197-BF21-45DB-9769-6F00A2181D88}"/>
    <hyperlink ref="P17" r:id="rId38" display="https://www.sec.gov/Archives/edgar/data/1562230/000001728324000011/xslForm13F_X02/primary_doc.xml" xr:uid="{2C14DD66-9CAE-45AF-91D8-1125C009AB65}"/>
    <hyperlink ref="B37" r:id="rId39" xr:uid="{203CD4DF-9385-4518-940F-30E160707702}"/>
    <hyperlink ref="P37" r:id="rId40" display="https://www.sec.gov/Archives/edgar/data/1088875/000108887524000015/xslForm13F_X02/primary_doc.xml" xr:uid="{7D5FB42F-A616-4D1E-BF35-6E828EE62102}"/>
    <hyperlink ref="B34" r:id="rId41" xr:uid="{07ED1DA9-1FC0-410C-96CB-8A0D6D40AE1F}"/>
    <hyperlink ref="P34" r:id="rId42" display="https://www.sec.gov/Archives/edgar/data/1274173/000108514624001304/xslForm13F_X02/primary_doc.xml" xr:uid="{7609BE17-1777-408E-AAC4-AD05CFCEFFD2}"/>
    <hyperlink ref="B9" r:id="rId43" xr:uid="{545F5C6B-67E4-404B-A183-7C24D87DDF5A}"/>
    <hyperlink ref="P9" r:id="rId44" display="https://www.sec.gov/Archives/edgar/data/19617/000001961724000190/xslForm13F_X02/primary_doc.xml" xr:uid="{E877B312-5597-4EC2-BEFE-64B2A7F64808}"/>
    <hyperlink ref="B39" r:id="rId45" xr:uid="{B2C2D37F-1334-412D-AD72-879E035EDE7C}"/>
    <hyperlink ref="P39" r:id="rId46" display="https://www.sec.gov/Archives/edgar/data/1418333/000095012324002158/xslForm13F_X02/primary_doc.xml" xr:uid="{7013A020-1D01-4C5B-B1B1-F95B887A5748}"/>
    <hyperlink ref="B35" r:id="rId47" xr:uid="{99D4D51F-5DB4-41F4-A01C-26047711184F}"/>
    <hyperlink ref="P35" r:id="rId48" display="https://www.sec.gov/Archives/edgar/data/200217/000095012324002669/xslForm13F_X02/primary_doc.xml" xr:uid="{EB541EB6-76AF-44E0-8645-04188946C789}"/>
    <hyperlink ref="B13" r:id="rId49" xr:uid="{5685646D-A751-4867-85D5-1F43B405608E}"/>
    <hyperlink ref="P13" r:id="rId50" display="https://www.sec.gov/Archives/edgar/data/1374170/000137417024000018/xslForm13F_X02/primary_doc.xml" xr:uid="{D9A6DC4B-3954-4849-8282-E181D930D69E}"/>
    <hyperlink ref="B38" r:id="rId51" xr:uid="{E51BF22C-EDCE-4FD7-B9B0-D49E83EEBD50}"/>
    <hyperlink ref="P38" r:id="rId52" display="https://www.sec.gov/Archives/edgar/data/53417/000005341724000002/xslForm13F_X02/primary_doc.xml" xr:uid="{AAC67348-DCFD-47C0-8770-D53E46B1ABB1}"/>
    <hyperlink ref="B32" r:id="rId53" xr:uid="{A442ED93-0B09-4B08-9749-76AFFE3BD9A0}"/>
    <hyperlink ref="P32" r:id="rId54" display="https://www.sec.gov/Archives/edgar/data/38777/000003877724000028/xslForm13F_X02/primary_doc.xml" xr:uid="{B50F2917-29BA-440D-AA2A-9A4201E4AC90}"/>
    <hyperlink ref="B20" r:id="rId55" xr:uid="{A013C637-8E0E-4A00-A457-D35A152ABF45}"/>
    <hyperlink ref="P20"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P23"/>
  <sheetViews>
    <sheetView zoomScale="190" zoomScaleNormal="190" workbookViewId="0">
      <pane xSplit="2" ySplit="2" topLeftCell="E3" activePane="bottomRight" state="frozen"/>
      <selection pane="topRight" activeCell="C1" sqref="C1"/>
      <selection pane="bottomLeft" activeCell="A3" sqref="A3"/>
      <selection pane="bottomRight" activeCell="O22" sqref="O22"/>
    </sheetView>
  </sheetViews>
  <sheetFormatPr defaultColWidth="8.7265625" defaultRowHeight="12.5" x14ac:dyDescent="0.25"/>
  <cols>
    <col min="1" max="1" width="5" bestFit="1" customWidth="1"/>
    <col min="2" max="2" width="13.7265625" bestFit="1" customWidth="1"/>
    <col min="6" max="9" width="8.7265625" style="1"/>
  </cols>
  <sheetData>
    <row r="1" spans="1:16" x14ac:dyDescent="0.25">
      <c r="A1" t="s">
        <v>75</v>
      </c>
      <c r="D1" s="18">
        <f>SUM(D3:D19)</f>
        <v>3068</v>
      </c>
    </row>
    <row r="2" spans="1:16" x14ac:dyDescent="0.25">
      <c r="B2" t="s">
        <v>0</v>
      </c>
      <c r="D2" s="1" t="s">
        <v>1795</v>
      </c>
      <c r="F2" s="1" t="s">
        <v>1108</v>
      </c>
      <c r="G2" s="1" t="s">
        <v>1109</v>
      </c>
      <c r="H2" s="1" t="s">
        <v>1110</v>
      </c>
      <c r="I2" s="1" t="s">
        <v>1111</v>
      </c>
      <c r="M2">
        <v>2017</v>
      </c>
      <c r="N2">
        <v>2003</v>
      </c>
      <c r="O2">
        <v>2002</v>
      </c>
      <c r="P2">
        <v>2001</v>
      </c>
    </row>
    <row r="3" spans="1:16" x14ac:dyDescent="0.25">
      <c r="B3" t="s">
        <v>1476</v>
      </c>
      <c r="C3" s="18">
        <v>976</v>
      </c>
      <c r="D3">
        <v>517</v>
      </c>
      <c r="F3" s="3">
        <v>7505.0402139999997</v>
      </c>
      <c r="G3" s="3">
        <v>6864.1274679999997</v>
      </c>
      <c r="H3" s="3">
        <v>7228.6659259999997</v>
      </c>
      <c r="I3" s="3"/>
    </row>
    <row r="4" spans="1:16" x14ac:dyDescent="0.25">
      <c r="B4" t="s">
        <v>1477</v>
      </c>
      <c r="C4" s="18">
        <v>3277</v>
      </c>
      <c r="D4">
        <v>502</v>
      </c>
      <c r="F4" s="3">
        <v>3877.1900500000002</v>
      </c>
      <c r="G4" s="3"/>
      <c r="H4" s="3">
        <v>7468.0461240000004</v>
      </c>
      <c r="I4" s="3"/>
    </row>
    <row r="5" spans="1:16" x14ac:dyDescent="0.25">
      <c r="B5" t="s">
        <v>1478</v>
      </c>
      <c r="C5" s="18">
        <v>2341</v>
      </c>
      <c r="D5">
        <v>217</v>
      </c>
      <c r="F5" s="3"/>
      <c r="G5" s="3"/>
      <c r="H5" s="3"/>
      <c r="I5" s="3">
        <v>4149.2150009999996</v>
      </c>
    </row>
    <row r="6" spans="1:16" x14ac:dyDescent="0.25">
      <c r="B6" t="s">
        <v>1794</v>
      </c>
      <c r="C6" s="18">
        <v>933</v>
      </c>
      <c r="D6">
        <v>33</v>
      </c>
      <c r="F6" s="3"/>
      <c r="G6" s="3"/>
      <c r="H6" s="3"/>
      <c r="I6" s="3"/>
    </row>
    <row r="7" spans="1:16" x14ac:dyDescent="0.25">
      <c r="B7" t="s">
        <v>875</v>
      </c>
      <c r="C7" s="18">
        <v>563</v>
      </c>
      <c r="D7">
        <v>10</v>
      </c>
      <c r="F7" s="3"/>
      <c r="G7" s="3"/>
      <c r="H7" s="3"/>
      <c r="I7" s="3"/>
    </row>
    <row r="8" spans="1:16" x14ac:dyDescent="0.25">
      <c r="B8" t="s">
        <v>1796</v>
      </c>
      <c r="C8" s="18">
        <v>114</v>
      </c>
      <c r="D8">
        <v>53</v>
      </c>
      <c r="F8" s="3"/>
      <c r="G8" s="3"/>
      <c r="H8" s="3"/>
      <c r="I8" s="3"/>
    </row>
    <row r="9" spans="1:16" x14ac:dyDescent="0.25">
      <c r="B9" t="s">
        <v>1797</v>
      </c>
      <c r="C9" s="18">
        <v>358</v>
      </c>
      <c r="D9">
        <v>48</v>
      </c>
      <c r="F9" s="3"/>
      <c r="G9" s="3"/>
      <c r="H9" s="3"/>
      <c r="I9" s="3"/>
    </row>
    <row r="10" spans="1:16" x14ac:dyDescent="0.25">
      <c r="B10" t="s">
        <v>1798</v>
      </c>
      <c r="C10" s="18">
        <v>762</v>
      </c>
      <c r="D10">
        <v>31</v>
      </c>
      <c r="F10" s="3"/>
      <c r="G10" s="3"/>
      <c r="H10" s="3"/>
      <c r="I10" s="3"/>
    </row>
    <row r="11" spans="1:16" x14ac:dyDescent="0.25">
      <c r="B11" t="s">
        <v>1799</v>
      </c>
      <c r="C11" s="18">
        <v>1338</v>
      </c>
      <c r="D11">
        <v>8</v>
      </c>
      <c r="F11" s="3">
        <v>10319.502641999999</v>
      </c>
      <c r="G11" s="3">
        <v>10142.836108</v>
      </c>
      <c r="H11" s="3">
        <v>7922.2646029999996</v>
      </c>
      <c r="I11" s="3"/>
    </row>
    <row r="12" spans="1:16" x14ac:dyDescent="0.25">
      <c r="B12" t="s">
        <v>1800</v>
      </c>
      <c r="C12" s="18">
        <v>858</v>
      </c>
      <c r="D12">
        <v>25</v>
      </c>
      <c r="F12" s="3"/>
      <c r="G12" s="3"/>
      <c r="H12" s="3"/>
    </row>
    <row r="13" spans="1:16" x14ac:dyDescent="0.25">
      <c r="B13" t="s">
        <v>1801</v>
      </c>
      <c r="C13" s="18">
        <v>162</v>
      </c>
      <c r="D13">
        <v>10</v>
      </c>
      <c r="F13" s="3">
        <v>3737.8254080000002</v>
      </c>
      <c r="G13" s="3"/>
      <c r="H13" s="3"/>
    </row>
    <row r="14" spans="1:16" x14ac:dyDescent="0.25">
      <c r="B14" t="s">
        <v>1802</v>
      </c>
      <c r="C14" s="18">
        <v>2269</v>
      </c>
      <c r="D14">
        <v>186</v>
      </c>
      <c r="F14" s="3">
        <v>4481.9024090000003</v>
      </c>
      <c r="G14" s="3">
        <v>4709.9879039999996</v>
      </c>
      <c r="H14" s="3">
        <v>3823.5028790000001</v>
      </c>
    </row>
    <row r="15" spans="1:16" x14ac:dyDescent="0.25">
      <c r="B15" t="s">
        <v>1803</v>
      </c>
      <c r="C15" s="18">
        <v>552</v>
      </c>
      <c r="D15">
        <v>50</v>
      </c>
    </row>
    <row r="16" spans="1:16" x14ac:dyDescent="0.25">
      <c r="B16" t="s">
        <v>1804</v>
      </c>
      <c r="C16" s="18">
        <v>5518</v>
      </c>
      <c r="D16">
        <v>675</v>
      </c>
    </row>
    <row r="17" spans="2:16" x14ac:dyDescent="0.25">
      <c r="B17" t="s">
        <v>1805</v>
      </c>
      <c r="C17" s="18">
        <v>5531</v>
      </c>
      <c r="D17">
        <v>632</v>
      </c>
    </row>
    <row r="18" spans="2:16" x14ac:dyDescent="0.25">
      <c r="B18" t="s">
        <v>1806</v>
      </c>
      <c r="C18" s="18">
        <v>561</v>
      </c>
      <c r="D18">
        <v>37</v>
      </c>
      <c r="F18" s="3">
        <v>4305.3033759999998</v>
      </c>
      <c r="G18" s="3"/>
      <c r="H18" s="3"/>
      <c r="I18" s="1">
        <v>2809.3015270000001</v>
      </c>
    </row>
    <row r="19" spans="2:16" x14ac:dyDescent="0.25">
      <c r="B19" t="s">
        <v>1807</v>
      </c>
      <c r="C19" s="18">
        <v>547</v>
      </c>
      <c r="D19">
        <v>34</v>
      </c>
      <c r="F19" s="3"/>
      <c r="G19" s="3"/>
      <c r="H19" s="3"/>
    </row>
    <row r="20" spans="2:16" x14ac:dyDescent="0.25">
      <c r="B20" t="s">
        <v>1808</v>
      </c>
      <c r="F20" s="3"/>
      <c r="G20" s="3"/>
      <c r="H20" s="3"/>
    </row>
    <row r="21" spans="2:16" x14ac:dyDescent="0.25">
      <c r="B21" t="s">
        <v>1834</v>
      </c>
      <c r="F21" s="3">
        <v>5224.5444559999996</v>
      </c>
      <c r="G21" s="3">
        <v>4361.5609320000003</v>
      </c>
      <c r="H21" s="3">
        <v>5866.7134820000001</v>
      </c>
      <c r="K21" t="s">
        <v>1837</v>
      </c>
    </row>
    <row r="22" spans="2:16" x14ac:dyDescent="0.25">
      <c r="B22" t="s">
        <v>1835</v>
      </c>
      <c r="F22" s="3">
        <v>4102.462681</v>
      </c>
      <c r="G22" s="3">
        <v>3640.6558759999998</v>
      </c>
      <c r="H22" s="3"/>
      <c r="M22" s="36">
        <v>0.32450000000000001</v>
      </c>
      <c r="N22" s="50" t="s">
        <v>2660</v>
      </c>
      <c r="O22" s="50" t="s">
        <v>2610</v>
      </c>
      <c r="P22" s="14" t="s">
        <v>2172</v>
      </c>
    </row>
    <row r="23" spans="2:16" x14ac:dyDescent="0.25">
      <c r="B23" t="s">
        <v>2082</v>
      </c>
      <c r="F23" s="3">
        <v>3934.323273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R108"/>
  <sheetViews>
    <sheetView zoomScale="115" zoomScaleNormal="115" workbookViewId="0">
      <pane xSplit="4" ySplit="2" topLeftCell="E3" activePane="bottomRight" state="frozen"/>
      <selection pane="topRight" activeCell="E1" sqref="E1"/>
      <selection pane="bottomLeft" activeCell="A3" sqref="A3"/>
      <selection pane="bottomRight" activeCell="E2" sqref="E2:E38"/>
    </sheetView>
  </sheetViews>
  <sheetFormatPr defaultColWidth="11.453125" defaultRowHeight="12.5" x14ac:dyDescent="0.25"/>
  <cols>
    <col min="1" max="1" width="4.7265625" bestFit="1" customWidth="1"/>
    <col min="5" max="5" width="13.26953125" customWidth="1"/>
  </cols>
  <sheetData>
    <row r="1" spans="1:17" x14ac:dyDescent="0.25">
      <c r="A1" s="2" t="s">
        <v>75</v>
      </c>
    </row>
    <row r="2" spans="1:17" x14ac:dyDescent="0.25">
      <c r="B2" t="s">
        <v>885</v>
      </c>
      <c r="C2" t="s">
        <v>915</v>
      </c>
      <c r="D2" t="s">
        <v>886</v>
      </c>
      <c r="E2" t="s">
        <v>907</v>
      </c>
      <c r="F2" t="s">
        <v>890</v>
      </c>
      <c r="G2" t="s">
        <v>892</v>
      </c>
      <c r="H2" t="s">
        <v>896</v>
      </c>
      <c r="I2" t="s">
        <v>906</v>
      </c>
      <c r="J2" t="s">
        <v>909</v>
      </c>
      <c r="K2" t="s">
        <v>910</v>
      </c>
      <c r="L2" t="s">
        <v>922</v>
      </c>
      <c r="M2" t="s">
        <v>969</v>
      </c>
      <c r="N2" t="s">
        <v>971</v>
      </c>
      <c r="O2" t="s">
        <v>973</v>
      </c>
      <c r="P2" t="s">
        <v>974</v>
      </c>
      <c r="Q2" t="s">
        <v>709</v>
      </c>
    </row>
    <row r="3" spans="1:17" x14ac:dyDescent="0.25">
      <c r="B3" t="s">
        <v>887</v>
      </c>
      <c r="C3" t="s">
        <v>888</v>
      </c>
      <c r="D3" t="s">
        <v>889</v>
      </c>
      <c r="E3" t="s">
        <v>718</v>
      </c>
      <c r="F3" s="2" t="s">
        <v>891</v>
      </c>
      <c r="G3" t="s">
        <v>902</v>
      </c>
      <c r="H3" t="s">
        <v>901</v>
      </c>
      <c r="I3" t="s">
        <v>1015</v>
      </c>
    </row>
    <row r="4" spans="1:17" x14ac:dyDescent="0.25">
      <c r="B4" t="s">
        <v>893</v>
      </c>
      <c r="C4" t="s">
        <v>894</v>
      </c>
      <c r="D4" t="s">
        <v>895</v>
      </c>
      <c r="E4" t="s">
        <v>898</v>
      </c>
      <c r="F4" s="2" t="s">
        <v>899</v>
      </c>
      <c r="G4" t="s">
        <v>900</v>
      </c>
      <c r="H4" t="s">
        <v>897</v>
      </c>
      <c r="I4" t="s">
        <v>1015</v>
      </c>
    </row>
    <row r="5" spans="1:17" x14ac:dyDescent="0.25">
      <c r="B5" t="s">
        <v>903</v>
      </c>
      <c r="D5" t="s">
        <v>904</v>
      </c>
      <c r="E5" t="s">
        <v>908</v>
      </c>
      <c r="F5" s="2" t="s">
        <v>913</v>
      </c>
      <c r="G5" t="s">
        <v>914</v>
      </c>
      <c r="H5" t="s">
        <v>905</v>
      </c>
      <c r="I5" t="s">
        <v>1016</v>
      </c>
      <c r="J5" t="s">
        <v>911</v>
      </c>
      <c r="K5" t="s">
        <v>912</v>
      </c>
    </row>
    <row r="6" spans="1:17" x14ac:dyDescent="0.25">
      <c r="B6" t="s">
        <v>916</v>
      </c>
      <c r="C6" t="s">
        <v>917</v>
      </c>
      <c r="D6" t="s">
        <v>918</v>
      </c>
      <c r="E6" t="s">
        <v>919</v>
      </c>
      <c r="F6" s="2" t="s">
        <v>921</v>
      </c>
      <c r="G6" t="s">
        <v>914</v>
      </c>
      <c r="H6" t="s">
        <v>920</v>
      </c>
      <c r="I6" t="s">
        <v>1016</v>
      </c>
      <c r="J6" t="s">
        <v>924</v>
      </c>
      <c r="L6" s="2" t="s">
        <v>923</v>
      </c>
    </row>
    <row r="7" spans="1:17" x14ac:dyDescent="0.25">
      <c r="B7" t="s">
        <v>925</v>
      </c>
      <c r="D7" t="s">
        <v>926</v>
      </c>
      <c r="E7" t="s">
        <v>927</v>
      </c>
      <c r="F7" s="2" t="s">
        <v>928</v>
      </c>
      <c r="G7" t="s">
        <v>900</v>
      </c>
      <c r="H7" t="s">
        <v>929</v>
      </c>
      <c r="I7" t="s">
        <v>1015</v>
      </c>
      <c r="J7" t="s">
        <v>930</v>
      </c>
    </row>
    <row r="8" spans="1:17" x14ac:dyDescent="0.25">
      <c r="B8" t="s">
        <v>931</v>
      </c>
      <c r="C8" t="s">
        <v>894</v>
      </c>
      <c r="D8" t="s">
        <v>932</v>
      </c>
      <c r="E8" t="s">
        <v>933</v>
      </c>
      <c r="F8" s="2" t="s">
        <v>934</v>
      </c>
      <c r="G8" t="s">
        <v>900</v>
      </c>
      <c r="H8" t="s">
        <v>935</v>
      </c>
      <c r="I8" t="s">
        <v>1015</v>
      </c>
    </row>
    <row r="9" spans="1:17" x14ac:dyDescent="0.25">
      <c r="B9" t="s">
        <v>936</v>
      </c>
      <c r="D9" t="s">
        <v>937</v>
      </c>
      <c r="E9" t="s">
        <v>938</v>
      </c>
      <c r="G9" t="s">
        <v>914</v>
      </c>
      <c r="H9" t="s">
        <v>939</v>
      </c>
      <c r="I9" t="s">
        <v>940</v>
      </c>
      <c r="J9" t="s">
        <v>941</v>
      </c>
    </row>
    <row r="10" spans="1:17" x14ac:dyDescent="0.25">
      <c r="B10" t="s">
        <v>942</v>
      </c>
      <c r="C10" t="s">
        <v>943</v>
      </c>
      <c r="D10" t="s">
        <v>944</v>
      </c>
      <c r="E10" t="s">
        <v>945</v>
      </c>
      <c r="F10" s="2" t="s">
        <v>946</v>
      </c>
      <c r="G10" t="s">
        <v>900</v>
      </c>
      <c r="H10" t="s">
        <v>947</v>
      </c>
      <c r="I10" t="s">
        <v>1015</v>
      </c>
    </row>
    <row r="11" spans="1:17" x14ac:dyDescent="0.25">
      <c r="B11" t="s">
        <v>948</v>
      </c>
      <c r="C11" t="s">
        <v>949</v>
      </c>
      <c r="D11" t="s">
        <v>950</v>
      </c>
      <c r="E11" t="s">
        <v>951</v>
      </c>
      <c r="F11" s="2" t="s">
        <v>952</v>
      </c>
      <c r="G11" t="s">
        <v>902</v>
      </c>
      <c r="H11" t="s">
        <v>953</v>
      </c>
      <c r="I11" t="s">
        <v>1015</v>
      </c>
    </row>
    <row r="12" spans="1:17" x14ac:dyDescent="0.25">
      <c r="B12" t="s">
        <v>954</v>
      </c>
      <c r="D12" t="s">
        <v>955</v>
      </c>
      <c r="E12" t="s">
        <v>956</v>
      </c>
      <c r="F12" s="2" t="s">
        <v>957</v>
      </c>
      <c r="G12" t="s">
        <v>900</v>
      </c>
      <c r="H12" t="s">
        <v>958</v>
      </c>
      <c r="I12" t="s">
        <v>1015</v>
      </c>
      <c r="J12" t="s">
        <v>959</v>
      </c>
    </row>
    <row r="13" spans="1:17" x14ac:dyDescent="0.25">
      <c r="B13" t="s">
        <v>960</v>
      </c>
      <c r="D13" t="s">
        <v>961</v>
      </c>
      <c r="E13" t="s">
        <v>962</v>
      </c>
      <c r="F13" s="2" t="s">
        <v>963</v>
      </c>
      <c r="G13" t="s">
        <v>900</v>
      </c>
      <c r="I13" t="s">
        <v>1015</v>
      </c>
      <c r="J13" t="s">
        <v>964</v>
      </c>
    </row>
    <row r="14" spans="1:17" x14ac:dyDescent="0.25">
      <c r="B14" t="s">
        <v>965</v>
      </c>
      <c r="D14" t="s">
        <v>966</v>
      </c>
      <c r="G14" t="s">
        <v>4</v>
      </c>
      <c r="M14" t="s">
        <v>970</v>
      </c>
      <c r="N14" t="s">
        <v>972</v>
      </c>
      <c r="O14" t="s">
        <v>967</v>
      </c>
      <c r="P14" s="2" t="s">
        <v>968</v>
      </c>
    </row>
    <row r="15" spans="1:17" x14ac:dyDescent="0.25">
      <c r="B15" t="s">
        <v>975</v>
      </c>
      <c r="D15" t="s">
        <v>976</v>
      </c>
      <c r="E15" t="s">
        <v>977</v>
      </c>
      <c r="F15" s="2" t="s">
        <v>978</v>
      </c>
      <c r="G15" t="s">
        <v>900</v>
      </c>
      <c r="I15" t="s">
        <v>979</v>
      </c>
    </row>
    <row r="16" spans="1:17" x14ac:dyDescent="0.25">
      <c r="B16" t="s">
        <v>980</v>
      </c>
      <c r="D16" t="s">
        <v>981</v>
      </c>
      <c r="E16" t="s">
        <v>982</v>
      </c>
      <c r="F16" s="2" t="s">
        <v>983</v>
      </c>
      <c r="G16" t="s">
        <v>900</v>
      </c>
      <c r="H16" t="s">
        <v>958</v>
      </c>
      <c r="I16" t="s">
        <v>1017</v>
      </c>
    </row>
    <row r="17" spans="2:17" x14ac:dyDescent="0.25">
      <c r="B17" t="s">
        <v>984</v>
      </c>
      <c r="D17" t="s">
        <v>985</v>
      </c>
      <c r="E17" t="s">
        <v>986</v>
      </c>
      <c r="F17" s="2" t="s">
        <v>987</v>
      </c>
      <c r="G17" t="s">
        <v>914</v>
      </c>
      <c r="H17" t="s">
        <v>988</v>
      </c>
      <c r="I17" t="s">
        <v>1016</v>
      </c>
      <c r="J17" t="s">
        <v>989</v>
      </c>
      <c r="L17" s="2" t="s">
        <v>990</v>
      </c>
    </row>
    <row r="18" spans="2:17" x14ac:dyDescent="0.25">
      <c r="B18" t="s">
        <v>991</v>
      </c>
      <c r="C18" t="s">
        <v>992</v>
      </c>
      <c r="D18" t="s">
        <v>993</v>
      </c>
      <c r="E18" t="s">
        <v>994</v>
      </c>
      <c r="F18" s="2" t="s">
        <v>995</v>
      </c>
      <c r="G18" t="s">
        <v>914</v>
      </c>
      <c r="H18" t="s">
        <v>958</v>
      </c>
      <c r="I18" t="s">
        <v>1016</v>
      </c>
      <c r="J18" t="s">
        <v>996</v>
      </c>
      <c r="L18" s="2" t="s">
        <v>997</v>
      </c>
    </row>
    <row r="19" spans="2:17" x14ac:dyDescent="0.25">
      <c r="B19" t="s">
        <v>998</v>
      </c>
      <c r="D19" t="s">
        <v>999</v>
      </c>
      <c r="E19" t="s">
        <v>1000</v>
      </c>
      <c r="F19" s="2" t="s">
        <v>1001</v>
      </c>
      <c r="G19" t="s">
        <v>900</v>
      </c>
      <c r="H19" t="s">
        <v>1002</v>
      </c>
      <c r="I19" t="s">
        <v>1015</v>
      </c>
      <c r="J19" t="s">
        <v>1003</v>
      </c>
      <c r="L19" s="2" t="s">
        <v>1004</v>
      </c>
    </row>
    <row r="20" spans="2:17" x14ac:dyDescent="0.25">
      <c r="B20" t="s">
        <v>1005</v>
      </c>
      <c r="D20" t="s">
        <v>1006</v>
      </c>
      <c r="E20" t="s">
        <v>1007</v>
      </c>
      <c r="F20" s="2" t="s">
        <v>1008</v>
      </c>
      <c r="G20" t="s">
        <v>900</v>
      </c>
      <c r="H20" t="s">
        <v>1009</v>
      </c>
      <c r="I20" t="s">
        <v>1015</v>
      </c>
    </row>
    <row r="21" spans="2:17" x14ac:dyDescent="0.25">
      <c r="B21" t="s">
        <v>1010</v>
      </c>
      <c r="D21" t="s">
        <v>1011</v>
      </c>
      <c r="E21" t="s">
        <v>1012</v>
      </c>
      <c r="F21" s="2" t="s">
        <v>1013</v>
      </c>
      <c r="G21" t="s">
        <v>914</v>
      </c>
      <c r="I21" t="s">
        <v>1014</v>
      </c>
      <c r="J21" t="s">
        <v>1019</v>
      </c>
      <c r="L21" s="2" t="s">
        <v>1018</v>
      </c>
    </row>
    <row r="22" spans="2:17" x14ac:dyDescent="0.25">
      <c r="B22" t="s">
        <v>1020</v>
      </c>
      <c r="D22" t="s">
        <v>1021</v>
      </c>
      <c r="E22" t="s">
        <v>1022</v>
      </c>
      <c r="F22" s="2" t="s">
        <v>1023</v>
      </c>
      <c r="G22" t="s">
        <v>914</v>
      </c>
      <c r="H22" t="s">
        <v>1024</v>
      </c>
      <c r="I22" t="s">
        <v>1025</v>
      </c>
    </row>
    <row r="23" spans="2:17" x14ac:dyDescent="0.25">
      <c r="B23" t="s">
        <v>1026</v>
      </c>
      <c r="D23" t="s">
        <v>1027</v>
      </c>
      <c r="E23" t="s">
        <v>1028</v>
      </c>
      <c r="G23" t="s">
        <v>914</v>
      </c>
      <c r="H23" t="s">
        <v>958</v>
      </c>
      <c r="I23" t="s">
        <v>1016</v>
      </c>
      <c r="J23" t="s">
        <v>1029</v>
      </c>
      <c r="Q23" t="s">
        <v>1030</v>
      </c>
    </row>
    <row r="24" spans="2:17" x14ac:dyDescent="0.25">
      <c r="B24" t="s">
        <v>1031</v>
      </c>
      <c r="D24" t="s">
        <v>1032</v>
      </c>
      <c r="E24" t="s">
        <v>1033</v>
      </c>
      <c r="F24" s="2" t="s">
        <v>1034</v>
      </c>
      <c r="G24" t="s">
        <v>914</v>
      </c>
      <c r="H24" t="s">
        <v>1035</v>
      </c>
      <c r="I24" t="s">
        <v>1036</v>
      </c>
    </row>
    <row r="25" spans="2:17" x14ac:dyDescent="0.25">
      <c r="B25" t="s">
        <v>1037</v>
      </c>
      <c r="D25" t="s">
        <v>1038</v>
      </c>
      <c r="E25" t="s">
        <v>1039</v>
      </c>
      <c r="F25" s="2" t="s">
        <v>1040</v>
      </c>
      <c r="G25" t="s">
        <v>900</v>
      </c>
      <c r="H25" t="s">
        <v>1041</v>
      </c>
      <c r="I25" t="s">
        <v>1015</v>
      </c>
      <c r="J25" t="s">
        <v>1042</v>
      </c>
      <c r="L25" s="2" t="s">
        <v>1043</v>
      </c>
    </row>
    <row r="26" spans="2:17" x14ac:dyDescent="0.25">
      <c r="B26" t="s">
        <v>1044</v>
      </c>
      <c r="D26" t="s">
        <v>1045</v>
      </c>
      <c r="E26" t="s">
        <v>1046</v>
      </c>
      <c r="F26" s="2" t="s">
        <v>1047</v>
      </c>
      <c r="G26" t="s">
        <v>900</v>
      </c>
      <c r="H26" t="s">
        <v>1048</v>
      </c>
      <c r="I26" t="s">
        <v>1015</v>
      </c>
      <c r="J26" t="s">
        <v>1049</v>
      </c>
      <c r="L26" s="2" t="s">
        <v>1050</v>
      </c>
    </row>
    <row r="27" spans="2:17" x14ac:dyDescent="0.25">
      <c r="B27" t="s">
        <v>1051</v>
      </c>
      <c r="D27" t="s">
        <v>1052</v>
      </c>
      <c r="E27" t="s">
        <v>1053</v>
      </c>
      <c r="F27" s="2" t="s">
        <v>1054</v>
      </c>
      <c r="G27" t="s">
        <v>900</v>
      </c>
      <c r="H27" t="s">
        <v>958</v>
      </c>
      <c r="I27" t="s">
        <v>1015</v>
      </c>
    </row>
    <row r="28" spans="2:17" x14ac:dyDescent="0.25">
      <c r="B28" t="s">
        <v>1055</v>
      </c>
      <c r="D28" t="s">
        <v>1056</v>
      </c>
      <c r="E28" t="s">
        <v>1057</v>
      </c>
      <c r="F28" s="2" t="s">
        <v>1058</v>
      </c>
      <c r="G28" t="s">
        <v>900</v>
      </c>
      <c r="H28" t="s">
        <v>958</v>
      </c>
      <c r="I28" t="s">
        <v>1015</v>
      </c>
    </row>
    <row r="29" spans="2:17" x14ac:dyDescent="0.25">
      <c r="B29" t="s">
        <v>1059</v>
      </c>
      <c r="D29" t="s">
        <v>1060</v>
      </c>
      <c r="E29" t="s">
        <v>1061</v>
      </c>
      <c r="G29" t="s">
        <v>900</v>
      </c>
      <c r="H29" t="s">
        <v>958</v>
      </c>
      <c r="I29" t="s">
        <v>1015</v>
      </c>
    </row>
    <row r="30" spans="2:17" x14ac:dyDescent="0.25">
      <c r="B30" t="s">
        <v>1062</v>
      </c>
      <c r="D30" t="s">
        <v>1063</v>
      </c>
      <c r="E30" t="s">
        <v>1064</v>
      </c>
      <c r="F30" s="2" t="s">
        <v>1065</v>
      </c>
      <c r="G30" t="s">
        <v>1066</v>
      </c>
      <c r="I30" t="s">
        <v>1067</v>
      </c>
    </row>
    <row r="31" spans="2:17" x14ac:dyDescent="0.25">
      <c r="B31" t="s">
        <v>1068</v>
      </c>
      <c r="D31" t="s">
        <v>1069</v>
      </c>
      <c r="E31" t="s">
        <v>1070</v>
      </c>
      <c r="F31" s="2" t="s">
        <v>1071</v>
      </c>
      <c r="G31" t="s">
        <v>902</v>
      </c>
      <c r="H31" t="s">
        <v>1072</v>
      </c>
      <c r="I31" t="s">
        <v>1015</v>
      </c>
      <c r="J31" t="s">
        <v>1073</v>
      </c>
      <c r="L31" s="2" t="s">
        <v>1074</v>
      </c>
    </row>
    <row r="32" spans="2:17" x14ac:dyDescent="0.25">
      <c r="B32" t="s">
        <v>1075</v>
      </c>
      <c r="C32" t="s">
        <v>1076</v>
      </c>
      <c r="D32" t="s">
        <v>1077</v>
      </c>
      <c r="E32" t="s">
        <v>1078</v>
      </c>
      <c r="F32" s="2" t="s">
        <v>1079</v>
      </c>
      <c r="G32" t="s">
        <v>1080</v>
      </c>
      <c r="H32" t="s">
        <v>958</v>
      </c>
      <c r="I32" t="s">
        <v>1081</v>
      </c>
      <c r="J32" t="s">
        <v>1082</v>
      </c>
      <c r="L32" s="2" t="s">
        <v>1083</v>
      </c>
    </row>
    <row r="33" spans="2:18" x14ac:dyDescent="0.25">
      <c r="B33" t="s">
        <v>1084</v>
      </c>
      <c r="D33" t="s">
        <v>1085</v>
      </c>
      <c r="E33" t="s">
        <v>1086</v>
      </c>
      <c r="G33" t="s">
        <v>1087</v>
      </c>
      <c r="I33" t="s">
        <v>1088</v>
      </c>
    </row>
    <row r="34" spans="2:18" x14ac:dyDescent="0.25">
      <c r="B34" t="s">
        <v>1089</v>
      </c>
      <c r="D34" t="s">
        <v>1090</v>
      </c>
      <c r="E34" t="s">
        <v>1091</v>
      </c>
      <c r="F34" s="2" t="s">
        <v>1092</v>
      </c>
      <c r="G34" t="s">
        <v>900</v>
      </c>
      <c r="H34" t="s">
        <v>1094</v>
      </c>
      <c r="I34" t="s">
        <v>1015</v>
      </c>
      <c r="J34" t="s">
        <v>1093</v>
      </c>
    </row>
    <row r="35" spans="2:18" x14ac:dyDescent="0.25">
      <c r="B35" t="s">
        <v>1095</v>
      </c>
      <c r="D35" t="s">
        <v>1096</v>
      </c>
      <c r="E35" t="s">
        <v>1097</v>
      </c>
      <c r="F35" t="s">
        <v>1098</v>
      </c>
      <c r="G35" t="s">
        <v>902</v>
      </c>
      <c r="H35" t="s">
        <v>1099</v>
      </c>
      <c r="I35" t="s">
        <v>1015</v>
      </c>
      <c r="J35" t="s">
        <v>1100</v>
      </c>
    </row>
    <row r="36" spans="2:18" x14ac:dyDescent="0.25">
      <c r="B36" t="s">
        <v>1101</v>
      </c>
      <c r="D36" t="s">
        <v>1102</v>
      </c>
      <c r="E36" t="s">
        <v>1103</v>
      </c>
      <c r="F36" s="2" t="s">
        <v>1104</v>
      </c>
      <c r="G36" t="s">
        <v>1105</v>
      </c>
      <c r="H36" t="s">
        <v>1106</v>
      </c>
      <c r="I36" t="s">
        <v>1107</v>
      </c>
    </row>
    <row r="38" spans="2:18" ht="13" x14ac:dyDescent="0.3">
      <c r="E38" s="37">
        <v>2018</v>
      </c>
      <c r="F38" s="37">
        <f t="shared" ref="F38:K38" si="0">+E38+1</f>
        <v>2019</v>
      </c>
      <c r="G38" s="37">
        <f t="shared" si="0"/>
        <v>2020</v>
      </c>
      <c r="H38" s="37">
        <f t="shared" si="0"/>
        <v>2021</v>
      </c>
      <c r="I38" s="37">
        <f t="shared" si="0"/>
        <v>2022</v>
      </c>
      <c r="J38" s="37">
        <f t="shared" si="0"/>
        <v>2023</v>
      </c>
      <c r="K38" s="37">
        <f t="shared" si="0"/>
        <v>2024</v>
      </c>
      <c r="R38" s="9"/>
    </row>
    <row r="39" spans="2:18" x14ac:dyDescent="0.25">
      <c r="E39" s="9">
        <v>4.9000000000000002E-2</v>
      </c>
      <c r="F39" s="9">
        <v>9.8000000000000004E-2</v>
      </c>
      <c r="G39" s="9">
        <v>0.25800000000000001</v>
      </c>
      <c r="H39" s="9">
        <v>0.1361</v>
      </c>
      <c r="I39" s="9">
        <v>0.12</v>
      </c>
      <c r="J39" s="9">
        <v>0.1</v>
      </c>
      <c r="K39" s="9">
        <v>0.15</v>
      </c>
      <c r="R39" s="9"/>
    </row>
    <row r="40" spans="2:18" x14ac:dyDescent="0.25">
      <c r="R40" s="9"/>
    </row>
    <row r="41" spans="2:18" ht="13" x14ac:dyDescent="0.3">
      <c r="E41" s="37">
        <v>2011</v>
      </c>
      <c r="F41" s="37">
        <f t="shared" ref="F41:K41" si="1">+E41+1</f>
        <v>2012</v>
      </c>
      <c r="G41" s="37">
        <f t="shared" si="1"/>
        <v>2013</v>
      </c>
      <c r="H41" s="37">
        <f t="shared" si="1"/>
        <v>2014</v>
      </c>
      <c r="I41" s="37">
        <f t="shared" si="1"/>
        <v>2015</v>
      </c>
      <c r="J41" s="37">
        <f t="shared" si="1"/>
        <v>2016</v>
      </c>
      <c r="K41" s="37">
        <f t="shared" si="1"/>
        <v>2017</v>
      </c>
      <c r="R41" s="9"/>
    </row>
    <row r="42" spans="2:18" x14ac:dyDescent="0.25">
      <c r="E42" s="9">
        <v>8.3900000000000002E-2</v>
      </c>
      <c r="F42" s="9">
        <v>6.3200000000000006E-2</v>
      </c>
      <c r="G42" s="9">
        <v>0.13270000000000001</v>
      </c>
      <c r="H42" s="9">
        <v>0.12089999999999999</v>
      </c>
      <c r="I42" s="9">
        <v>0.12540000000000001</v>
      </c>
      <c r="J42" s="9">
        <v>3.3799999999999997E-2</v>
      </c>
      <c r="K42" s="9">
        <v>7.1199999999999999E-2</v>
      </c>
      <c r="R42" s="9"/>
    </row>
    <row r="43" spans="2:18" x14ac:dyDescent="0.25">
      <c r="R43" s="9"/>
    </row>
    <row r="44" spans="2:18" ht="13" x14ac:dyDescent="0.3">
      <c r="E44" s="37">
        <f>+F44-1</f>
        <v>2004</v>
      </c>
      <c r="F44" s="37">
        <f>+G44-1</f>
        <v>2005</v>
      </c>
      <c r="G44" s="37">
        <v>2006</v>
      </c>
      <c r="H44" s="37">
        <v>2007</v>
      </c>
      <c r="I44" s="37">
        <f>+H44+1</f>
        <v>2008</v>
      </c>
      <c r="J44" s="37">
        <v>2009</v>
      </c>
      <c r="K44" s="37">
        <v>2010</v>
      </c>
    </row>
    <row r="45" spans="2:18" x14ac:dyDescent="0.25">
      <c r="E45" s="9">
        <v>0.35</v>
      </c>
      <c r="F45" s="9">
        <v>0.08</v>
      </c>
      <c r="G45" s="9">
        <v>0.17</v>
      </c>
      <c r="I45" s="9">
        <v>-0.03</v>
      </c>
      <c r="J45" s="9">
        <v>0.17199999999999999</v>
      </c>
      <c r="K45" s="9">
        <v>0.13400000000000001</v>
      </c>
    </row>
    <row r="50" spans="3:12" x14ac:dyDescent="0.25">
      <c r="E50" s="18">
        <f>SUM(E51:E120)</f>
        <v>5758425461</v>
      </c>
      <c r="I50" s="18">
        <f>SUM(I51:I319)</f>
        <v>4567387.7847516909</v>
      </c>
    </row>
    <row r="51" spans="3:12" x14ac:dyDescent="0.25">
      <c r="C51" t="s">
        <v>1327</v>
      </c>
      <c r="E51" s="18">
        <v>1186645160</v>
      </c>
      <c r="F51" s="9">
        <f>+E51/$E$50</f>
        <v>0.20607111580010432</v>
      </c>
      <c r="H51" t="s">
        <v>1341</v>
      </c>
      <c r="I51" s="18">
        <v>906706.19221200002</v>
      </c>
      <c r="J51" s="27">
        <f>+I51/$I$50</f>
        <v>0.19851745350790129</v>
      </c>
      <c r="K51" s="9">
        <v>0.1</v>
      </c>
      <c r="L51" s="30" t="s">
        <v>1383</v>
      </c>
    </row>
    <row r="52" spans="3:12" x14ac:dyDescent="0.25">
      <c r="C52" t="s">
        <v>1328</v>
      </c>
      <c r="E52" s="18">
        <v>557413195</v>
      </c>
      <c r="F52" s="9">
        <f t="shared" ref="F52:F108" si="2">+E52/$E$50</f>
        <v>9.6799585021145759E-2</v>
      </c>
      <c r="H52" t="s">
        <v>1342</v>
      </c>
      <c r="I52" s="18">
        <v>611192.62295081967</v>
      </c>
      <c r="J52" s="27">
        <f t="shared" ref="J52:J57" si="3">+I52/$I$50</f>
        <v>0.13381666978032775</v>
      </c>
      <c r="K52" s="9">
        <v>7.0000000000000007E-2</v>
      </c>
      <c r="L52" s="30" t="s">
        <v>1383</v>
      </c>
    </row>
    <row r="53" spans="3:12" x14ac:dyDescent="0.25">
      <c r="C53" t="s">
        <v>1329</v>
      </c>
      <c r="E53" s="18">
        <v>481696564</v>
      </c>
      <c r="F53" s="9">
        <f t="shared" si="2"/>
        <v>8.3650742249314319E-2</v>
      </c>
      <c r="H53" t="s">
        <v>1343</v>
      </c>
      <c r="I53" s="18">
        <v>390620.15999999997</v>
      </c>
      <c r="J53" s="27">
        <f t="shared" si="3"/>
        <v>8.5523756337067033E-2</v>
      </c>
      <c r="K53" s="9">
        <v>0.04</v>
      </c>
      <c r="L53" s="30" t="s">
        <v>1383</v>
      </c>
    </row>
    <row r="54" spans="3:12" x14ac:dyDescent="0.25">
      <c r="C54" t="s">
        <v>1330</v>
      </c>
      <c r="E54" s="18">
        <v>309118458</v>
      </c>
      <c r="F54" s="9">
        <f t="shared" si="2"/>
        <v>5.3681073080403985E-2</v>
      </c>
      <c r="H54" t="s">
        <v>1344</v>
      </c>
      <c r="I54" s="18">
        <v>346637.82999999996</v>
      </c>
      <c r="J54" s="27">
        <f t="shared" si="3"/>
        <v>7.5894109792309913E-2</v>
      </c>
      <c r="K54" s="9">
        <v>0.04</v>
      </c>
      <c r="L54" s="30" t="s">
        <v>1383</v>
      </c>
    </row>
    <row r="55" spans="3:12" x14ac:dyDescent="0.25">
      <c r="C55" t="s">
        <v>1331</v>
      </c>
      <c r="E55" s="18">
        <v>280658643</v>
      </c>
      <c r="F55" s="27">
        <f t="shared" si="2"/>
        <v>4.8738781964065087E-2</v>
      </c>
      <c r="H55" t="s">
        <v>1345</v>
      </c>
      <c r="I55" s="18">
        <v>294975.75963743997</v>
      </c>
      <c r="J55" s="27">
        <f t="shared" si="3"/>
        <v>6.4583033790610478E-2</v>
      </c>
      <c r="K55" s="9">
        <v>0.25</v>
      </c>
      <c r="L55" s="31" t="s">
        <v>1362</v>
      </c>
    </row>
    <row r="56" spans="3:12" ht="13" x14ac:dyDescent="0.3">
      <c r="C56" t="s">
        <v>1332</v>
      </c>
      <c r="E56" s="18">
        <v>197082876</v>
      </c>
      <c r="F56" s="27">
        <f t="shared" si="2"/>
        <v>3.4225132778878564E-2</v>
      </c>
      <c r="H56" s="20" t="s">
        <v>1346</v>
      </c>
      <c r="I56" s="28">
        <v>265708.56</v>
      </c>
      <c r="J56" s="29">
        <f t="shared" si="3"/>
        <v>5.8175169817433273E-2</v>
      </c>
      <c r="K56" s="9">
        <v>1E-3</v>
      </c>
      <c r="L56" s="30" t="s">
        <v>1383</v>
      </c>
    </row>
    <row r="57" spans="3:12" ht="13" x14ac:dyDescent="0.3">
      <c r="C57" t="s">
        <v>1333</v>
      </c>
      <c r="E57" s="18">
        <v>174282436</v>
      </c>
      <c r="F57" s="27">
        <f t="shared" si="2"/>
        <v>3.0265640699937854E-2</v>
      </c>
      <c r="H57" s="20" t="s">
        <v>1347</v>
      </c>
      <c r="I57" s="28">
        <v>241668.70588235298</v>
      </c>
      <c r="J57" s="29">
        <f t="shared" si="3"/>
        <v>5.291179931977058E-2</v>
      </c>
      <c r="K57" s="9">
        <v>1E-3</v>
      </c>
      <c r="L57" s="30" t="s">
        <v>1383</v>
      </c>
    </row>
    <row r="58" spans="3:12" x14ac:dyDescent="0.25">
      <c r="C58" t="s">
        <v>1334</v>
      </c>
      <c r="E58" s="18">
        <v>168129393</v>
      </c>
      <c r="F58" s="27">
        <f t="shared" si="2"/>
        <v>2.9197111977690319E-2</v>
      </c>
      <c r="H58" t="s">
        <v>1348</v>
      </c>
      <c r="I58" s="18">
        <v>170863</v>
      </c>
      <c r="J58" s="27">
        <f t="shared" ref="J58:J71" si="4">+I58/$I$50</f>
        <v>3.7409348199079859E-2</v>
      </c>
      <c r="K58" s="9">
        <v>1E-3</v>
      </c>
      <c r="L58" s="30" t="s">
        <v>1383</v>
      </c>
    </row>
    <row r="59" spans="3:12" x14ac:dyDescent="0.25">
      <c r="C59" t="s">
        <v>1335</v>
      </c>
      <c r="E59" s="18">
        <v>157410374</v>
      </c>
      <c r="F59" s="27">
        <f t="shared" si="2"/>
        <v>2.7335662337923939E-2</v>
      </c>
      <c r="H59" t="s">
        <v>1349</v>
      </c>
      <c r="I59" s="18">
        <v>162747.48039999997</v>
      </c>
      <c r="J59" s="27">
        <f t="shared" si="4"/>
        <v>3.5632507698018429E-2</v>
      </c>
      <c r="K59" s="9">
        <v>0.12</v>
      </c>
      <c r="L59" s="31" t="s">
        <v>1362</v>
      </c>
    </row>
    <row r="60" spans="3:12" ht="13" x14ac:dyDescent="0.3">
      <c r="C60" t="s">
        <v>1336</v>
      </c>
      <c r="E60" s="18">
        <v>153012721</v>
      </c>
      <c r="F60" s="27">
        <f t="shared" si="2"/>
        <v>2.6571972153899868E-2</v>
      </c>
      <c r="H60" s="20" t="s">
        <v>1350</v>
      </c>
      <c r="I60" s="28">
        <v>136639.22400000002</v>
      </c>
      <c r="J60" s="29">
        <f t="shared" si="4"/>
        <v>2.991627390522272E-2</v>
      </c>
      <c r="K60" s="9">
        <v>0.04</v>
      </c>
      <c r="L60" s="31" t="s">
        <v>1362</v>
      </c>
    </row>
    <row r="61" spans="3:12" x14ac:dyDescent="0.25">
      <c r="C61" t="s">
        <v>1337</v>
      </c>
      <c r="E61" s="18">
        <v>80300170</v>
      </c>
      <c r="F61" s="27">
        <f t="shared" si="2"/>
        <v>1.3944813655025619E-2</v>
      </c>
      <c r="H61" t="s">
        <v>1351</v>
      </c>
      <c r="I61" s="18">
        <v>95713.326353380005</v>
      </c>
      <c r="J61" s="27">
        <f t="shared" si="4"/>
        <v>2.0955813446127944E-2</v>
      </c>
      <c r="K61" s="9">
        <v>1.4999999999999999E-2</v>
      </c>
      <c r="L61" s="30" t="s">
        <v>1383</v>
      </c>
    </row>
    <row r="62" spans="3:12" ht="13" x14ac:dyDescent="0.3">
      <c r="C62" s="12" t="s">
        <v>1338</v>
      </c>
      <c r="E62" s="19">
        <v>81976068</v>
      </c>
      <c r="F62" s="32">
        <f t="shared" si="2"/>
        <v>1.4235847725250255E-2</v>
      </c>
      <c r="H62" t="s">
        <v>1352</v>
      </c>
      <c r="I62" s="18">
        <v>137062.88800000001</v>
      </c>
      <c r="J62" s="27">
        <f t="shared" si="4"/>
        <v>3.0009032396501784E-2</v>
      </c>
      <c r="K62" s="9">
        <v>0.06</v>
      </c>
      <c r="L62" s="31" t="s">
        <v>1362</v>
      </c>
    </row>
    <row r="63" spans="3:12" x14ac:dyDescent="0.25">
      <c r="C63" t="s">
        <v>1339</v>
      </c>
      <c r="E63" s="18">
        <v>87794893</v>
      </c>
      <c r="F63" s="27">
        <f t="shared" si="2"/>
        <v>1.5246336623545294E-2</v>
      </c>
      <c r="H63" t="s">
        <v>1353</v>
      </c>
      <c r="I63" s="18">
        <v>94382.849660610009</v>
      </c>
      <c r="J63" s="27">
        <f t="shared" si="4"/>
        <v>2.0664514183732965E-2</v>
      </c>
      <c r="K63" s="9">
        <v>0.04</v>
      </c>
      <c r="L63" s="31" t="s">
        <v>1362</v>
      </c>
    </row>
    <row r="64" spans="3:12" x14ac:dyDescent="0.25">
      <c r="C64" t="s">
        <v>1340</v>
      </c>
      <c r="E64" s="18">
        <v>90419450</v>
      </c>
      <c r="F64" s="27">
        <f t="shared" si="2"/>
        <v>1.5702113470493353E-2</v>
      </c>
      <c r="H64" t="s">
        <v>1354</v>
      </c>
      <c r="I64" s="18">
        <v>121566.13761299998</v>
      </c>
      <c r="J64" s="27">
        <f t="shared" si="4"/>
        <v>2.6616119178417649E-2</v>
      </c>
      <c r="K64" s="27">
        <v>1.6E-2</v>
      </c>
      <c r="L64" s="30" t="s">
        <v>1383</v>
      </c>
    </row>
    <row r="65" spans="3:12" x14ac:dyDescent="0.25">
      <c r="C65" t="s">
        <v>1380</v>
      </c>
      <c r="E65" s="18">
        <v>73462981</v>
      </c>
      <c r="F65" s="27">
        <f t="shared" si="2"/>
        <v>1.2757477108550177E-2</v>
      </c>
      <c r="H65" t="s">
        <v>1355</v>
      </c>
      <c r="I65" s="18">
        <v>84737.145999999993</v>
      </c>
      <c r="J65" s="27">
        <f t="shared" si="4"/>
        <v>1.8552649784390224E-2</v>
      </c>
      <c r="K65" s="9">
        <v>1E-3</v>
      </c>
      <c r="L65" s="30" t="s">
        <v>1383</v>
      </c>
    </row>
    <row r="66" spans="3:12" x14ac:dyDescent="0.25">
      <c r="C66" t="s">
        <v>1381</v>
      </c>
      <c r="E66" s="18">
        <v>76065167</v>
      </c>
      <c r="F66" s="27">
        <f t="shared" si="2"/>
        <v>1.3209369039360741E-2</v>
      </c>
      <c r="H66" t="s">
        <v>1356</v>
      </c>
      <c r="I66" s="18">
        <v>46805.349397590362</v>
      </c>
      <c r="J66" s="27">
        <f t="shared" si="4"/>
        <v>1.024772837415971E-2</v>
      </c>
      <c r="K66" s="27">
        <v>5.2999999999999999E-2</v>
      </c>
      <c r="L66" s="30" t="s">
        <v>1383</v>
      </c>
    </row>
    <row r="67" spans="3:12" x14ac:dyDescent="0.25">
      <c r="C67" t="s">
        <v>1382</v>
      </c>
      <c r="E67" s="18">
        <v>56239194</v>
      </c>
      <c r="F67" s="27">
        <f t="shared" si="2"/>
        <v>9.7664186817890287E-3</v>
      </c>
      <c r="H67" t="s">
        <v>1357</v>
      </c>
      <c r="I67" s="18">
        <v>20360.009999999998</v>
      </c>
      <c r="J67" s="27">
        <f t="shared" si="4"/>
        <v>4.4576924402986474E-3</v>
      </c>
      <c r="K67" s="27">
        <v>0.05</v>
      </c>
      <c r="L67" s="31" t="s">
        <v>1362</v>
      </c>
    </row>
    <row r="68" spans="3:12" x14ac:dyDescent="0.25">
      <c r="C68" t="s">
        <v>1401</v>
      </c>
      <c r="E68" s="18">
        <v>59555430</v>
      </c>
      <c r="F68" s="27">
        <f t="shared" si="2"/>
        <v>1.0342311523063058E-2</v>
      </c>
      <c r="H68" t="s">
        <v>1358</v>
      </c>
      <c r="I68" s="18">
        <v>33635.694406000002</v>
      </c>
      <c r="J68" s="27">
        <f t="shared" si="4"/>
        <v>7.3643176343146065E-3</v>
      </c>
      <c r="K68" s="27">
        <v>6.0000000000000001E-3</v>
      </c>
      <c r="L68" s="30" t="s">
        <v>1383</v>
      </c>
    </row>
    <row r="69" spans="3:12" x14ac:dyDescent="0.25">
      <c r="C69" t="s">
        <v>1402</v>
      </c>
      <c r="E69" s="18">
        <v>59964747</v>
      </c>
      <c r="F69" s="27">
        <f t="shared" si="2"/>
        <v>1.0413392932863736E-2</v>
      </c>
      <c r="H69" t="s">
        <v>1359</v>
      </c>
      <c r="I69" s="18">
        <v>14417.72719304</v>
      </c>
      <c r="J69" s="27">
        <f t="shared" si="4"/>
        <v>3.1566680721032384E-3</v>
      </c>
      <c r="K69" s="27">
        <v>1E-3</v>
      </c>
      <c r="L69" s="30" t="s">
        <v>1383</v>
      </c>
    </row>
    <row r="70" spans="3:12" x14ac:dyDescent="0.25">
      <c r="C70" t="s">
        <v>1404</v>
      </c>
      <c r="E70" s="18">
        <v>60894596</v>
      </c>
      <c r="F70" s="27">
        <f t="shared" si="2"/>
        <v>1.0574869191660098E-2</v>
      </c>
      <c r="H70" t="s">
        <v>1360</v>
      </c>
      <c r="I70" s="18">
        <v>19349.399999999998</v>
      </c>
      <c r="J70" s="27">
        <f t="shared" si="4"/>
        <v>4.2364259204349429E-3</v>
      </c>
      <c r="K70" s="27">
        <v>7.0000000000000001E-3</v>
      </c>
      <c r="L70" s="30" t="s">
        <v>1383</v>
      </c>
    </row>
    <row r="71" spans="3:12" ht="13" x14ac:dyDescent="0.3">
      <c r="C71" t="s">
        <v>1405</v>
      </c>
      <c r="E71" s="18">
        <v>61906279</v>
      </c>
      <c r="F71" s="27">
        <f t="shared" si="2"/>
        <v>1.0750556626854287E-2</v>
      </c>
      <c r="H71" t="s">
        <v>1361</v>
      </c>
      <c r="I71" s="18">
        <v>29690.199999999997</v>
      </c>
      <c r="J71" s="27">
        <f t="shared" si="4"/>
        <v>6.5004771653331649E-3</v>
      </c>
      <c r="K71" s="34">
        <v>1.0999999999999999E-2</v>
      </c>
      <c r="L71" s="31" t="s">
        <v>1362</v>
      </c>
    </row>
    <row r="72" spans="3:12" x14ac:dyDescent="0.25">
      <c r="C72" t="s">
        <v>1406</v>
      </c>
      <c r="E72" s="18">
        <v>61976884</v>
      </c>
      <c r="F72" s="27">
        <f t="shared" si="2"/>
        <v>1.0762817791035049E-2</v>
      </c>
      <c r="H72" t="s">
        <v>1363</v>
      </c>
      <c r="I72" s="18">
        <v>27626.573258440003</v>
      </c>
      <c r="J72" s="27">
        <f t="shared" ref="J72:J106" si="5">+I72/$I$50</f>
        <v>6.0486594439543391E-3</v>
      </c>
      <c r="K72" s="27">
        <v>6.0000000000000001E-3</v>
      </c>
      <c r="L72" s="30" t="s">
        <v>1383</v>
      </c>
    </row>
    <row r="73" spans="3:12" ht="13" x14ac:dyDescent="0.3">
      <c r="C73" s="14" t="s">
        <v>1407</v>
      </c>
      <c r="E73" s="18">
        <v>64568975</v>
      </c>
      <c r="F73" s="27">
        <f t="shared" si="2"/>
        <v>1.1212956638460515E-2</v>
      </c>
      <c r="H73" t="s">
        <v>1364</v>
      </c>
      <c r="I73" s="18">
        <v>22107.254176760001</v>
      </c>
      <c r="J73" s="27">
        <f t="shared" si="5"/>
        <v>4.8402402464195141E-3</v>
      </c>
      <c r="K73" s="34">
        <v>1.4999999999999999E-2</v>
      </c>
      <c r="L73" s="31" t="s">
        <v>1362</v>
      </c>
    </row>
    <row r="74" spans="3:12" x14ac:dyDescent="0.25">
      <c r="C74" t="s">
        <v>1408</v>
      </c>
      <c r="E74" s="18">
        <v>66913998</v>
      </c>
      <c r="F74" s="27">
        <f t="shared" si="2"/>
        <v>1.1620190007353122E-2</v>
      </c>
      <c r="H74" t="s">
        <v>1365</v>
      </c>
      <c r="I74" s="18">
        <v>18311.742209999997</v>
      </c>
      <c r="J74" s="27">
        <f t="shared" si="5"/>
        <v>4.0092374619764256E-3</v>
      </c>
      <c r="K74" s="27">
        <v>1E-3</v>
      </c>
      <c r="L74" s="30" t="s">
        <v>1383</v>
      </c>
    </row>
    <row r="75" spans="3:12" ht="13" x14ac:dyDescent="0.3">
      <c r="C75" t="s">
        <v>1409</v>
      </c>
      <c r="E75" s="18">
        <v>67645530</v>
      </c>
      <c r="F75" s="27">
        <f t="shared" si="2"/>
        <v>1.1747226817146779E-2</v>
      </c>
      <c r="H75" t="s">
        <v>1366</v>
      </c>
      <c r="I75" s="18">
        <v>16672.336194619998</v>
      </c>
      <c r="J75" s="27">
        <f t="shared" si="5"/>
        <v>3.6503001234712111E-3</v>
      </c>
      <c r="K75" s="34">
        <v>8.9999999999999993E-3</v>
      </c>
      <c r="L75" s="31" t="s">
        <v>1362</v>
      </c>
    </row>
    <row r="76" spans="3:12" x14ac:dyDescent="0.25">
      <c r="C76" t="s">
        <v>1410</v>
      </c>
      <c r="E76" s="18">
        <v>47737852</v>
      </c>
      <c r="F76" s="27">
        <f t="shared" si="2"/>
        <v>8.2900876851343171E-3</v>
      </c>
      <c r="H76" t="s">
        <v>1367</v>
      </c>
      <c r="I76" s="18">
        <v>15774.04830650015</v>
      </c>
      <c r="J76" s="27">
        <f t="shared" si="5"/>
        <v>3.4536258031696155E-3</v>
      </c>
      <c r="K76" s="27">
        <v>1E-3</v>
      </c>
      <c r="L76" s="30" t="s">
        <v>1383</v>
      </c>
    </row>
    <row r="77" spans="3:12" ht="13" x14ac:dyDescent="0.3">
      <c r="C77" t="s">
        <v>1411</v>
      </c>
      <c r="E77" s="18">
        <v>46770611</v>
      </c>
      <c r="F77" s="27">
        <f t="shared" si="2"/>
        <v>8.1221179846405235E-3</v>
      </c>
      <c r="H77" s="12" t="s">
        <v>1368</v>
      </c>
      <c r="I77" s="18">
        <v>15622.546842000002</v>
      </c>
      <c r="J77" s="27">
        <f t="shared" si="5"/>
        <v>3.4204555378801347E-3</v>
      </c>
      <c r="K77" s="34">
        <v>2.1000000000000001E-2</v>
      </c>
      <c r="L77" s="31" t="s">
        <v>1362</v>
      </c>
    </row>
    <row r="78" spans="3:12" ht="13" x14ac:dyDescent="0.3">
      <c r="C78" t="s">
        <v>1376</v>
      </c>
      <c r="E78" s="18">
        <v>48121569</v>
      </c>
      <c r="F78" s="27">
        <f t="shared" si="2"/>
        <v>8.3567234352362844E-3</v>
      </c>
      <c r="H78" s="12" t="s">
        <v>1369</v>
      </c>
      <c r="I78" s="18">
        <v>12963.587962259999</v>
      </c>
      <c r="J78" s="27">
        <f t="shared" si="5"/>
        <v>2.8382936972286823E-3</v>
      </c>
      <c r="K78" s="34">
        <v>2.1999999999999999E-2</v>
      </c>
      <c r="L78" s="31" t="s">
        <v>1362</v>
      </c>
    </row>
    <row r="79" spans="3:12" ht="13" x14ac:dyDescent="0.3">
      <c r="C79" t="s">
        <v>1412</v>
      </c>
      <c r="E79" s="18">
        <v>52564762</v>
      </c>
      <c r="F79" s="27">
        <f t="shared" si="2"/>
        <v>9.128322031083767E-3</v>
      </c>
      <c r="H79" t="s">
        <v>1370</v>
      </c>
      <c r="I79" s="18">
        <v>12372.867034800001</v>
      </c>
      <c r="J79" s="27">
        <f t="shared" si="5"/>
        <v>2.7089591727041543E-3</v>
      </c>
      <c r="K79" s="34">
        <v>6.0000000000000001E-3</v>
      </c>
      <c r="L79" s="31" t="s">
        <v>1362</v>
      </c>
    </row>
    <row r="80" spans="3:12" x14ac:dyDescent="0.25">
      <c r="C80" t="s">
        <v>1413</v>
      </c>
      <c r="E80" s="18">
        <v>55601332</v>
      </c>
      <c r="F80" s="27">
        <f t="shared" si="2"/>
        <v>9.6556484713695243E-3</v>
      </c>
      <c r="H80" t="s">
        <v>1371</v>
      </c>
      <c r="I80" s="18">
        <v>12779.983630449999</v>
      </c>
      <c r="J80" s="27">
        <f t="shared" si="5"/>
        <v>2.7980947168786963E-3</v>
      </c>
      <c r="K80" s="27">
        <v>1E-3</v>
      </c>
      <c r="L80" s="30" t="s">
        <v>1383</v>
      </c>
    </row>
    <row r="81" spans="3:12" x14ac:dyDescent="0.25">
      <c r="C81" t="s">
        <v>1414</v>
      </c>
      <c r="E81" s="18">
        <v>38326972</v>
      </c>
      <c r="F81" s="27">
        <f t="shared" si="2"/>
        <v>6.6558076091418556E-3</v>
      </c>
      <c r="H81" t="s">
        <v>1372</v>
      </c>
      <c r="I81" s="18">
        <v>12864.593941159999</v>
      </c>
      <c r="J81" s="27">
        <f t="shared" si="5"/>
        <v>2.8166195968970897E-3</v>
      </c>
      <c r="K81" s="27">
        <v>1E-3</v>
      </c>
      <c r="L81" s="30" t="s">
        <v>1383</v>
      </c>
    </row>
    <row r="82" spans="3:12" x14ac:dyDescent="0.25">
      <c r="C82" t="s">
        <v>1415</v>
      </c>
      <c r="E82" s="18">
        <v>40853466</v>
      </c>
      <c r="F82" s="27">
        <f t="shared" si="2"/>
        <v>7.0945549745651208E-3</v>
      </c>
      <c r="H82" t="s">
        <v>1373</v>
      </c>
      <c r="I82" s="18">
        <v>11108.499334440001</v>
      </c>
      <c r="J82" s="27">
        <f t="shared" si="5"/>
        <v>2.4321340464074307E-3</v>
      </c>
      <c r="K82" s="27">
        <v>1E-3</v>
      </c>
      <c r="L82" s="30" t="s">
        <v>1383</v>
      </c>
    </row>
    <row r="83" spans="3:12" x14ac:dyDescent="0.25">
      <c r="C83" t="s">
        <v>1416</v>
      </c>
      <c r="E83" s="18">
        <v>43774133</v>
      </c>
      <c r="F83" s="27">
        <f t="shared" si="2"/>
        <v>7.6017538642235453E-3</v>
      </c>
      <c r="H83" t="s">
        <v>1374</v>
      </c>
      <c r="I83" s="18">
        <v>11592.446337399997</v>
      </c>
      <c r="J83" s="27">
        <f t="shared" si="5"/>
        <v>2.5380911110945287E-3</v>
      </c>
      <c r="K83" s="27">
        <v>1E-3</v>
      </c>
      <c r="L83" s="30" t="s">
        <v>1383</v>
      </c>
    </row>
    <row r="84" spans="3:12" ht="13" x14ac:dyDescent="0.3">
      <c r="C84" t="s">
        <v>1417</v>
      </c>
      <c r="E84" s="18">
        <v>44739997</v>
      </c>
      <c r="F84" s="27">
        <f t="shared" si="2"/>
        <v>7.7694844368499504E-3</v>
      </c>
      <c r="H84" s="12" t="s">
        <v>1379</v>
      </c>
      <c r="I84" s="19">
        <v>11000</v>
      </c>
      <c r="J84" s="32">
        <f t="shared" si="5"/>
        <v>2.4083788192287296E-3</v>
      </c>
      <c r="K84" s="34">
        <v>1.9E-2</v>
      </c>
      <c r="L84" s="33" t="s">
        <v>1362</v>
      </c>
    </row>
    <row r="85" spans="3:12" ht="13" x14ac:dyDescent="0.3">
      <c r="C85" t="s">
        <v>1418</v>
      </c>
      <c r="E85" s="18">
        <v>32437755</v>
      </c>
      <c r="F85" s="27">
        <f t="shared" si="2"/>
        <v>5.6330945359440157E-3</v>
      </c>
      <c r="H85" t="s">
        <v>1375</v>
      </c>
      <c r="I85" s="18">
        <v>10827.63265</v>
      </c>
      <c r="J85" s="27">
        <f t="shared" si="5"/>
        <v>2.370640103331767E-3</v>
      </c>
      <c r="K85" s="34">
        <v>0.01</v>
      </c>
      <c r="L85" s="33" t="s">
        <v>1362</v>
      </c>
    </row>
    <row r="86" spans="3:12" x14ac:dyDescent="0.25">
      <c r="C86" t="s">
        <v>1419</v>
      </c>
      <c r="E86" s="18">
        <v>32820525</v>
      </c>
      <c r="F86" s="27">
        <f t="shared" si="2"/>
        <v>5.6995658313688472E-3</v>
      </c>
      <c r="H86" t="s">
        <v>1377</v>
      </c>
      <c r="I86" s="18">
        <v>10758.849823</v>
      </c>
      <c r="J86" s="27">
        <f>+I86/$I$50</f>
        <v>2.3555805484523607E-3</v>
      </c>
      <c r="K86" s="27">
        <v>1E-3</v>
      </c>
      <c r="L86" s="30" t="s">
        <v>1383</v>
      </c>
    </row>
    <row r="87" spans="3:12" x14ac:dyDescent="0.25">
      <c r="C87" t="s">
        <v>1420</v>
      </c>
      <c r="E87" s="18">
        <v>33204506</v>
      </c>
      <c r="F87" s="27">
        <f t="shared" si="2"/>
        <v>5.7662474273364565E-3</v>
      </c>
      <c r="H87" t="s">
        <v>1378</v>
      </c>
      <c r="I87" s="18">
        <v>9590.0161370000005</v>
      </c>
      <c r="J87" s="27">
        <f t="shared" si="5"/>
        <v>2.0996719764011383E-3</v>
      </c>
      <c r="K87" s="27">
        <v>1E-3</v>
      </c>
      <c r="L87" s="30" t="s">
        <v>1383</v>
      </c>
    </row>
    <row r="88" spans="3:12" ht="13" x14ac:dyDescent="0.3">
      <c r="C88" s="14" t="s">
        <v>1421</v>
      </c>
      <c r="E88" s="18">
        <v>33438620</v>
      </c>
      <c r="F88" s="27">
        <f t="shared" si="2"/>
        <v>5.8069033325983347E-3</v>
      </c>
      <c r="H88" t="s">
        <v>1384</v>
      </c>
      <c r="I88" s="18">
        <v>9080.8770000000004</v>
      </c>
      <c r="J88" s="27">
        <f t="shared" si="5"/>
        <v>1.9881992569837571E-3</v>
      </c>
      <c r="K88" s="34">
        <v>0.01</v>
      </c>
      <c r="L88" s="33" t="s">
        <v>1362</v>
      </c>
    </row>
    <row r="89" spans="3:12" ht="13" x14ac:dyDescent="0.3">
      <c r="C89" t="s">
        <v>1422</v>
      </c>
      <c r="E89" s="18">
        <v>33656472</v>
      </c>
      <c r="F89" s="27">
        <f t="shared" si="2"/>
        <v>5.8447352020000384E-3</v>
      </c>
      <c r="H89" s="12" t="s">
        <v>1403</v>
      </c>
      <c r="I89" s="19">
        <v>8000</v>
      </c>
      <c r="J89" s="32">
        <f t="shared" si="5"/>
        <v>1.7515482321663488E-3</v>
      </c>
      <c r="K89" s="34">
        <v>1.4E-2</v>
      </c>
      <c r="L89" s="33" t="s">
        <v>1362</v>
      </c>
    </row>
    <row r="90" spans="3:12" ht="13" x14ac:dyDescent="0.3">
      <c r="C90" t="s">
        <v>1423</v>
      </c>
      <c r="E90" s="18">
        <v>37530900</v>
      </c>
      <c r="F90" s="27">
        <f t="shared" si="2"/>
        <v>6.5175628744671525E-3</v>
      </c>
      <c r="H90" s="12" t="s">
        <v>1385</v>
      </c>
      <c r="I90" s="19">
        <v>7864.193921430001</v>
      </c>
      <c r="J90" s="32">
        <f t="shared" si="5"/>
        <v>1.721814370061758E-3</v>
      </c>
      <c r="K90" s="34">
        <v>1.7999999999999999E-2</v>
      </c>
      <c r="L90" s="33" t="s">
        <v>1362</v>
      </c>
    </row>
    <row r="91" spans="3:12" ht="13" x14ac:dyDescent="0.3">
      <c r="C91" t="s">
        <v>1424</v>
      </c>
      <c r="E91" s="18">
        <v>28062315</v>
      </c>
      <c r="F91" s="27">
        <f t="shared" si="2"/>
        <v>4.8732618300014845E-3</v>
      </c>
      <c r="H91" t="s">
        <v>1386</v>
      </c>
      <c r="I91" s="18">
        <v>7750.7449999999999</v>
      </c>
      <c r="J91" s="27">
        <f t="shared" si="5"/>
        <v>1.6969754628402708E-3</v>
      </c>
      <c r="K91" s="34">
        <v>1.6E-2</v>
      </c>
      <c r="L91" s="33" t="s">
        <v>1362</v>
      </c>
    </row>
    <row r="92" spans="3:12" x14ac:dyDescent="0.25">
      <c r="C92" t="s">
        <v>1425</v>
      </c>
      <c r="E92" s="18">
        <v>29549920</v>
      </c>
      <c r="F92" s="27">
        <f t="shared" si="2"/>
        <v>5.1315972048491887E-3</v>
      </c>
      <c r="H92" t="s">
        <v>1387</v>
      </c>
      <c r="I92" s="18">
        <v>6974.3285536200001</v>
      </c>
      <c r="J92" s="27">
        <f t="shared" si="5"/>
        <v>1.5269841060800498E-3</v>
      </c>
      <c r="K92" s="27">
        <v>1E-3</v>
      </c>
      <c r="L92" s="30" t="s">
        <v>1383</v>
      </c>
    </row>
    <row r="93" spans="3:12" x14ac:dyDescent="0.25">
      <c r="C93" t="s">
        <v>1411</v>
      </c>
      <c r="E93" s="18">
        <v>22158228</v>
      </c>
      <c r="F93" s="27">
        <f t="shared" si="2"/>
        <v>3.847966453689588E-3</v>
      </c>
      <c r="H93" t="s">
        <v>1388</v>
      </c>
      <c r="I93" s="18">
        <v>6992.0290048199995</v>
      </c>
      <c r="J93" s="27">
        <f t="shared" si="5"/>
        <v>1.5308595053310382E-3</v>
      </c>
      <c r="K93" s="27">
        <v>1E-3</v>
      </c>
      <c r="L93" s="30" t="s">
        <v>1383</v>
      </c>
    </row>
    <row r="94" spans="3:12" ht="13" x14ac:dyDescent="0.3">
      <c r="C94" t="s">
        <v>1426</v>
      </c>
      <c r="E94" s="18">
        <v>22387891</v>
      </c>
      <c r="F94" s="27">
        <f t="shared" si="2"/>
        <v>3.8878494046030686E-3</v>
      </c>
      <c r="H94" t="s">
        <v>1389</v>
      </c>
      <c r="I94" s="18">
        <v>6594.9849617500004</v>
      </c>
      <c r="J94" s="27">
        <f t="shared" si="5"/>
        <v>1.4439292813646085E-3</v>
      </c>
      <c r="K94" s="34">
        <v>1.4999999999999999E-2</v>
      </c>
      <c r="L94" s="33" t="s">
        <v>1362</v>
      </c>
    </row>
    <row r="95" spans="3:12" ht="13" x14ac:dyDescent="0.3">
      <c r="C95" t="s">
        <v>1427</v>
      </c>
      <c r="E95" s="18">
        <v>23734897</v>
      </c>
      <c r="F95" s="27">
        <f t="shared" si="2"/>
        <v>4.1217685564828395E-3</v>
      </c>
      <c r="H95" t="s">
        <v>1390</v>
      </c>
      <c r="I95" s="18">
        <v>5961.7598810399995</v>
      </c>
      <c r="J95" s="27">
        <f t="shared" si="5"/>
        <v>1.305288747529484E-3</v>
      </c>
      <c r="K95" s="34">
        <v>8.0000000000000002E-3</v>
      </c>
      <c r="L95" s="33" t="s">
        <v>1362</v>
      </c>
    </row>
    <row r="96" spans="3:12" ht="13" x14ac:dyDescent="0.3">
      <c r="C96" t="s">
        <v>1428</v>
      </c>
      <c r="E96" s="18">
        <v>24243534</v>
      </c>
      <c r="F96" s="27">
        <f t="shared" si="2"/>
        <v>4.2100977366458609E-3</v>
      </c>
      <c r="H96" t="s">
        <v>21</v>
      </c>
      <c r="I96" s="18">
        <v>5945</v>
      </c>
      <c r="J96" s="27">
        <f t="shared" si="5"/>
        <v>1.3016192800286179E-3</v>
      </c>
      <c r="K96" s="34">
        <v>8.0000000000000002E-3</v>
      </c>
      <c r="L96" s="33" t="s">
        <v>1362</v>
      </c>
    </row>
    <row r="97" spans="3:12" x14ac:dyDescent="0.25">
      <c r="C97" t="s">
        <v>1429</v>
      </c>
      <c r="E97" s="18">
        <v>24766389</v>
      </c>
      <c r="F97" s="27">
        <f t="shared" si="2"/>
        <v>4.3008959945274872E-3</v>
      </c>
      <c r="H97" t="s">
        <v>1391</v>
      </c>
      <c r="I97" s="18">
        <v>5865.2876427500005</v>
      </c>
      <c r="J97" s="27">
        <f t="shared" si="5"/>
        <v>1.2841667752257367E-3</v>
      </c>
      <c r="K97" s="27">
        <v>1E-3</v>
      </c>
      <c r="L97" s="30" t="s">
        <v>1383</v>
      </c>
    </row>
    <row r="98" spans="3:12" x14ac:dyDescent="0.25">
      <c r="C98" t="s">
        <v>1430</v>
      </c>
      <c r="E98" s="18">
        <v>25333327</v>
      </c>
      <c r="F98" s="27">
        <f t="shared" si="2"/>
        <v>4.3993496436785778E-3</v>
      </c>
      <c r="H98" t="s">
        <v>1392</v>
      </c>
      <c r="I98" s="18">
        <v>5820.0490000000009</v>
      </c>
      <c r="J98" s="27">
        <f t="shared" si="5"/>
        <v>1.2742620671339409E-3</v>
      </c>
      <c r="K98" s="27">
        <v>1E-3</v>
      </c>
      <c r="L98" s="30" t="s">
        <v>1383</v>
      </c>
    </row>
    <row r="99" spans="3:12" ht="13" x14ac:dyDescent="0.3">
      <c r="C99" s="14" t="s">
        <v>1431</v>
      </c>
      <c r="E99" s="18">
        <v>25478707</v>
      </c>
      <c r="F99" s="27">
        <f t="shared" si="2"/>
        <v>4.4245961283269622E-3</v>
      </c>
      <c r="H99" t="s">
        <v>1393</v>
      </c>
      <c r="I99" s="18">
        <v>4950.9142200000006</v>
      </c>
      <c r="J99" s="27">
        <f t="shared" si="5"/>
        <v>1.0839706312060298E-3</v>
      </c>
      <c r="K99" s="34">
        <v>1.6E-2</v>
      </c>
      <c r="L99" s="33" t="s">
        <v>1362</v>
      </c>
    </row>
    <row r="100" spans="3:12" x14ac:dyDescent="0.25">
      <c r="C100" t="s">
        <v>1432</v>
      </c>
      <c r="E100" s="18">
        <v>25810785</v>
      </c>
      <c r="F100" s="27">
        <f t="shared" si="2"/>
        <v>4.4822643229140164E-3</v>
      </c>
      <c r="H100" t="s">
        <v>1394</v>
      </c>
      <c r="I100" s="18">
        <v>4832.1799999999994</v>
      </c>
      <c r="J100" s="27">
        <f t="shared" si="5"/>
        <v>1.0579745420636983E-3</v>
      </c>
      <c r="K100" s="27">
        <v>1E-3</v>
      </c>
      <c r="L100" s="30" t="s">
        <v>1383</v>
      </c>
    </row>
    <row r="101" spans="3:12" x14ac:dyDescent="0.25">
      <c r="C101" t="s">
        <v>1433</v>
      </c>
      <c r="E101" s="18">
        <v>25936183</v>
      </c>
      <c r="F101" s="27">
        <f t="shared" si="2"/>
        <v>4.5040407617772584E-3</v>
      </c>
      <c r="H101" t="s">
        <v>1395</v>
      </c>
      <c r="I101" s="18">
        <v>4373.4188649999996</v>
      </c>
      <c r="J101" s="27">
        <f t="shared" si="5"/>
        <v>9.5753176018921362E-4</v>
      </c>
      <c r="K101" s="27">
        <v>0</v>
      </c>
      <c r="L101" s="35"/>
    </row>
    <row r="102" spans="3:12" ht="13" x14ac:dyDescent="0.3">
      <c r="C102" t="s">
        <v>1434</v>
      </c>
      <c r="E102" s="18">
        <v>19479885</v>
      </c>
      <c r="F102" s="27">
        <f t="shared" si="2"/>
        <v>3.3828492062511046E-3</v>
      </c>
      <c r="H102" s="12" t="s">
        <v>1396</v>
      </c>
      <c r="I102" s="19">
        <v>4370.41224745</v>
      </c>
      <c r="J102" s="32">
        <f t="shared" si="5"/>
        <v>9.5687348073240084E-4</v>
      </c>
      <c r="K102" s="34">
        <v>1.4E-2</v>
      </c>
      <c r="L102" s="33" t="s">
        <v>1362</v>
      </c>
    </row>
    <row r="103" spans="3:12" x14ac:dyDescent="0.25">
      <c r="C103" t="s">
        <v>1435</v>
      </c>
      <c r="E103" s="18">
        <v>20366331</v>
      </c>
      <c r="F103" s="27">
        <f t="shared" si="2"/>
        <v>3.5367881616137496E-3</v>
      </c>
      <c r="H103" t="s">
        <v>1397</v>
      </c>
      <c r="I103" s="18">
        <v>4011.7539600499999</v>
      </c>
      <c r="J103" s="27">
        <f t="shared" si="5"/>
        <v>8.7834756957649082E-4</v>
      </c>
      <c r="K103" s="27">
        <v>0</v>
      </c>
      <c r="L103" s="35"/>
    </row>
    <row r="104" spans="3:12" x14ac:dyDescent="0.25">
      <c r="C104" t="s">
        <v>1436</v>
      </c>
      <c r="E104" s="18">
        <v>20427679</v>
      </c>
      <c r="F104" s="27">
        <f t="shared" si="2"/>
        <v>3.5474417683011143E-3</v>
      </c>
      <c r="H104" t="s">
        <v>1398</v>
      </c>
      <c r="I104" s="18">
        <v>3600.0932880000005</v>
      </c>
      <c r="J104" s="27">
        <f t="shared" si="5"/>
        <v>7.8821712927879233E-4</v>
      </c>
      <c r="K104" s="27">
        <v>1E-3</v>
      </c>
      <c r="L104" s="30" t="s">
        <v>1383</v>
      </c>
    </row>
    <row r="105" spans="3:12" x14ac:dyDescent="0.25">
      <c r="C105" s="14" t="s">
        <v>1437</v>
      </c>
      <c r="E105" s="18">
        <v>20471467</v>
      </c>
      <c r="F105" s="27">
        <f t="shared" si="2"/>
        <v>3.5550459302888943E-3</v>
      </c>
      <c r="H105" t="s">
        <v>1399</v>
      </c>
      <c r="I105" s="18">
        <v>3563.2954680000007</v>
      </c>
      <c r="J105" s="27">
        <f t="shared" si="5"/>
        <v>7.8016048470772048E-4</v>
      </c>
      <c r="K105" s="27">
        <v>1E-3</v>
      </c>
      <c r="L105" s="30" t="s">
        <v>1383</v>
      </c>
    </row>
    <row r="106" spans="3:12" x14ac:dyDescent="0.25">
      <c r="C106" t="s">
        <v>1438</v>
      </c>
      <c r="E106" s="18">
        <v>20630563</v>
      </c>
      <c r="F106" s="27">
        <f t="shared" si="2"/>
        <v>3.5826743160477285E-3</v>
      </c>
      <c r="H106" t="s">
        <v>1400</v>
      </c>
      <c r="I106" s="18">
        <v>3383.2201927199999</v>
      </c>
      <c r="J106" s="27">
        <f t="shared" si="5"/>
        <v>7.4073416844852623E-4</v>
      </c>
      <c r="K106" s="27">
        <v>1E-3</v>
      </c>
      <c r="L106" s="30" t="s">
        <v>1383</v>
      </c>
    </row>
    <row r="107" spans="3:12" x14ac:dyDescent="0.25">
      <c r="C107" t="s">
        <v>1439</v>
      </c>
      <c r="E107" s="18">
        <v>20998827</v>
      </c>
      <c r="F107" s="27">
        <f t="shared" si="2"/>
        <v>3.6466265200823444E-3</v>
      </c>
    </row>
    <row r="108" spans="3:12" x14ac:dyDescent="0.25">
      <c r="C108" t="s">
        <v>1440</v>
      </c>
      <c r="E108" s="18">
        <v>21874879</v>
      </c>
      <c r="F108" s="27">
        <f t="shared" si="2"/>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3" activePane="bottomRight" state="frozen"/>
      <selection pane="topRight" activeCell="C1" sqref="C1"/>
      <selection pane="bottomLeft" activeCell="A3" sqref="A3"/>
      <selection pane="bottomRight" activeCell="B2" sqref="B2:J19"/>
    </sheetView>
  </sheetViews>
  <sheetFormatPr defaultRowHeight="12.5" x14ac:dyDescent="0.25"/>
  <cols>
    <col min="1" max="1" width="5" bestFit="1" customWidth="1"/>
    <col min="2" max="2" width="28.54296875" customWidth="1"/>
    <col min="3" max="3" width="13" bestFit="1" customWidth="1"/>
  </cols>
  <sheetData>
    <row r="1" spans="1:3" x14ac:dyDescent="0.25">
      <c r="A1" t="s">
        <v>75</v>
      </c>
    </row>
    <row r="2" spans="1:3" x14ac:dyDescent="0.25">
      <c r="C2" s="18">
        <f>SUM(C3:C51)</f>
        <v>4918267988</v>
      </c>
    </row>
    <row r="3" spans="1:3" x14ac:dyDescent="0.25">
      <c r="B3" t="s">
        <v>1327</v>
      </c>
      <c r="C3" s="18">
        <v>776650882</v>
      </c>
    </row>
    <row r="4" spans="1:3" x14ac:dyDescent="0.25">
      <c r="B4" t="s">
        <v>1441</v>
      </c>
      <c r="C4" s="18">
        <v>378451556</v>
      </c>
    </row>
    <row r="5" spans="1:3" x14ac:dyDescent="0.25">
      <c r="B5" t="s">
        <v>1442</v>
      </c>
      <c r="C5" s="18">
        <v>332807923</v>
      </c>
    </row>
    <row r="6" spans="1:3" x14ac:dyDescent="0.25">
      <c r="B6" t="s">
        <v>1328</v>
      </c>
      <c r="C6" s="18">
        <v>309797134</v>
      </c>
    </row>
    <row r="7" spans="1:3" x14ac:dyDescent="0.25">
      <c r="B7" t="s">
        <v>1421</v>
      </c>
      <c r="C7" s="18">
        <v>267593250</v>
      </c>
    </row>
    <row r="8" spans="1:3" x14ac:dyDescent="0.25">
      <c r="B8" t="s">
        <v>1328</v>
      </c>
      <c r="C8" s="18">
        <v>260872677</v>
      </c>
    </row>
    <row r="9" spans="1:3" x14ac:dyDescent="0.25">
      <c r="B9" t="s">
        <v>1443</v>
      </c>
      <c r="C9" s="18">
        <v>243717013</v>
      </c>
    </row>
    <row r="10" spans="1:3" ht="13" x14ac:dyDescent="0.3">
      <c r="B10" s="12" t="s">
        <v>1445</v>
      </c>
      <c r="C10" s="19">
        <v>152311852</v>
      </c>
    </row>
    <row r="11" spans="1:3" x14ac:dyDescent="0.25">
      <c r="B11" t="s">
        <v>1330</v>
      </c>
      <c r="C11" s="18">
        <v>124627150</v>
      </c>
    </row>
    <row r="12" spans="1:3" x14ac:dyDescent="0.25">
      <c r="B12" t="s">
        <v>1444</v>
      </c>
      <c r="C12" s="18">
        <v>122845823</v>
      </c>
    </row>
    <row r="13" spans="1:3" x14ac:dyDescent="0.25">
      <c r="B13" t="s">
        <v>1331</v>
      </c>
      <c r="C13" s="18">
        <v>115146643</v>
      </c>
    </row>
    <row r="14" spans="1:3" x14ac:dyDescent="0.25">
      <c r="B14" t="s">
        <v>1422</v>
      </c>
      <c r="C14" s="18">
        <v>82008126</v>
      </c>
    </row>
    <row r="15" spans="1:3" x14ac:dyDescent="0.25">
      <c r="B15" t="s">
        <v>1340</v>
      </c>
      <c r="C15" s="18">
        <v>93105450</v>
      </c>
    </row>
    <row r="16" spans="1:3" x14ac:dyDescent="0.25">
      <c r="B16" t="s">
        <v>1446</v>
      </c>
      <c r="C16" s="18">
        <v>99619531</v>
      </c>
    </row>
    <row r="17" spans="2:3" x14ac:dyDescent="0.25">
      <c r="B17" t="s">
        <v>1447</v>
      </c>
      <c r="C17" s="18">
        <v>95037180</v>
      </c>
    </row>
    <row r="18" spans="2:3" x14ac:dyDescent="0.25">
      <c r="B18" t="s">
        <v>1448</v>
      </c>
      <c r="C18" s="18">
        <v>98782528</v>
      </c>
    </row>
    <row r="19" spans="2:3" x14ac:dyDescent="0.25">
      <c r="B19" t="s">
        <v>1449</v>
      </c>
      <c r="C19" s="18">
        <v>80529315</v>
      </c>
    </row>
    <row r="20" spans="2:3" x14ac:dyDescent="0.25">
      <c r="B20" t="s">
        <v>1450</v>
      </c>
      <c r="C20" s="18">
        <v>59882099</v>
      </c>
    </row>
    <row r="21" spans="2:3" x14ac:dyDescent="0.25">
      <c r="B21" t="s">
        <v>1451</v>
      </c>
      <c r="C21" s="18">
        <v>59577321</v>
      </c>
    </row>
    <row r="22" spans="2:3" x14ac:dyDescent="0.25">
      <c r="B22" t="s">
        <v>1452</v>
      </c>
      <c r="C22" s="18">
        <v>62243837</v>
      </c>
    </row>
    <row r="23" spans="2:3" x14ac:dyDescent="0.25">
      <c r="B23" t="s">
        <v>1453</v>
      </c>
      <c r="C23" s="18">
        <v>63428404</v>
      </c>
    </row>
    <row r="24" spans="2:3" x14ac:dyDescent="0.25">
      <c r="B24" t="s">
        <v>1454</v>
      </c>
      <c r="C24" s="18">
        <v>64111053</v>
      </c>
    </row>
    <row r="25" spans="2:3" x14ac:dyDescent="0.25">
      <c r="B25" t="s">
        <v>1455</v>
      </c>
      <c r="C25" s="18">
        <v>64749405</v>
      </c>
    </row>
    <row r="26" spans="2:3" x14ac:dyDescent="0.25">
      <c r="B26" t="s">
        <v>1456</v>
      </c>
      <c r="C26" s="18">
        <v>74994436</v>
      </c>
    </row>
    <row r="27" spans="2:3" x14ac:dyDescent="0.25">
      <c r="B27" t="s">
        <v>1457</v>
      </c>
      <c r="C27" s="18">
        <v>47271570</v>
      </c>
    </row>
    <row r="28" spans="2:3" x14ac:dyDescent="0.25">
      <c r="B28" t="s">
        <v>1458</v>
      </c>
      <c r="C28" s="18">
        <v>47895923</v>
      </c>
    </row>
    <row r="29" spans="2:3" x14ac:dyDescent="0.25">
      <c r="B29" t="s">
        <v>1459</v>
      </c>
      <c r="C29" s="18">
        <v>48817400</v>
      </c>
    </row>
    <row r="30" spans="2:3" x14ac:dyDescent="0.25">
      <c r="B30" t="s">
        <v>1460</v>
      </c>
      <c r="C30" s="18">
        <v>49138176</v>
      </c>
    </row>
    <row r="31" spans="2:3" x14ac:dyDescent="0.25">
      <c r="B31" t="s">
        <v>1461</v>
      </c>
      <c r="C31" s="18">
        <v>50393306</v>
      </c>
    </row>
    <row r="32" spans="2:3" x14ac:dyDescent="0.25">
      <c r="B32" t="s">
        <v>1462</v>
      </c>
      <c r="C32" s="18">
        <v>53933613</v>
      </c>
    </row>
    <row r="33" spans="2:3" x14ac:dyDescent="0.25">
      <c r="B33" t="s">
        <v>1463</v>
      </c>
      <c r="C33" s="18">
        <v>58449106</v>
      </c>
    </row>
    <row r="34" spans="2:3" x14ac:dyDescent="0.25">
      <c r="B34" t="s">
        <v>1464</v>
      </c>
      <c r="C34" s="18">
        <v>54679150</v>
      </c>
    </row>
    <row r="35" spans="2:3" x14ac:dyDescent="0.25">
      <c r="B35" t="s">
        <v>1465</v>
      </c>
      <c r="C35" s="18">
        <v>53982815</v>
      </c>
    </row>
    <row r="36" spans="2:3" x14ac:dyDescent="0.25">
      <c r="B36" t="s">
        <v>1415</v>
      </c>
      <c r="C36" s="18">
        <v>37356406</v>
      </c>
    </row>
    <row r="37" spans="2:3" x14ac:dyDescent="0.25">
      <c r="B37" t="s">
        <v>1408</v>
      </c>
      <c r="C37" s="18">
        <v>38785643</v>
      </c>
    </row>
    <row r="38" spans="2:3" x14ac:dyDescent="0.25">
      <c r="B38" t="s">
        <v>1338</v>
      </c>
      <c r="C38" s="18">
        <v>38796759</v>
      </c>
    </row>
    <row r="39" spans="2:3" x14ac:dyDescent="0.25">
      <c r="B39" t="s">
        <v>1466</v>
      </c>
      <c r="C39" s="18">
        <v>41040120</v>
      </c>
    </row>
    <row r="40" spans="2:3" x14ac:dyDescent="0.25">
      <c r="B40" t="s">
        <v>1376</v>
      </c>
      <c r="C40" s="18">
        <v>41170244</v>
      </c>
    </row>
    <row r="41" spans="2:3" x14ac:dyDescent="0.25">
      <c r="B41" t="s">
        <v>1467</v>
      </c>
      <c r="C41" s="18">
        <v>42132304</v>
      </c>
    </row>
    <row r="42" spans="2:3" x14ac:dyDescent="0.25">
      <c r="B42" t="s">
        <v>1438</v>
      </c>
      <c r="C42" s="18">
        <v>42308624</v>
      </c>
    </row>
    <row r="43" spans="2:3" x14ac:dyDescent="0.25">
      <c r="B43" t="s">
        <v>1416</v>
      </c>
      <c r="C43" s="18">
        <v>44410284</v>
      </c>
    </row>
    <row r="44" spans="2:3" x14ac:dyDescent="0.25">
      <c r="B44" t="s">
        <v>1468</v>
      </c>
      <c r="C44" s="18">
        <v>44815957</v>
      </c>
    </row>
    <row r="45" spans="2:3" x14ac:dyDescent="0.25">
      <c r="C45" s="1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activeCell="C3" sqref="C3"/>
    </sheetView>
  </sheetViews>
  <sheetFormatPr defaultRowHeight="12.5" x14ac:dyDescent="0.25"/>
  <cols>
    <col min="1" max="1" width="3.54296875" bestFit="1" customWidth="1"/>
    <col min="2" max="2" width="19.7265625" bestFit="1" customWidth="1"/>
  </cols>
  <sheetData>
    <row r="1" spans="1:8" x14ac:dyDescent="0.25">
      <c r="A1" t="s">
        <v>1155</v>
      </c>
    </row>
    <row r="2" spans="1:8" x14ac:dyDescent="0.25">
      <c r="A2" s="2"/>
      <c r="B2" t="s">
        <v>0</v>
      </c>
      <c r="C2" t="s">
        <v>1157</v>
      </c>
      <c r="D2" s="6" t="s">
        <v>890</v>
      </c>
      <c r="E2" t="s">
        <v>709</v>
      </c>
      <c r="F2" t="s">
        <v>1170</v>
      </c>
      <c r="G2" t="s">
        <v>906</v>
      </c>
      <c r="H2" t="s">
        <v>1176</v>
      </c>
    </row>
    <row r="3" spans="1:8" x14ac:dyDescent="0.25">
      <c r="A3" s="2"/>
      <c r="B3" t="s">
        <v>1160</v>
      </c>
      <c r="C3" t="s">
        <v>1161</v>
      </c>
      <c r="D3" s="6"/>
    </row>
    <row r="4" spans="1:8" x14ac:dyDescent="0.25">
      <c r="A4" s="2"/>
      <c r="B4" t="s">
        <v>1164</v>
      </c>
      <c r="C4" t="s">
        <v>1165</v>
      </c>
      <c r="D4" s="6" t="s">
        <v>1166</v>
      </c>
    </row>
    <row r="5" spans="1:8" x14ac:dyDescent="0.25">
      <c r="A5" s="2"/>
      <c r="B5" t="s">
        <v>1156</v>
      </c>
      <c r="C5" s="14" t="s">
        <v>1158</v>
      </c>
      <c r="D5" s="6" t="s">
        <v>1159</v>
      </c>
    </row>
    <row r="6" spans="1:8" x14ac:dyDescent="0.25">
      <c r="A6" s="2"/>
      <c r="B6" t="s">
        <v>1178</v>
      </c>
      <c r="C6" s="14" t="s">
        <v>1174</v>
      </c>
      <c r="D6" s="6"/>
      <c r="G6" t="s">
        <v>1180</v>
      </c>
      <c r="H6" t="s">
        <v>1179</v>
      </c>
    </row>
    <row r="7" spans="1:8" x14ac:dyDescent="0.25">
      <c r="A7" s="2"/>
      <c r="B7" t="s">
        <v>1162</v>
      </c>
      <c r="D7" s="6"/>
      <c r="E7" t="s">
        <v>1163</v>
      </c>
    </row>
    <row r="8" spans="1:8" x14ac:dyDescent="0.25">
      <c r="A8" s="2"/>
      <c r="B8" t="s">
        <v>1167</v>
      </c>
      <c r="C8" t="s">
        <v>1168</v>
      </c>
      <c r="D8" s="6" t="s">
        <v>1169</v>
      </c>
      <c r="F8" t="s">
        <v>1171</v>
      </c>
      <c r="G8" t="s">
        <v>1172</v>
      </c>
    </row>
    <row r="9" spans="1:8" x14ac:dyDescent="0.25">
      <c r="A9" s="2"/>
      <c r="B9" t="s">
        <v>1181</v>
      </c>
      <c r="D9" s="6"/>
      <c r="H9" t="s">
        <v>1182</v>
      </c>
    </row>
    <row r="10" spans="1:8" x14ac:dyDescent="0.25">
      <c r="A10" s="2"/>
      <c r="B10" t="s">
        <v>1183</v>
      </c>
      <c r="D10" s="6"/>
      <c r="E10" t="s">
        <v>1163</v>
      </c>
      <c r="H10" t="s">
        <v>1184</v>
      </c>
    </row>
    <row r="11" spans="1:8" x14ac:dyDescent="0.25">
      <c r="A11" s="2"/>
      <c r="B11" t="s">
        <v>1187</v>
      </c>
      <c r="C11" t="s">
        <v>1188</v>
      </c>
      <c r="D11" s="6" t="s">
        <v>1189</v>
      </c>
      <c r="G11" t="s">
        <v>1172</v>
      </c>
      <c r="H11" t="s">
        <v>1190</v>
      </c>
    </row>
    <row r="12" spans="1:8" x14ac:dyDescent="0.25">
      <c r="A12" s="2"/>
      <c r="B12" t="s">
        <v>1185</v>
      </c>
      <c r="C12" t="s">
        <v>1174</v>
      </c>
      <c r="D12" s="6"/>
      <c r="G12" t="s">
        <v>1180</v>
      </c>
      <c r="H12" t="s">
        <v>1186</v>
      </c>
    </row>
    <row r="13" spans="1:8" x14ac:dyDescent="0.25">
      <c r="A13" s="2"/>
      <c r="B13" t="s">
        <v>1191</v>
      </c>
      <c r="C13" t="s">
        <v>1192</v>
      </c>
      <c r="D13" s="6"/>
      <c r="H13" t="s">
        <v>1193</v>
      </c>
    </row>
    <row r="14" spans="1:8" x14ac:dyDescent="0.25">
      <c r="A14" s="2"/>
      <c r="B14" t="s">
        <v>1197</v>
      </c>
      <c r="C14" t="s">
        <v>1174</v>
      </c>
      <c r="D14" s="6"/>
      <c r="G14" t="s">
        <v>1180</v>
      </c>
      <c r="H14" t="s">
        <v>1198</v>
      </c>
    </row>
    <row r="15" spans="1:8" x14ac:dyDescent="0.25">
      <c r="A15" s="2"/>
      <c r="B15" t="s">
        <v>1194</v>
      </c>
      <c r="C15" t="s">
        <v>1195</v>
      </c>
      <c r="D15" s="6"/>
      <c r="G15" t="s">
        <v>1180</v>
      </c>
      <c r="H15" t="s">
        <v>1196</v>
      </c>
    </row>
    <row r="16" spans="1:8" x14ac:dyDescent="0.25">
      <c r="A16" s="2"/>
      <c r="B16" t="s">
        <v>1199</v>
      </c>
      <c r="D16" s="6"/>
      <c r="E16" t="s">
        <v>1200</v>
      </c>
      <c r="H16" t="s">
        <v>1184</v>
      </c>
    </row>
    <row r="17" spans="1:8" x14ac:dyDescent="0.25">
      <c r="A17" s="2"/>
      <c r="B17" t="s">
        <v>1173</v>
      </c>
      <c r="C17" t="s">
        <v>1174</v>
      </c>
      <c r="D17" s="6"/>
      <c r="E17" t="s">
        <v>1177</v>
      </c>
      <c r="H17" t="s">
        <v>1175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Hedge</vt:lpstr>
      <vt:lpstr>Sources</vt:lpstr>
      <vt:lpstr>VC</vt:lpstr>
      <vt:lpstr>Long Only</vt:lpstr>
      <vt:lpstr>Private Equity</vt:lpstr>
      <vt:lpstr>Millennium</vt:lpstr>
      <vt:lpstr>Citadel</vt:lpstr>
      <vt:lpstr>Softbank - Overview</vt:lpstr>
      <vt:lpstr>SoftBank - Positions</vt:lpstr>
      <vt:lpstr>Largest Privates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2025-03-19T01:57:04Z</dcterms:modified>
</cp:coreProperties>
</file>