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3CC6BB5-3E65-44C8-B8B3-6283BE2A4BB7}" xr6:coauthVersionLast="47" xr6:coauthVersionMax="47" xr10:uidLastSave="{00000000-0000-0000-0000-000000000000}"/>
  <bookViews>
    <workbookView xWindow="-16395" yWindow="7575" windowWidth="16485" windowHeight="12930" activeTab="1" xr2:uid="{6C567CA9-0E11-4C72-97D0-DE6EA1E5BA4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3" i="2" l="1"/>
  <c r="U23" i="2"/>
  <c r="U36" i="2"/>
  <c r="T36" i="2"/>
  <c r="U32" i="2"/>
  <c r="T32" i="2"/>
  <c r="U10" i="2"/>
  <c r="U12" i="2" s="1"/>
  <c r="U14" i="2" s="1"/>
  <c r="U16" i="2" s="1"/>
  <c r="U18" i="2" s="1"/>
  <c r="U19" i="2" s="1"/>
  <c r="T10" i="2"/>
  <c r="T12" i="2" s="1"/>
  <c r="T14" i="2" s="1"/>
  <c r="T16" i="2" s="1"/>
  <c r="T18" i="2" s="1"/>
  <c r="T19" i="2" s="1"/>
  <c r="V36" i="2"/>
  <c r="V32" i="2"/>
  <c r="V10" i="2"/>
  <c r="V12" i="2" s="1"/>
  <c r="V14" i="2" s="1"/>
  <c r="V16" i="2" s="1"/>
  <c r="V18" i="2" s="1"/>
  <c r="V19" i="2" s="1"/>
  <c r="W36" i="2"/>
  <c r="W32" i="2"/>
  <c r="W10" i="2"/>
  <c r="W12" i="2" s="1"/>
  <c r="W14" i="2" s="1"/>
  <c r="W16" i="2" s="1"/>
  <c r="W18" i="2" s="1"/>
  <c r="W19" i="2" s="1"/>
  <c r="Z36" i="2"/>
  <c r="Y36" i="2"/>
  <c r="X36" i="2"/>
  <c r="Z32" i="2"/>
  <c r="Y32" i="2"/>
  <c r="X32" i="2"/>
  <c r="X10" i="2"/>
  <c r="X12" i="2" s="1"/>
  <c r="X14" i="2" s="1"/>
  <c r="X16" i="2" s="1"/>
  <c r="X18" i="2" s="1"/>
  <c r="X19" i="2" s="1"/>
  <c r="Y10" i="2"/>
  <c r="Y12" i="2" s="1"/>
  <c r="Y14" i="2" s="1"/>
  <c r="Y16" i="2" s="1"/>
  <c r="Y18" i="2" s="1"/>
  <c r="Y19" i="2" s="1"/>
  <c r="Z10" i="2"/>
  <c r="Z12" i="2" s="1"/>
  <c r="Z14" i="2" s="1"/>
  <c r="Z16" i="2" s="1"/>
  <c r="Z18" i="2" s="1"/>
  <c r="Z19" i="2" s="1"/>
  <c r="N10" i="2"/>
  <c r="Y2" i="2"/>
  <c r="Z2" i="2" s="1"/>
  <c r="AA2" i="2" s="1"/>
  <c r="AB2" i="2" s="1"/>
  <c r="AC2" i="2" s="1"/>
  <c r="AD2" i="2" s="1"/>
  <c r="AE2" i="2" s="1"/>
  <c r="AF2" i="2" s="1"/>
  <c r="M3" i="1"/>
  <c r="M4" i="1" s="1"/>
  <c r="M7" i="1" s="1"/>
  <c r="I10" i="2"/>
  <c r="I12" i="2" s="1"/>
  <c r="I14" i="2" s="1"/>
  <c r="I16" i="2" s="1"/>
  <c r="I18" i="2" s="1"/>
  <c r="I19" i="2" s="1"/>
  <c r="M10" i="2"/>
  <c r="M12" i="2" s="1"/>
  <c r="M14" i="2" s="1"/>
  <c r="M16" i="2" s="1"/>
  <c r="M18" i="2" s="1"/>
  <c r="M19" i="2" s="1"/>
  <c r="H17" i="2"/>
  <c r="H15" i="2"/>
  <c r="H10" i="2"/>
  <c r="H12" i="2" s="1"/>
  <c r="H14" i="2" s="1"/>
  <c r="L32" i="2"/>
  <c r="L17" i="2"/>
  <c r="L15" i="2"/>
  <c r="L10" i="2"/>
  <c r="M6" i="1"/>
  <c r="M5" i="1"/>
  <c r="W23" i="2" l="1"/>
  <c r="L23" i="2"/>
  <c r="X23" i="2"/>
  <c r="Z23" i="2"/>
  <c r="Y23" i="2"/>
  <c r="M23" i="2"/>
  <c r="H16" i="2"/>
  <c r="H18" i="2" s="1"/>
  <c r="H19" i="2" s="1"/>
  <c r="L12" i="2"/>
  <c r="L14" i="2" s="1"/>
  <c r="L16" i="2" s="1"/>
  <c r="L18" i="2" s="1"/>
  <c r="L19" i="2" s="1"/>
</calcChain>
</file>

<file path=xl/sharedStrings.xml><?xml version="1.0" encoding="utf-8"?>
<sst xmlns="http://schemas.openxmlformats.org/spreadsheetml/2006/main" count="56" uniqueCount="52">
  <si>
    <t>Shares</t>
  </si>
  <si>
    <t>Price</t>
  </si>
  <si>
    <t>MC</t>
  </si>
  <si>
    <t>Cash</t>
  </si>
  <si>
    <t>Debt</t>
  </si>
  <si>
    <t>EV</t>
  </si>
  <si>
    <t>Main</t>
  </si>
  <si>
    <t>Retail vehicle</t>
  </si>
  <si>
    <t>Wholesale vehicle</t>
  </si>
  <si>
    <t>Other sales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</si>
  <si>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</si>
  <si>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</si>
  <si>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</si>
  <si>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</si>
  <si>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</si>
  <si>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</si>
  <si>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</si>
  <si>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</si>
  <si>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</si>
  <si>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</si>
  <si>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</si>
  <si>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</si>
  <si>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</si>
  <si>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COGS</t>
  </si>
  <si>
    <t>Gross Profit</t>
  </si>
  <si>
    <t>SG&amp;A</t>
  </si>
  <si>
    <t>Interest Expense</t>
  </si>
  <si>
    <t>Operating Profit</t>
  </si>
  <si>
    <t>Pretax Income</t>
  </si>
  <si>
    <t>Taxes</t>
  </si>
  <si>
    <t>Net Income</t>
  </si>
  <si>
    <t>EPS</t>
  </si>
  <si>
    <t>FCF</t>
  </si>
  <si>
    <t>CFFO</t>
  </si>
  <si>
    <t>CX</t>
  </si>
  <si>
    <t>Revenue y/y</t>
  </si>
  <si>
    <t>36 million auto retail transactions/annually</t>
  </si>
  <si>
    <t>17m SAAR?</t>
  </si>
  <si>
    <t>2.2m vehicles since inception ($63.7B)</t>
  </si>
  <si>
    <t>53000 car inventory</t>
  </si>
  <si>
    <t>DriveTime?</t>
  </si>
  <si>
    <t>Company owns LLC units in Carvana Group.</t>
  </si>
  <si>
    <t>Cars</t>
  </si>
  <si>
    <t>Site Visits</t>
  </si>
  <si>
    <t>Inventory</t>
  </si>
  <si>
    <t>Q125</t>
  </si>
  <si>
    <t>Q225</t>
  </si>
  <si>
    <t>Q325</t>
  </si>
  <si>
    <t>Q425</t>
  </si>
  <si>
    <t>Originations</t>
  </si>
  <si>
    <t>Sales</t>
  </si>
  <si>
    <t>Net Origination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</si>
</sst>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6" fillId="0" borderId="0" xfId="1" applyFont="1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left"/>
    </xf>
    <xf numFmtId="9" fontId="3" fillId="0" borderId="0" xfId="0" applyNumberFormat="1" applyFont="1"/>
    <xf numFmtId="3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A8547AC-0695-4148-B3B6-444A340EB1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36635</xdr:colOff>
      <xdr:row>0</xdr:row>
      <xdr:rowOff>58615</xdr:rowOff>
    </xdr:from>
    <xdr:to>
      <xdr:col>14</xdr:col>
      <xdr:colOff>36635</xdr:colOff>
      <xdr:row>31</xdr:row>
      <xdr:rowOff>80596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26AE8FF-2A60-9E9D-C7A6-78E35B187143}"/>
            </a:ext>
          </a:extLst>
        </xdr:cNvPr>
        <xdr:cNvCxnSpPr/>
      </xdr:nvCxnSpPr>
      <xdr:spPr>
        <a:xfrm>
          <a:off x="8323385" y="58615"/>
          <a:ext cx="0" cy="50189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5862</xdr:colOff>
      <xdr:row>0</xdr:row>
      <xdr:rowOff>0</xdr:rowOff>
    </xdr:from>
    <xdr:to>
      <xdr:col>26</xdr:col>
      <xdr:colOff>5862</xdr:colOff>
      <xdr:row>43</xdr:row>
      <xdr:rowOff>124558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84E69B9-C190-4EA3-950C-873384A6E89C}"/>
            </a:ext>
          </a:extLst>
        </xdr:cNvPr>
        <xdr:cNvCxnSpPr/>
      </xdr:nvCxnSpPr>
      <xdr:spPr>
        <a:xfrm>
          <a:off x="13502054" y="0"/>
          <a:ext cx="0" cy="705582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34F3-84EB-44A0-AF2C-DE464C798CE3}">
  <dimension ref="B2:N10"/>
  <sheetViews>
    <sheetView zoomScale="115" zoomScaleNormal="115" workbookViewId="0"/>
  </sheetViews>
  <sheetFormatPr defaultColWidth="8.7109375" defaultRowHeight="12.75" x14ac:dyDescent="0.2"/>
  <cols>
    <col min="1" max="1" width="4.140625" style="1" customWidth="1"/>
    <col min="2" max="16384" width="8.7109375" style="1"/>
  </cols>
  <sheetData>
    <row r="2" spans="2:14" x14ac:dyDescent="0.2">
      <c r="B2" s="15" t="s">
        <v>36</v>
      </c>
      <c r="L2" s="1" t="s">
        <v>1</v>
      </c>
      <c r="M2" s="2">
        <v>175</v>
      </c>
    </row>
    <row r="3" spans="2:14" x14ac:dyDescent="0.2">
      <c r="B3" s="15" t="s">
        <v>37</v>
      </c>
      <c r="L3" s="1" t="s">
        <v>0</v>
      </c>
      <c r="M3" s="3">
        <f>134.04688+79.119471</f>
        <v>213.16635099999999</v>
      </c>
      <c r="N3" s="16" t="s">
        <v>22</v>
      </c>
    </row>
    <row r="4" spans="2:14" x14ac:dyDescent="0.2">
      <c r="F4" s="15"/>
      <c r="L4" s="1" t="s">
        <v>2</v>
      </c>
      <c r="M4" s="3">
        <f>+M2*M3</f>
        <v>37304.111424999996</v>
      </c>
    </row>
    <row r="5" spans="2:14" x14ac:dyDescent="0.2">
      <c r="B5" s="15" t="s">
        <v>38</v>
      </c>
      <c r="L5" s="1" t="s">
        <v>3</v>
      </c>
      <c r="M5" s="3">
        <f>542+65</f>
        <v>607</v>
      </c>
      <c r="N5" s="16" t="s">
        <v>22</v>
      </c>
    </row>
    <row r="6" spans="2:14" x14ac:dyDescent="0.2">
      <c r="B6" s="15" t="s">
        <v>39</v>
      </c>
      <c r="L6" s="1" t="s">
        <v>4</v>
      </c>
      <c r="M6" s="3">
        <f>5428+203+72</f>
        <v>5703</v>
      </c>
      <c r="N6" s="16" t="s">
        <v>22</v>
      </c>
    </row>
    <row r="7" spans="2:14" x14ac:dyDescent="0.2">
      <c r="L7" s="1" t="s">
        <v>5</v>
      </c>
      <c r="M7" s="3">
        <f>+M4-M5+M6</f>
        <v>42400.111424999996</v>
      </c>
    </row>
    <row r="8" spans="2:14" x14ac:dyDescent="0.2">
      <c r="B8" s="15" t="s">
        <v>40</v>
      </c>
    </row>
    <row r="10" spans="2:14" x14ac:dyDescent="0.2">
      <c r="B10" s="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C054-99FF-4927-A84A-EBCDF5ACDC4F}">
  <dimension ref="A1:AF36"/>
  <sheetViews>
    <sheetView tabSelected="1" zoomScale="130" zoomScaleNormal="130" workbookViewId="0">
      <pane xSplit="2" ySplit="2" topLeftCell="R18" activePane="bottomRight" state="frozen"/>
      <selection pane="topRight" activeCell="C1" sqref="C1"/>
      <selection pane="bottomLeft" activeCell="A3" sqref="A3"/>
      <selection pane="bottomRight" activeCell="Z32" sqref="Z32"/>
    </sheetView>
  </sheetViews>
  <sheetFormatPr defaultColWidth="8.7109375" defaultRowHeight="12.75" x14ac:dyDescent="0.2"/>
  <cols>
    <col min="1" max="1" width="4.7109375" style="1" bestFit="1" customWidth="1"/>
    <col min="2" max="2" width="15.42578125" style="4" bestFit="1" customWidth="1"/>
    <col min="3" max="18" width="8.7109375" style="5"/>
    <col min="19" max="16384" width="8.7109375" style="1"/>
  </cols>
  <sheetData>
    <row r="1" spans="1:32" x14ac:dyDescent="0.2">
      <c r="A1" s="13" t="s">
        <v>6</v>
      </c>
    </row>
    <row r="2" spans="1:32" x14ac:dyDescent="0.2"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16" t="s">
        <v>45</v>
      </c>
      <c r="P2" s="16" t="s">
        <v>46</v>
      </c>
      <c r="Q2" s="16" t="s">
        <v>47</v>
      </c>
      <c r="R2" s="16" t="s">
        <v>48</v>
      </c>
      <c r="T2" s="1">
        <v>2018</v>
      </c>
      <c r="U2" s="1">
        <v>2019</v>
      </c>
      <c r="V2" s="1">
        <v>2020</v>
      </c>
      <c r="W2" s="1">
        <v>2021</v>
      </c>
      <c r="X2" s="1">
        <v>2022</v>
      </c>
      <c r="Y2" s="1">
        <f>+X2+1</f>
        <v>2023</v>
      </c>
      <c r="Z2" s="1">
        <f>+Y2+1</f>
        <v>2024</v>
      </c>
      <c r="AA2" s="1">
        <f>+Z2+1</f>
        <v>2025</v>
      </c>
      <c r="AB2" s="1">
        <f>+AA2+1</f>
        <v>2026</v>
      </c>
      <c r="AC2" s="1">
        <f>+AB2+1</f>
        <v>2027</v>
      </c>
      <c r="AD2" s="1">
        <f>+AC2+1</f>
        <v>2028</v>
      </c>
      <c r="AE2" s="1">
        <f>+AD2+1</f>
        <v>2029</v>
      </c>
      <c r="AF2" s="1">
        <f>+AE2+1</f>
        <v>2030</v>
      </c>
    </row>
    <row r="3" spans="1:32" s="3" customFormat="1" x14ac:dyDescent="0.2">
      <c r="B3" s="17" t="s">
        <v>42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X3" s="3">
        <v>412296</v>
      </c>
      <c r="Y3" s="3">
        <v>312847</v>
      </c>
      <c r="Z3" s="3">
        <v>416348</v>
      </c>
    </row>
    <row r="4" spans="1:32" s="3" customFormat="1" x14ac:dyDescent="0.2">
      <c r="B4" s="17" t="s">
        <v>43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Y4" s="3">
        <v>15819</v>
      </c>
      <c r="Z4" s="3">
        <v>17248</v>
      </c>
    </row>
    <row r="5" spans="1:32" s="3" customFormat="1" x14ac:dyDescent="0.2">
      <c r="B5" s="17" t="s">
        <v>44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Y5" s="3">
        <v>33075</v>
      </c>
      <c r="Z5" s="3">
        <v>53360</v>
      </c>
    </row>
    <row r="7" spans="1:32" s="3" customFormat="1" x14ac:dyDescent="0.2">
      <c r="B7" s="7" t="s">
        <v>7</v>
      </c>
      <c r="C7" s="8"/>
      <c r="D7" s="8"/>
      <c r="E7" s="8"/>
      <c r="F7" s="8"/>
      <c r="G7" s="8"/>
      <c r="H7" s="8">
        <v>1961</v>
      </c>
      <c r="I7" s="8">
        <v>1949</v>
      </c>
      <c r="J7" s="8"/>
      <c r="K7" s="8"/>
      <c r="L7" s="8">
        <v>2411</v>
      </c>
      <c r="M7" s="8">
        <v>2543</v>
      </c>
      <c r="N7" s="8"/>
      <c r="O7" s="8"/>
      <c r="P7" s="8"/>
      <c r="Q7" s="8"/>
      <c r="R7" s="8"/>
      <c r="T7" s="3">
        <v>1785.0450000000001</v>
      </c>
      <c r="U7" s="3">
        <v>3420.6010000000001</v>
      </c>
      <c r="V7" s="3">
        <v>4741</v>
      </c>
      <c r="W7" s="3">
        <v>9851</v>
      </c>
      <c r="X7" s="3">
        <v>10254</v>
      </c>
      <c r="Y7" s="3">
        <v>7514</v>
      </c>
      <c r="Z7" s="3">
        <v>9681</v>
      </c>
    </row>
    <row r="8" spans="1:32" s="3" customFormat="1" x14ac:dyDescent="0.2">
      <c r="B8" s="7" t="s">
        <v>8</v>
      </c>
      <c r="C8" s="8"/>
      <c r="D8" s="8"/>
      <c r="E8" s="8"/>
      <c r="F8" s="8"/>
      <c r="G8" s="8"/>
      <c r="H8" s="8">
        <v>777</v>
      </c>
      <c r="I8" s="8">
        <v>610</v>
      </c>
      <c r="J8" s="8"/>
      <c r="K8" s="8"/>
      <c r="L8" s="8">
        <v>720</v>
      </c>
      <c r="M8" s="8">
        <v>786</v>
      </c>
      <c r="N8" s="8"/>
      <c r="O8" s="8"/>
      <c r="P8" s="8"/>
      <c r="Q8" s="8"/>
      <c r="R8" s="8"/>
      <c r="T8" s="3">
        <v>73.584000000000003</v>
      </c>
      <c r="U8" s="3">
        <v>267.58600000000001</v>
      </c>
      <c r="V8" s="3">
        <v>445</v>
      </c>
      <c r="W8" s="3">
        <v>1920</v>
      </c>
      <c r="X8" s="3">
        <v>2609</v>
      </c>
      <c r="Y8" s="3">
        <v>2504</v>
      </c>
      <c r="Z8" s="3">
        <v>2841</v>
      </c>
    </row>
    <row r="9" spans="1:32" s="3" customFormat="1" x14ac:dyDescent="0.2">
      <c r="B9" s="7" t="s">
        <v>9</v>
      </c>
      <c r="C9" s="8"/>
      <c r="D9" s="8"/>
      <c r="E9" s="8"/>
      <c r="F9" s="8"/>
      <c r="G9" s="8"/>
      <c r="H9" s="8">
        <v>230</v>
      </c>
      <c r="I9" s="8">
        <v>214</v>
      </c>
      <c r="J9" s="8"/>
      <c r="K9" s="8"/>
      <c r="L9" s="8">
        <v>279</v>
      </c>
      <c r="M9" s="8">
        <v>326</v>
      </c>
      <c r="N9" s="8"/>
      <c r="O9" s="8"/>
      <c r="P9" s="8"/>
      <c r="Q9" s="8"/>
      <c r="R9" s="8"/>
      <c r="T9" s="3">
        <v>96.837999999999994</v>
      </c>
      <c r="U9" s="3">
        <v>251.709</v>
      </c>
      <c r="V9" s="3">
        <v>401</v>
      </c>
      <c r="W9" s="3">
        <v>1043</v>
      </c>
      <c r="X9" s="3">
        <v>741</v>
      </c>
      <c r="Y9" s="3">
        <v>753</v>
      </c>
      <c r="Z9" s="3">
        <v>1151</v>
      </c>
    </row>
    <row r="10" spans="1:32" s="9" customFormat="1" x14ac:dyDescent="0.2">
      <c r="B10" s="10" t="s">
        <v>10</v>
      </c>
      <c r="C10" s="11"/>
      <c r="D10" s="11"/>
      <c r="E10" s="11"/>
      <c r="F10" s="11"/>
      <c r="G10" s="11"/>
      <c r="H10" s="11">
        <f>+H9+H8+H7</f>
        <v>2968</v>
      </c>
      <c r="I10" s="11">
        <f>+I9+I8+I7</f>
        <v>2773</v>
      </c>
      <c r="J10" s="11"/>
      <c r="K10" s="11"/>
      <c r="L10" s="11">
        <f>+L9+L8+L7</f>
        <v>3410</v>
      </c>
      <c r="M10" s="11">
        <f>+M9+M8+M7</f>
        <v>3655</v>
      </c>
      <c r="N10" s="11">
        <f>+N9+N8+N7</f>
        <v>0</v>
      </c>
      <c r="O10" s="11"/>
      <c r="P10" s="11"/>
      <c r="Q10" s="11"/>
      <c r="R10" s="11"/>
      <c r="T10" s="9">
        <f t="shared" ref="T10" si="0">+T9+T8+T7</f>
        <v>1955.4670000000001</v>
      </c>
      <c r="U10" s="9">
        <f t="shared" ref="U10" si="1">+U9+U8+U7</f>
        <v>3939.8960000000002</v>
      </c>
      <c r="V10" s="9">
        <f t="shared" ref="V10" si="2">+V9+V8+V7</f>
        <v>5587</v>
      </c>
      <c r="W10" s="9">
        <f t="shared" ref="W10" si="3">+W9+W8+W7</f>
        <v>12814</v>
      </c>
      <c r="X10" s="9">
        <f>+X9+X8+X7</f>
        <v>13604</v>
      </c>
      <c r="Y10" s="9">
        <f>+Y9+Y8+Y7</f>
        <v>10771</v>
      </c>
      <c r="Z10" s="9">
        <f>+Z9+Z8+Z7</f>
        <v>13673</v>
      </c>
    </row>
    <row r="11" spans="1:32" s="3" customFormat="1" x14ac:dyDescent="0.2">
      <c r="B11" s="7" t="s">
        <v>23</v>
      </c>
      <c r="C11" s="8"/>
      <c r="D11" s="8"/>
      <c r="E11" s="8"/>
      <c r="F11" s="8"/>
      <c r="G11" s="8"/>
      <c r="H11" s="8">
        <v>2695</v>
      </c>
      <c r="I11" s="8">
        <v>2291</v>
      </c>
      <c r="J11" s="8"/>
      <c r="K11" s="8"/>
      <c r="L11" s="8">
        <v>2695</v>
      </c>
      <c r="M11" s="8">
        <v>2848</v>
      </c>
      <c r="N11" s="8"/>
      <c r="O11" s="8"/>
      <c r="P11" s="8"/>
      <c r="Q11" s="8"/>
      <c r="R11" s="8"/>
      <c r="T11" s="3">
        <v>1758.758</v>
      </c>
      <c r="U11" s="3">
        <v>3433.482</v>
      </c>
      <c r="V11" s="3">
        <v>4793</v>
      </c>
      <c r="W11" s="3">
        <v>10885</v>
      </c>
      <c r="X11" s="3">
        <v>12358</v>
      </c>
      <c r="Y11" s="3">
        <v>9047</v>
      </c>
      <c r="Z11" s="3">
        <v>10797</v>
      </c>
    </row>
    <row r="12" spans="1:32" s="3" customFormat="1" x14ac:dyDescent="0.2">
      <c r="B12" s="7" t="s">
        <v>24</v>
      </c>
      <c r="C12" s="8"/>
      <c r="D12" s="8"/>
      <c r="E12" s="8"/>
      <c r="F12" s="8"/>
      <c r="G12" s="8"/>
      <c r="H12" s="8">
        <f>+H10-H11</f>
        <v>273</v>
      </c>
      <c r="I12" s="8">
        <f>+I10-I11</f>
        <v>482</v>
      </c>
      <c r="J12" s="8"/>
      <c r="K12" s="8"/>
      <c r="L12" s="8">
        <f>+L10-L11</f>
        <v>715</v>
      </c>
      <c r="M12" s="8">
        <f>+M10-M11</f>
        <v>807</v>
      </c>
      <c r="N12" s="8"/>
      <c r="O12" s="8"/>
      <c r="P12" s="8"/>
      <c r="Q12" s="8"/>
      <c r="R12" s="8"/>
      <c r="T12" s="3">
        <f t="shared" ref="T12" si="4">+T10-T11</f>
        <v>196.70900000000006</v>
      </c>
      <c r="U12" s="3">
        <f t="shared" ref="U12" si="5">+U10-U11</f>
        <v>506.41400000000021</v>
      </c>
      <c r="V12" s="3">
        <f t="shared" ref="V12" si="6">+V10-V11</f>
        <v>794</v>
      </c>
      <c r="W12" s="3">
        <f t="shared" ref="W12" si="7">+W10-W11</f>
        <v>1929</v>
      </c>
      <c r="X12" s="3">
        <f>+X10-X11</f>
        <v>1246</v>
      </c>
      <c r="Y12" s="3">
        <f>+Y10-Y11</f>
        <v>1724</v>
      </c>
      <c r="Z12" s="3">
        <f>+Z10-Z11</f>
        <v>2876</v>
      </c>
    </row>
    <row r="13" spans="1:32" s="3" customFormat="1" x14ac:dyDescent="0.2">
      <c r="B13" s="7" t="s">
        <v>25</v>
      </c>
      <c r="C13" s="8"/>
      <c r="D13" s="8"/>
      <c r="E13" s="8"/>
      <c r="F13" s="8"/>
      <c r="G13" s="8"/>
      <c r="H13" s="8">
        <v>455</v>
      </c>
      <c r="I13" s="8">
        <v>433</v>
      </c>
      <c r="J13" s="8"/>
      <c r="K13" s="8"/>
      <c r="L13" s="8">
        <v>455</v>
      </c>
      <c r="M13" s="8">
        <v>470</v>
      </c>
      <c r="N13" s="8"/>
      <c r="O13" s="8"/>
      <c r="P13" s="8"/>
      <c r="Q13" s="8"/>
      <c r="R13" s="8"/>
      <c r="T13" s="3">
        <v>425.25799999999998</v>
      </c>
      <c r="U13" s="3">
        <v>786.71699999999998</v>
      </c>
      <c r="V13" s="3">
        <v>1126</v>
      </c>
      <c r="W13" s="3">
        <v>2033</v>
      </c>
      <c r="X13" s="3">
        <v>2736</v>
      </c>
      <c r="Y13" s="3">
        <v>1796</v>
      </c>
      <c r="Z13" s="3">
        <v>1874</v>
      </c>
    </row>
    <row r="14" spans="1:32" s="3" customFormat="1" x14ac:dyDescent="0.2">
      <c r="B14" s="7" t="s">
        <v>27</v>
      </c>
      <c r="C14" s="8"/>
      <c r="D14" s="8"/>
      <c r="E14" s="8"/>
      <c r="F14" s="8"/>
      <c r="G14" s="8"/>
      <c r="H14" s="8">
        <f>+H12-H13</f>
        <v>-182</v>
      </c>
      <c r="I14" s="8">
        <f>+I12-I13</f>
        <v>49</v>
      </c>
      <c r="J14" s="8"/>
      <c r="K14" s="8"/>
      <c r="L14" s="8">
        <f>+L12-L13</f>
        <v>260</v>
      </c>
      <c r="M14" s="8">
        <f>+M12-M13</f>
        <v>337</v>
      </c>
      <c r="N14" s="8"/>
      <c r="O14" s="8"/>
      <c r="P14" s="8"/>
      <c r="Q14" s="8"/>
      <c r="R14" s="8"/>
      <c r="T14" s="3">
        <f t="shared" ref="T14" si="8">+T12-T13</f>
        <v>-228.54899999999992</v>
      </c>
      <c r="U14" s="3">
        <f t="shared" ref="U14" si="9">+U12-U13</f>
        <v>-280.30299999999977</v>
      </c>
      <c r="V14" s="3">
        <f t="shared" ref="V14" si="10">+V12-V13</f>
        <v>-332</v>
      </c>
      <c r="W14" s="3">
        <f t="shared" ref="W14" si="11">+W12-W13</f>
        <v>-104</v>
      </c>
      <c r="X14" s="3">
        <f>+X12-X13</f>
        <v>-1490</v>
      </c>
      <c r="Y14" s="3">
        <f>+Y12-Y13</f>
        <v>-72</v>
      </c>
      <c r="Z14" s="3">
        <f>+Z12-Z13</f>
        <v>1002</v>
      </c>
    </row>
    <row r="15" spans="1:32" s="3" customFormat="1" x14ac:dyDescent="0.2">
      <c r="B15" s="7" t="s">
        <v>26</v>
      </c>
      <c r="C15" s="8"/>
      <c r="D15" s="8"/>
      <c r="E15" s="8"/>
      <c r="F15" s="8"/>
      <c r="G15" s="8"/>
      <c r="H15" s="8">
        <f>-173-1-35</f>
        <v>-209</v>
      </c>
      <c r="I15" s="8">
        <v>-153</v>
      </c>
      <c r="J15" s="8"/>
      <c r="K15" s="8"/>
      <c r="L15" s="8">
        <f>-173-1-35</f>
        <v>-209</v>
      </c>
      <c r="M15" s="8">
        <v>-157</v>
      </c>
      <c r="N15" s="8"/>
      <c r="O15" s="8"/>
      <c r="P15" s="8"/>
      <c r="Q15" s="8"/>
      <c r="R15" s="8"/>
      <c r="T15" s="3">
        <v>-25.018000000000001</v>
      </c>
      <c r="U15" s="3">
        <v>-80.605999999999995</v>
      </c>
      <c r="V15" s="3">
        <v>-131</v>
      </c>
      <c r="W15" s="3">
        <v>-176</v>
      </c>
      <c r="X15" s="3">
        <v>-486</v>
      </c>
      <c r="Y15" s="3">
        <v>-632</v>
      </c>
      <c r="Z15" s="3">
        <v>-651</v>
      </c>
    </row>
    <row r="16" spans="1:32" s="3" customFormat="1" x14ac:dyDescent="0.2">
      <c r="B16" s="7" t="s">
        <v>28</v>
      </c>
      <c r="C16" s="8"/>
      <c r="D16" s="8"/>
      <c r="E16" s="8"/>
      <c r="F16" s="8"/>
      <c r="G16" s="8"/>
      <c r="H16" s="8">
        <f>+H14+H15</f>
        <v>-391</v>
      </c>
      <c r="I16" s="8">
        <f>+I14+I15</f>
        <v>-104</v>
      </c>
      <c r="J16" s="8"/>
      <c r="K16" s="8"/>
      <c r="L16" s="8">
        <f>+L14+L15</f>
        <v>51</v>
      </c>
      <c r="M16" s="8">
        <f>+M14+M15</f>
        <v>180</v>
      </c>
      <c r="N16" s="8"/>
      <c r="O16" s="8"/>
      <c r="P16" s="8"/>
      <c r="Q16" s="8"/>
      <c r="R16" s="8"/>
      <c r="T16" s="8">
        <f t="shared" ref="T16" si="12">+T14+T15</f>
        <v>-253.56699999999992</v>
      </c>
      <c r="U16" s="8">
        <f t="shared" ref="U16" si="13">+U14+U15</f>
        <v>-360.90899999999976</v>
      </c>
      <c r="V16" s="8">
        <f t="shared" ref="V16" si="14">+V14+V15</f>
        <v>-463</v>
      </c>
      <c r="W16" s="8">
        <f t="shared" ref="W16" si="15">+W14+W15</f>
        <v>-280</v>
      </c>
      <c r="X16" s="8">
        <f t="shared" ref="X16:Z16" si="16">+X14+X15</f>
        <v>-1976</v>
      </c>
      <c r="Y16" s="8">
        <f t="shared" si="16"/>
        <v>-704</v>
      </c>
      <c r="Z16" s="8">
        <f t="shared" si="16"/>
        <v>351</v>
      </c>
    </row>
    <row r="17" spans="2:26" s="3" customFormat="1" x14ac:dyDescent="0.2">
      <c r="B17" s="7" t="s">
        <v>29</v>
      </c>
      <c r="C17" s="8"/>
      <c r="D17" s="8"/>
      <c r="E17" s="8"/>
      <c r="F17" s="8"/>
      <c r="G17" s="8"/>
      <c r="H17" s="8">
        <f>1+30</f>
        <v>31</v>
      </c>
      <c r="I17" s="8">
        <v>29</v>
      </c>
      <c r="J17" s="8"/>
      <c r="K17" s="8"/>
      <c r="L17" s="8">
        <f>1+30</f>
        <v>31</v>
      </c>
      <c r="M17" s="8">
        <v>0</v>
      </c>
      <c r="N17" s="8"/>
      <c r="O17" s="8"/>
      <c r="P17" s="8"/>
      <c r="Q17" s="8"/>
      <c r="R17" s="8"/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2:26" s="3" customFormat="1" x14ac:dyDescent="0.2">
      <c r="B18" s="7" t="s">
        <v>30</v>
      </c>
      <c r="C18" s="8"/>
      <c r="D18" s="8"/>
      <c r="E18" s="8"/>
      <c r="F18" s="8"/>
      <c r="G18" s="8"/>
      <c r="H18" s="8">
        <f>+H16-H17</f>
        <v>-422</v>
      </c>
      <c r="I18" s="8">
        <f>+I16-I17</f>
        <v>-133</v>
      </c>
      <c r="J18" s="8"/>
      <c r="K18" s="8"/>
      <c r="L18" s="8">
        <f>+L16-L17</f>
        <v>20</v>
      </c>
      <c r="M18" s="8">
        <f>+M16-M17</f>
        <v>180</v>
      </c>
      <c r="N18" s="8"/>
      <c r="O18" s="8"/>
      <c r="P18" s="8"/>
      <c r="Q18" s="8"/>
      <c r="R18" s="8"/>
      <c r="T18" s="8">
        <f t="shared" ref="T18" si="17">+T16-T17</f>
        <v>-253.56699999999992</v>
      </c>
      <c r="U18" s="8">
        <f t="shared" ref="U18" si="18">+U16-U17</f>
        <v>-360.90899999999976</v>
      </c>
      <c r="V18" s="8">
        <f t="shared" ref="V18" si="19">+V16-V17</f>
        <v>-463</v>
      </c>
      <c r="W18" s="8">
        <f t="shared" ref="W18" si="20">+W16-W17</f>
        <v>-280</v>
      </c>
      <c r="X18" s="8">
        <f t="shared" ref="X18:Z18" si="21">+X16-X17</f>
        <v>-1976</v>
      </c>
      <c r="Y18" s="8">
        <f t="shared" si="21"/>
        <v>-704</v>
      </c>
      <c r="Z18" s="8">
        <f t="shared" si="21"/>
        <v>351</v>
      </c>
    </row>
    <row r="19" spans="2:26" s="3" customFormat="1" x14ac:dyDescent="0.2">
      <c r="B19" s="7" t="s">
        <v>31</v>
      </c>
      <c r="C19" s="8"/>
      <c r="D19" s="8"/>
      <c r="E19" s="8"/>
      <c r="F19" s="8"/>
      <c r="G19" s="8"/>
      <c r="H19" s="12">
        <f>+H18/H20</f>
        <v>-3.9728116586017963</v>
      </c>
      <c r="I19" s="12">
        <f>+I18/I20</f>
        <v>-0.64576272832325032</v>
      </c>
      <c r="J19" s="8"/>
      <c r="K19" s="8"/>
      <c r="L19" s="12">
        <f>+L18/L20</f>
        <v>0.1556844276651228</v>
      </c>
      <c r="M19" s="12">
        <f>+M18/M20</f>
        <v>1.3477593500804912</v>
      </c>
      <c r="N19" s="8"/>
      <c r="O19" s="8"/>
      <c r="P19" s="8"/>
      <c r="Q19" s="8"/>
      <c r="R19" s="8"/>
      <c r="T19" s="12">
        <f t="shared" ref="T19" si="22">+T18/T20</f>
        <v>-8.440135805345669</v>
      </c>
      <c r="U19" s="12">
        <f t="shared" ref="U19" si="23">+U18/U20</f>
        <v>-7.7039938523277849</v>
      </c>
      <c r="V19" s="12">
        <f t="shared" ref="V19" si="24">+V18/V20</f>
        <v>-7.1251596620550632</v>
      </c>
      <c r="W19" s="12">
        <f t="shared" ref="W19" si="25">+W18/W20</f>
        <v>-3.3814383189420925</v>
      </c>
      <c r="X19" s="12">
        <f t="shared" ref="X19:Z19" si="26">+X18/X20</f>
        <v>-19.597730789066528</v>
      </c>
      <c r="Y19" s="12">
        <f t="shared" si="26"/>
        <v>-3.5098565146725962</v>
      </c>
      <c r="Z19" s="12">
        <f t="shared" si="26"/>
        <v>2.6549475818041541</v>
      </c>
    </row>
    <row r="20" spans="2:26" s="3" customFormat="1" x14ac:dyDescent="0.2">
      <c r="B20" s="7" t="s">
        <v>0</v>
      </c>
      <c r="C20" s="8"/>
      <c r="D20" s="8"/>
      <c r="E20" s="8"/>
      <c r="F20" s="8"/>
      <c r="G20" s="8"/>
      <c r="H20" s="8">
        <v>106.22199999999999</v>
      </c>
      <c r="I20" s="8">
        <v>205.958</v>
      </c>
      <c r="J20" s="8"/>
      <c r="K20" s="8"/>
      <c r="L20" s="8">
        <v>128.465</v>
      </c>
      <c r="M20" s="8">
        <v>133.55500000000001</v>
      </c>
      <c r="N20" s="8"/>
      <c r="O20" s="8"/>
      <c r="P20" s="8"/>
      <c r="Q20" s="8"/>
      <c r="R20" s="8"/>
      <c r="T20" s="3">
        <v>30.042999999999999</v>
      </c>
      <c r="U20" s="3">
        <v>46.847000000000001</v>
      </c>
      <c r="V20" s="3">
        <v>64.980999999999995</v>
      </c>
      <c r="W20" s="3">
        <v>82.805000000000007</v>
      </c>
      <c r="X20" s="3">
        <v>100.828</v>
      </c>
      <c r="Y20" s="3">
        <v>200.578</v>
      </c>
      <c r="Z20" s="3">
        <v>132.20599999999999</v>
      </c>
    </row>
    <row r="23" spans="2:26" x14ac:dyDescent="0.2">
      <c r="B23" s="14" t="s">
        <v>35</v>
      </c>
      <c r="L23" s="6">
        <f>+L10/H10-1</f>
        <v>0.14892183288409711</v>
      </c>
      <c r="M23" s="6">
        <f>+M10/I10-1</f>
        <v>0.31806707536963574</v>
      </c>
      <c r="U23" s="18">
        <f t="shared" ref="U23:Z23" si="27">+U10/T10-1</f>
        <v>1.0148107843292675</v>
      </c>
      <c r="V23" s="18">
        <f t="shared" si="27"/>
        <v>0.41805773553413594</v>
      </c>
      <c r="W23" s="18">
        <f t="shared" si="27"/>
        <v>1.2935385716842669</v>
      </c>
      <c r="X23" s="18">
        <f t="shared" si="27"/>
        <v>6.1651318869985872E-2</v>
      </c>
      <c r="Y23" s="18">
        <f t="shared" si="27"/>
        <v>-0.20824757424286977</v>
      </c>
      <c r="Z23" s="18">
        <f>+Z10/Y10-1</f>
        <v>0.26942716553709034</v>
      </c>
    </row>
    <row r="30" spans="2:26" s="3" customFormat="1" x14ac:dyDescent="0.2">
      <c r="B30" s="19" t="s">
        <v>33</v>
      </c>
      <c r="C30" s="8"/>
      <c r="D30" s="8"/>
      <c r="E30" s="8"/>
      <c r="F30" s="8"/>
      <c r="G30" s="8"/>
      <c r="H30" s="8"/>
      <c r="I30" s="8"/>
      <c r="J30" s="8"/>
      <c r="K30" s="8"/>
      <c r="L30" s="8">
        <v>455</v>
      </c>
      <c r="M30" s="8"/>
      <c r="N30" s="8"/>
      <c r="O30" s="8"/>
      <c r="P30" s="8"/>
      <c r="Q30" s="8"/>
      <c r="R30" s="8"/>
      <c r="T30" s="3">
        <v>-414.34</v>
      </c>
      <c r="U30" s="3">
        <v>-757.13400000000001</v>
      </c>
      <c r="V30" s="3">
        <v>-608</v>
      </c>
      <c r="W30" s="3">
        <v>-2594</v>
      </c>
      <c r="X30" s="3">
        <v>-1324</v>
      </c>
      <c r="Y30" s="3">
        <v>803</v>
      </c>
      <c r="Z30" s="3">
        <v>918</v>
      </c>
    </row>
    <row r="31" spans="2:26" s="3" customFormat="1" x14ac:dyDescent="0.2">
      <c r="B31" s="19" t="s">
        <v>34</v>
      </c>
      <c r="C31" s="8"/>
      <c r="D31" s="8"/>
      <c r="E31" s="8"/>
      <c r="F31" s="8"/>
      <c r="G31" s="8"/>
      <c r="H31" s="8"/>
      <c r="I31" s="8"/>
      <c r="J31" s="8"/>
      <c r="K31" s="8"/>
      <c r="L31" s="8">
        <v>40</v>
      </c>
      <c r="M31" s="8"/>
      <c r="N31" s="8"/>
      <c r="O31" s="8"/>
      <c r="P31" s="8"/>
      <c r="Q31" s="8"/>
      <c r="R31" s="8"/>
      <c r="T31" s="3">
        <v>-143.66800000000001</v>
      </c>
      <c r="U31" s="3">
        <v>-230.53800000000001</v>
      </c>
      <c r="V31" s="3">
        <v>-360</v>
      </c>
      <c r="W31" s="3">
        <v>-557</v>
      </c>
      <c r="X31" s="3">
        <v>-512</v>
      </c>
      <c r="Y31" s="3">
        <v>-87</v>
      </c>
      <c r="Z31" s="3">
        <v>-91</v>
      </c>
    </row>
    <row r="32" spans="2:26" s="9" customFormat="1" x14ac:dyDescent="0.2">
      <c r="B32" s="10" t="s">
        <v>32</v>
      </c>
      <c r="C32" s="11"/>
      <c r="D32" s="11"/>
      <c r="E32" s="11"/>
      <c r="F32" s="11"/>
      <c r="G32" s="11"/>
      <c r="H32" s="11"/>
      <c r="I32" s="11"/>
      <c r="J32" s="11"/>
      <c r="K32" s="11"/>
      <c r="L32" s="11">
        <f>+L30-L31</f>
        <v>415</v>
      </c>
      <c r="M32" s="11"/>
      <c r="N32" s="11"/>
      <c r="O32" s="11"/>
      <c r="P32" s="11"/>
      <c r="Q32" s="11"/>
      <c r="R32" s="11"/>
      <c r="T32" s="9">
        <f t="shared" ref="T32" si="28">+T30+T31</f>
        <v>-558.00800000000004</v>
      </c>
      <c r="U32" s="9">
        <f t="shared" ref="U32" si="29">+U30+U31</f>
        <v>-987.67200000000003</v>
      </c>
      <c r="V32" s="9">
        <f t="shared" ref="V32" si="30">+V30+V31</f>
        <v>-968</v>
      </c>
      <c r="W32" s="9">
        <f t="shared" ref="W32" si="31">+W30+W31</f>
        <v>-3151</v>
      </c>
      <c r="X32" s="9">
        <f>+X30+X31</f>
        <v>-1836</v>
      </c>
      <c r="Y32" s="9">
        <f>+Y30+Y31</f>
        <v>716</v>
      </c>
      <c r="Z32" s="9">
        <f>+Z30+Z31</f>
        <v>827</v>
      </c>
    </row>
    <row r="34" spans="2:26" s="3" customFormat="1" x14ac:dyDescent="0.2">
      <c r="B34" s="17" t="s">
        <v>49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T34" s="3">
        <v>-1259.539</v>
      </c>
      <c r="U34" s="3">
        <v>-2625.3510000000001</v>
      </c>
      <c r="V34" s="3">
        <v>-3579</v>
      </c>
      <c r="W34" s="3">
        <v>-7306</v>
      </c>
      <c r="X34" s="3">
        <v>-7214</v>
      </c>
      <c r="Y34" s="3">
        <v>-6041</v>
      </c>
      <c r="Z34" s="3">
        <v>-8329</v>
      </c>
    </row>
    <row r="35" spans="2:26" s="3" customFormat="1" x14ac:dyDescent="0.2">
      <c r="B35" s="17" t="s">
        <v>50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T35" s="3">
        <v>1633.519</v>
      </c>
      <c r="U35" s="3">
        <v>2643.9119999999998</v>
      </c>
      <c r="V35" s="3">
        <v>3634</v>
      </c>
      <c r="W35" s="3">
        <v>7391</v>
      </c>
      <c r="X35" s="3">
        <v>6297</v>
      </c>
      <c r="Y35" s="3">
        <v>6594</v>
      </c>
      <c r="Z35" s="3">
        <v>8805</v>
      </c>
    </row>
    <row r="36" spans="2:26" s="9" customFormat="1" x14ac:dyDescent="0.2">
      <c r="B36" s="10" t="s">
        <v>51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T36" s="9">
        <f t="shared" ref="T36" si="32">+T34+T35</f>
        <v>373.98</v>
      </c>
      <c r="U36" s="9">
        <f t="shared" ref="U36" si="33">+U34+U35</f>
        <v>18.560999999999694</v>
      </c>
      <c r="V36" s="9">
        <f t="shared" ref="V36" si="34">+V34+V35</f>
        <v>55</v>
      </c>
      <c r="W36" s="9">
        <f t="shared" ref="W36" si="35">+W34+W35</f>
        <v>85</v>
      </c>
      <c r="X36" s="9">
        <f>+X34+X35</f>
        <v>-917</v>
      </c>
      <c r="Y36" s="9">
        <f>+Y34+Y35</f>
        <v>553</v>
      </c>
      <c r="Z36" s="9">
        <f>+Z34+Z35</f>
        <v>476</v>
      </c>
    </row>
  </sheetData>
  <hyperlinks>
    <hyperlink ref="A1" location="Main!A1" display="Main" xr:uid="{B4EC8B13-5E69-4E39-A092-32DFE93B8D1E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2024-10-21T20:36:42Z</dcterms:created>
  <dcterms:modified xsi:type="dcterms:W3CDTF">2025-03-19T19:15:06Z</dcterms:modified>
</cp:coreProperties>
</file>