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D02A696-5379-452A-AA94-EAC41D1181D3}" xr6:coauthVersionLast="47" xr6:coauthVersionMax="47" xr10:uidLastSave="{00000000-0000-0000-0000-000000000000}"/>
  <bookViews>
    <workbookView xWindow="7155" yWindow="1350" windowWidth="21600" windowHeight="11295" firstSheet="2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Elevidys" sheetId="139" r:id="rId10"/>
    <sheet name="Evrysdi" sheetId="138" r:id="rId11"/>
    <sheet name="MabThera" sheetId="115" r:id="rId12"/>
    <sheet name="Hemlibra" sheetId="134" r:id="rId13"/>
    <sheet name="Avastin" sheetId="113" r:id="rId14"/>
    <sheet name="Avastin Model" sheetId="128" r:id="rId15"/>
    <sheet name="Polivy" sheetId="133" r:id="rId16"/>
    <sheet name="Herceptin" sheetId="118" r:id="rId17"/>
    <sheet name="Pegasys" sheetId="119" r:id="rId18"/>
    <sheet name="Xeloda" sheetId="127" r:id="rId19"/>
    <sheet name="tiragolumab" sheetId="135" r:id="rId20"/>
    <sheet name="Actemra" sheetId="112" r:id="rId21"/>
    <sheet name="Lucentis" sheetId="123" r:id="rId22"/>
    <sheet name="Perjeta" sheetId="117" r:id="rId23"/>
    <sheet name="Ocrevus" sheetId="126" r:id="rId24"/>
    <sheet name="Kadcyla" sheetId="130" r:id="rId25"/>
    <sheet name="Mircera" sheetId="102" r:id="rId26"/>
    <sheet name="Tarceva" sheetId="122" r:id="rId27"/>
    <sheet name="Failures" sheetId="125" r:id="rId28"/>
    <sheet name="dalcetrapib" sheetId="111" r:id="rId29"/>
    <sheet name="aleglitazar" sheetId="120" r:id="rId30"/>
    <sheet name="R1626" sheetId="114" r:id="rId31"/>
    <sheet name="taspoglutide" sheetId="116" r:id="rId32"/>
  </sheets>
  <externalReferences>
    <externalReference r:id="rId33"/>
    <externalReference r:id="rId34"/>
    <externalReference r:id="rId35"/>
    <externalReference r:id="rId36"/>
    <externalReference r:id="rId37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01" l="1"/>
  <c r="FH191" i="99"/>
  <c r="FH195" i="99" s="1"/>
  <c r="FH197" i="99" s="1"/>
  <c r="FH188" i="99"/>
  <c r="FH186" i="99"/>
  <c r="FH184" i="99"/>
  <c r="FH189" i="99"/>
  <c r="FH182" i="99"/>
  <c r="FH175" i="99"/>
  <c r="FI195" i="99"/>
  <c r="FI191" i="99"/>
  <c r="FI189" i="99"/>
  <c r="FI197" i="99" s="1"/>
  <c r="FI188" i="99"/>
  <c r="FI186" i="99"/>
  <c r="FI187" i="99"/>
  <c r="FI184" i="99"/>
  <c r="FI182" i="99"/>
  <c r="FI175" i="99"/>
  <c r="FI173" i="99"/>
  <c r="FI168" i="99"/>
  <c r="FI169" i="99"/>
  <c r="FI165" i="99"/>
  <c r="FI156" i="99"/>
  <c r="FI161" i="99"/>
  <c r="FI154" i="99"/>
  <c r="FI163" i="99" s="1"/>
  <c r="FI153" i="99"/>
  <c r="FJ22" i="99"/>
  <c r="FK22" i="99" s="1"/>
  <c r="FL22" i="99" s="1"/>
  <c r="FM22" i="99" s="1"/>
  <c r="FN22" i="99" s="1"/>
  <c r="FO22" i="99" s="1"/>
  <c r="FP22" i="99" s="1"/>
  <c r="FQ22" i="99" s="1"/>
  <c r="FR22" i="99" s="1"/>
  <c r="FS22" i="99" s="1"/>
  <c r="FT22" i="99" s="1"/>
  <c r="FJ20" i="99"/>
  <c r="FK20" i="99" s="1"/>
  <c r="FL20" i="99" s="1"/>
  <c r="FM20" i="99" s="1"/>
  <c r="FN20" i="99" s="1"/>
  <c r="FO20" i="99" s="1"/>
  <c r="FP20" i="99" s="1"/>
  <c r="FQ20" i="99" s="1"/>
  <c r="FR20" i="99" s="1"/>
  <c r="FS20" i="99" s="1"/>
  <c r="FT20" i="99" s="1"/>
  <c r="FJ18" i="99"/>
  <c r="FK18" i="99" s="1"/>
  <c r="FL18" i="99" s="1"/>
  <c r="FM18" i="99" s="1"/>
  <c r="FN18" i="99" s="1"/>
  <c r="FO18" i="99" s="1"/>
  <c r="FP18" i="99" s="1"/>
  <c r="FQ18" i="99" s="1"/>
  <c r="FR18" i="99" s="1"/>
  <c r="FS18" i="99" s="1"/>
  <c r="FT18" i="99" s="1"/>
  <c r="FI71" i="99"/>
  <c r="DZ3" i="99"/>
  <c r="EC69" i="99"/>
  <c r="EC68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4" i="99"/>
  <c r="EC43" i="99"/>
  <c r="EC42" i="99"/>
  <c r="EC35" i="99"/>
  <c r="EC31" i="99"/>
  <c r="EC30" i="99"/>
  <c r="EC24" i="99"/>
  <c r="DZ71" i="99"/>
  <c r="FI3" i="99"/>
  <c r="EA34" i="99"/>
  <c r="EB34" i="99" s="1"/>
  <c r="EC34" i="99" s="1"/>
  <c r="EA33" i="99"/>
  <c r="EB33" i="99" s="1"/>
  <c r="EC33" i="99" s="1"/>
  <c r="EA45" i="99"/>
  <c r="EB45" i="99" s="1"/>
  <c r="EC45" i="99" s="1"/>
  <c r="EA37" i="99"/>
  <c r="EB37" i="99" s="1"/>
  <c r="EC37" i="99" s="1"/>
  <c r="EA38" i="99"/>
  <c r="EB38" i="99" s="1"/>
  <c r="EC38" i="99" s="1"/>
  <c r="EA40" i="99"/>
  <c r="EB40" i="99" s="1"/>
  <c r="EC40" i="99" s="1"/>
  <c r="EA41" i="99"/>
  <c r="EB41" i="99" s="1"/>
  <c r="EC41" i="99" s="1"/>
  <c r="EA39" i="99"/>
  <c r="EB39" i="99" s="1"/>
  <c r="EC39" i="99" s="1"/>
  <c r="EA36" i="99"/>
  <c r="EC36" i="99" s="1"/>
  <c r="EA32" i="99"/>
  <c r="EB32" i="99" s="1"/>
  <c r="EC32" i="99" s="1"/>
  <c r="EA29" i="99"/>
  <c r="EB29" i="99" s="1"/>
  <c r="EC29" i="99" s="1"/>
  <c r="EA28" i="99"/>
  <c r="EB28" i="99" s="1"/>
  <c r="EC28" i="99" s="1"/>
  <c r="EA27" i="99"/>
  <c r="EB27" i="99" s="1"/>
  <c r="EC27" i="99" s="1"/>
  <c r="EA26" i="99"/>
  <c r="EB26" i="99" s="1"/>
  <c r="EC26" i="99" s="1"/>
  <c r="EA25" i="99"/>
  <c r="EB25" i="99" s="1"/>
  <c r="EC25" i="99" s="1"/>
  <c r="EA22" i="99"/>
  <c r="EB22" i="99" s="1"/>
  <c r="EC22" i="99" s="1"/>
  <c r="EA21" i="99"/>
  <c r="EB21" i="99" s="1"/>
  <c r="EC21" i="99" s="1"/>
  <c r="EA20" i="99"/>
  <c r="EB20" i="99" s="1"/>
  <c r="EC20" i="99" s="1"/>
  <c r="EA19" i="99"/>
  <c r="EB19" i="99" s="1"/>
  <c r="EC19" i="99" s="1"/>
  <c r="EA18" i="99"/>
  <c r="EB18" i="99" s="1"/>
  <c r="EC18" i="99" s="1"/>
  <c r="EA17" i="99"/>
  <c r="EB17" i="99" s="1"/>
  <c r="EC17" i="99" s="1"/>
  <c r="EA16" i="99"/>
  <c r="EB16" i="99" s="1"/>
  <c r="EC16" i="99" s="1"/>
  <c r="EA15" i="99"/>
  <c r="EB15" i="99" s="1"/>
  <c r="EC15" i="99" s="1"/>
  <c r="EA14" i="99"/>
  <c r="EB14" i="99" s="1"/>
  <c r="EC14" i="99" s="1"/>
  <c r="EA13" i="99"/>
  <c r="EB13" i="99" s="1"/>
  <c r="EC13" i="99" s="1"/>
  <c r="EA12" i="99"/>
  <c r="EB12" i="99" s="1"/>
  <c r="EC12" i="99" s="1"/>
  <c r="EA11" i="99"/>
  <c r="EB11" i="99" s="1"/>
  <c r="EC11" i="99" s="1"/>
  <c r="EA10" i="99"/>
  <c r="EB10" i="99" s="1"/>
  <c r="EC10" i="99" s="1"/>
  <c r="EA9" i="99"/>
  <c r="EB9" i="99" s="1"/>
  <c r="EC9" i="99" s="1"/>
  <c r="EB23" i="99"/>
  <c r="EC23" i="99" s="1"/>
  <c r="FH36" i="99"/>
  <c r="FH169" i="99"/>
  <c r="FH168" i="99"/>
  <c r="FH165" i="99"/>
  <c r="FH161" i="99"/>
  <c r="FH156" i="99"/>
  <c r="FH154" i="99"/>
  <c r="FG87" i="99"/>
  <c r="FH81" i="99"/>
  <c r="FH79" i="99"/>
  <c r="FG83" i="99"/>
  <c r="FH62" i="99"/>
  <c r="FH61" i="99"/>
  <c r="FH60" i="99"/>
  <c r="FH59" i="99"/>
  <c r="FH58" i="99"/>
  <c r="FH57" i="99"/>
  <c r="FH56" i="99"/>
  <c r="FH55" i="99"/>
  <c r="FH6" i="99"/>
  <c r="DY24" i="99"/>
  <c r="FH24" i="99" s="1"/>
  <c r="DY20" i="99"/>
  <c r="FH20" i="99" s="1"/>
  <c r="DY27" i="99"/>
  <c r="FH27" i="99" s="1"/>
  <c r="DY23" i="99"/>
  <c r="FH23" i="99" s="1"/>
  <c r="DY26" i="99"/>
  <c r="FH26" i="99" s="1"/>
  <c r="DY29" i="99"/>
  <c r="FH29" i="99" s="1"/>
  <c r="DY17" i="99"/>
  <c r="FH17" i="99" s="1"/>
  <c r="DY25" i="99"/>
  <c r="FH25" i="99" s="1"/>
  <c r="DY19" i="99"/>
  <c r="FH19" i="99" s="1"/>
  <c r="DY21" i="99"/>
  <c r="FH21" i="99" s="1"/>
  <c r="DY22" i="99"/>
  <c r="FH22" i="99" s="1"/>
  <c r="DY18" i="99"/>
  <c r="FH18" i="99" s="1"/>
  <c r="DY16" i="99"/>
  <c r="FH16" i="99" s="1"/>
  <c r="DY15" i="99"/>
  <c r="FH15" i="99" s="1"/>
  <c r="DY14" i="99"/>
  <c r="FH14" i="99" s="1"/>
  <c r="DY13" i="99"/>
  <c r="FH13" i="99" s="1"/>
  <c r="DY12" i="99"/>
  <c r="FH12" i="99" s="1"/>
  <c r="DY11" i="99"/>
  <c r="FH11" i="99" s="1"/>
  <c r="DY10" i="99"/>
  <c r="FH10" i="99" s="1"/>
  <c r="DY9" i="99"/>
  <c r="FH9" i="99" s="1"/>
  <c r="FG28" i="99"/>
  <c r="FG17" i="99"/>
  <c r="FG26" i="99"/>
  <c r="FG19" i="99"/>
  <c r="FG30" i="99"/>
  <c r="FG25" i="99"/>
  <c r="FG24" i="99"/>
  <c r="FG21" i="99"/>
  <c r="FG15" i="99"/>
  <c r="FG23" i="99"/>
  <c r="FG16" i="99"/>
  <c r="FG18" i="99"/>
  <c r="FG20" i="99"/>
  <c r="FG22" i="99"/>
  <c r="FG14" i="99"/>
  <c r="FG12" i="99"/>
  <c r="FG10" i="99"/>
  <c r="FG11" i="99"/>
  <c r="FG9" i="99"/>
  <c r="FG6" i="99"/>
  <c r="FG29" i="99"/>
  <c r="FG27" i="99"/>
  <c r="DX3" i="99"/>
  <c r="DW3" i="99"/>
  <c r="DV3" i="99"/>
  <c r="DQ3" i="99"/>
  <c r="DP3" i="99"/>
  <c r="DO3" i="99"/>
  <c r="DN3" i="99"/>
  <c r="DT3" i="99"/>
  <c r="DS3" i="99"/>
  <c r="FH3" i="99" l="1"/>
  <c r="FG3" i="99"/>
  <c r="FH71" i="99"/>
  <c r="FI103" i="99" s="1"/>
  <c r="EA71" i="99"/>
  <c r="EB71" i="99"/>
  <c r="DY3" i="99"/>
  <c r="DY71" i="99"/>
  <c r="EC71" i="99"/>
  <c r="FH153" i="99"/>
  <c r="FH163" i="99"/>
  <c r="FH173" i="99"/>
  <c r="FG71" i="99"/>
  <c r="DU3" i="99"/>
  <c r="FF109" i="99"/>
  <c r="FE81" i="99"/>
  <c r="FE79" i="99"/>
  <c r="FF81" i="99"/>
  <c r="FF79" i="99"/>
  <c r="FE70" i="99"/>
  <c r="FF70" i="99"/>
  <c r="FF20" i="99"/>
  <c r="FE20" i="99"/>
  <c r="DR3" i="99"/>
  <c r="FH74" i="99" l="1"/>
  <c r="FH80" i="99" s="1"/>
  <c r="FH83" i="99" s="1"/>
  <c r="FH85" i="99" s="1"/>
  <c r="FH87" i="99" s="1"/>
  <c r="FH103" i="99"/>
  <c r="FE3" i="99"/>
  <c r="FF3" i="99"/>
  <c r="FF71" i="99"/>
  <c r="FF94" i="99" s="1"/>
  <c r="FE71" i="99"/>
  <c r="FE74" i="99" s="1"/>
  <c r="FE93" i="99" s="1"/>
  <c r="ES20" i="99"/>
  <c r="ET20" i="99"/>
  <c r="EW20" i="99"/>
  <c r="EX20" i="99"/>
  <c r="FF96" i="99" l="1"/>
  <c r="FG103" i="99"/>
  <c r="FF95" i="99"/>
  <c r="FF74" i="99"/>
  <c r="FF103" i="99"/>
  <c r="FF80" i="99"/>
  <c r="FF93" i="99"/>
  <c r="EX64" i="99"/>
  <c r="EW64" i="99"/>
  <c r="EX11" i="99"/>
  <c r="EW11" i="99"/>
  <c r="EX63" i="99"/>
  <c r="EY63" i="99" s="1"/>
  <c r="EZ63" i="99" s="1"/>
  <c r="FA63" i="99" s="1"/>
  <c r="FB63" i="99" s="1"/>
  <c r="FC63" i="99" s="1"/>
  <c r="EW63" i="99"/>
  <c r="EX62" i="99"/>
  <c r="EW62" i="99"/>
  <c r="EX61" i="99"/>
  <c r="EW61" i="99"/>
  <c r="EX60" i="99"/>
  <c r="EW60" i="99"/>
  <c r="EX59" i="99"/>
  <c r="EW59" i="99"/>
  <c r="EX58" i="99"/>
  <c r="EW58" i="99"/>
  <c r="EX57" i="99"/>
  <c r="EW57" i="99"/>
  <c r="EX56" i="99"/>
  <c r="EW56" i="99"/>
  <c r="EX55" i="99"/>
  <c r="EW55" i="99"/>
  <c r="EX54" i="99"/>
  <c r="EY54" i="99" s="1"/>
  <c r="EZ54" i="99" s="1"/>
  <c r="FA54" i="99" s="1"/>
  <c r="FB54" i="99" s="1"/>
  <c r="FC54" i="99" s="1"/>
  <c r="EW54" i="99"/>
  <c r="EX53" i="99"/>
  <c r="EW53" i="99"/>
  <c r="EX25" i="99"/>
  <c r="EW25" i="99"/>
  <c r="EX27" i="99"/>
  <c r="EW27" i="99"/>
  <c r="EX51" i="99"/>
  <c r="EW51" i="99"/>
  <c r="EX50" i="99"/>
  <c r="EY50" i="99" s="1"/>
  <c r="EZ50" i="99" s="1"/>
  <c r="FA50" i="99" s="1"/>
  <c r="FB50" i="99" s="1"/>
  <c r="FC50" i="99" s="1"/>
  <c r="FD50" i="99" s="1"/>
  <c r="EW50" i="99"/>
  <c r="EX15" i="99"/>
  <c r="EW15" i="99"/>
  <c r="EX28" i="99"/>
  <c r="EW28" i="99"/>
  <c r="EX49" i="99"/>
  <c r="EW49" i="99"/>
  <c r="EX14" i="99"/>
  <c r="EW14" i="99"/>
  <c r="EX47" i="99"/>
  <c r="EW47" i="99"/>
  <c r="EX46" i="99"/>
  <c r="EW46" i="99"/>
  <c r="EX44" i="99"/>
  <c r="EW44" i="99"/>
  <c r="EX43" i="99"/>
  <c r="EW43" i="99"/>
  <c r="EX24" i="99"/>
  <c r="EW24" i="99"/>
  <c r="EX18" i="99"/>
  <c r="EW18" i="99"/>
  <c r="EW22" i="99"/>
  <c r="EV62" i="99"/>
  <c r="EV61" i="99"/>
  <c r="EV60" i="99"/>
  <c r="EV59" i="99"/>
  <c r="EV58" i="99"/>
  <c r="EV57" i="99"/>
  <c r="EV56" i="99"/>
  <c r="EV55" i="99"/>
  <c r="EX22" i="99"/>
  <c r="ET22" i="99"/>
  <c r="ES22" i="99"/>
  <c r="EP22" i="99"/>
  <c r="EO22" i="99"/>
  <c r="FF97" i="99" l="1"/>
  <c r="FF83" i="99"/>
  <c r="EU93" i="99"/>
  <c r="EV81" i="99"/>
  <c r="EV79" i="99"/>
  <c r="EV8" i="99"/>
  <c r="EV7" i="99"/>
  <c r="EV6" i="99"/>
  <c r="EV5" i="99"/>
  <c r="EV4" i="99"/>
  <c r="EV53" i="99"/>
  <c r="EY53" i="99" s="1"/>
  <c r="EZ53" i="99" s="1"/>
  <c r="FA53" i="99" s="1"/>
  <c r="FB53" i="99" s="1"/>
  <c r="FC53" i="99" s="1"/>
  <c r="FD53" i="99" s="1"/>
  <c r="EV52" i="99"/>
  <c r="CC70" i="99"/>
  <c r="CC71" i="99" s="1"/>
  <c r="CB70" i="99"/>
  <c r="CB71" i="99" s="1"/>
  <c r="BZ70" i="99"/>
  <c r="V14" i="99"/>
  <c r="V53" i="99"/>
  <c r="V52" i="99"/>
  <c r="BY70" i="99"/>
  <c r="BY71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V47" i="99" s="1"/>
  <c r="FF99" i="99" l="1"/>
  <c r="FF98" i="99"/>
  <c r="FF85" i="99"/>
  <c r="FF87" i="99" s="1"/>
  <c r="FF100" i="99" s="1"/>
  <c r="BZ71" i="99"/>
  <c r="BY126" i="99"/>
  <c r="BZ126" i="99"/>
  <c r="CC126" i="99"/>
  <c r="BY127" i="99"/>
  <c r="BZ127" i="99"/>
  <c r="CC127" i="99"/>
  <c r="CA54" i="99"/>
  <c r="CA14" i="99"/>
  <c r="EV14" i="99" s="1"/>
  <c r="U53" i="99"/>
  <c r="CA25" i="99"/>
  <c r="CA27" i="99"/>
  <c r="CA51" i="99"/>
  <c r="CA50" i="99"/>
  <c r="EV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V20" i="99" s="1"/>
  <c r="CA22" i="99"/>
  <c r="EV22" i="99" s="1"/>
  <c r="CC3" i="99"/>
  <c r="CB3" i="99"/>
  <c r="BZ3" i="99"/>
  <c r="U20" i="99" l="1"/>
  <c r="W20" i="99" s="1"/>
  <c r="U43" i="99"/>
  <c r="EV43" i="99"/>
  <c r="U51" i="99"/>
  <c r="EV51" i="99"/>
  <c r="U14" i="99"/>
  <c r="U18" i="99"/>
  <c r="W18" i="99" s="1"/>
  <c r="EV18" i="99"/>
  <c r="U49" i="99"/>
  <c r="EV49" i="99"/>
  <c r="U24" i="99"/>
  <c r="EV24" i="99"/>
  <c r="U46" i="99"/>
  <c r="EV46" i="99"/>
  <c r="U15" i="99"/>
  <c r="EV15" i="99"/>
  <c r="U25" i="99"/>
  <c r="EV25" i="99"/>
  <c r="U50" i="99"/>
  <c r="U48" i="99"/>
  <c r="EV48" i="99"/>
  <c r="U44" i="99"/>
  <c r="EV44" i="99"/>
  <c r="U27" i="99"/>
  <c r="EV27" i="99"/>
  <c r="U54" i="99"/>
  <c r="V54" i="99" s="1"/>
  <c r="V71" i="99" s="1"/>
  <c r="EV54" i="99"/>
  <c r="U22" i="99"/>
  <c r="W22" i="99" s="1"/>
  <c r="CA70" i="99"/>
  <c r="EV70" i="99" s="1"/>
  <c r="U28" i="99"/>
  <c r="EV28" i="99"/>
  <c r="U52" i="99"/>
  <c r="EY70" i="99" l="1"/>
  <c r="EZ70" i="99" s="1"/>
  <c r="FA70" i="99" s="1"/>
  <c r="FB70" i="99" s="1"/>
  <c r="FC70" i="99" s="1"/>
  <c r="FD70" i="99" s="1"/>
  <c r="CA71" i="99"/>
  <c r="U71" i="99"/>
  <c r="CA3" i="99"/>
  <c r="EV3" i="99" s="1"/>
  <c r="EV71" i="99" s="1"/>
  <c r="EV74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S2" i="99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FL2" i="99" s="1"/>
  <c r="FM2" i="99" s="1"/>
  <c r="FN2" i="99" s="1"/>
  <c r="FO2" i="99" s="1"/>
  <c r="FP2" i="99" s="1"/>
  <c r="FQ2" i="99" s="1"/>
  <c r="FR2" i="99" s="1"/>
  <c r="FS2" i="99" s="1"/>
  <c r="FT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71" i="99" s="1"/>
  <c r="Q96" i="99" s="1"/>
  <c r="BT28" i="99"/>
  <c r="ET28" i="99" s="1"/>
  <c r="BT43" i="99"/>
  <c r="ET43" i="99" s="1"/>
  <c r="BT44" i="99"/>
  <c r="R44" i="99" s="1"/>
  <c r="BT46" i="99"/>
  <c r="BT133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70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70" i="99"/>
  <c r="BL3" i="99" s="1"/>
  <c r="BM70" i="99"/>
  <c r="BM3" i="99" s="1"/>
  <c r="BN70" i="99"/>
  <c r="BN71" i="99" s="1"/>
  <c r="BO70" i="99"/>
  <c r="BO3" i="99" s="1"/>
  <c r="BP70" i="99"/>
  <c r="BP3" i="99" s="1"/>
  <c r="BQ70" i="99"/>
  <c r="BQ3" i="99" s="1"/>
  <c r="BR70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U51" i="99" s="1"/>
  <c r="EY51" i="99" s="1"/>
  <c r="EZ51" i="99" s="1"/>
  <c r="FA51" i="99" s="1"/>
  <c r="FB51" i="99" s="1"/>
  <c r="FC51" i="99" s="1"/>
  <c r="FD51" i="99" s="1"/>
  <c r="BW27" i="99"/>
  <c r="BX27" i="99" s="1"/>
  <c r="BW64" i="99"/>
  <c r="BW25" i="99"/>
  <c r="BX25" i="99" s="1"/>
  <c r="BW52" i="99"/>
  <c r="BX52" i="99" s="1"/>
  <c r="BW14" i="99"/>
  <c r="EU14" i="99" s="1"/>
  <c r="EL3" i="99"/>
  <c r="EM3" i="99"/>
  <c r="EN3" i="99"/>
  <c r="EO18" i="99"/>
  <c r="EO24" i="99"/>
  <c r="EO28" i="99"/>
  <c r="EO43" i="99"/>
  <c r="EO44" i="99"/>
  <c r="EO46" i="99"/>
  <c r="EO47" i="99"/>
  <c r="EO48" i="99"/>
  <c r="EO49" i="99"/>
  <c r="EO55" i="99"/>
  <c r="EO15" i="99"/>
  <c r="EO50" i="99"/>
  <c r="EO51" i="99"/>
  <c r="EO27" i="99"/>
  <c r="EO64" i="99"/>
  <c r="EO25" i="99"/>
  <c r="EO52" i="99"/>
  <c r="EO56" i="99"/>
  <c r="EO57" i="99"/>
  <c r="EO58" i="99"/>
  <c r="EO59" i="99"/>
  <c r="EO60" i="99"/>
  <c r="EO61" i="99"/>
  <c r="EO62" i="99"/>
  <c r="EO69" i="99"/>
  <c r="EP18" i="99"/>
  <c r="EP24" i="99"/>
  <c r="EP28" i="99"/>
  <c r="EP43" i="99"/>
  <c r="EP44" i="99"/>
  <c r="EP46" i="99"/>
  <c r="EP47" i="99"/>
  <c r="EP48" i="99"/>
  <c r="EP49" i="99"/>
  <c r="EP55" i="99"/>
  <c r="EP15" i="99"/>
  <c r="EP50" i="99"/>
  <c r="EP51" i="99"/>
  <c r="EP27" i="99"/>
  <c r="EP64" i="99"/>
  <c r="EP25" i="99"/>
  <c r="EP52" i="99"/>
  <c r="EP56" i="99"/>
  <c r="EP57" i="99"/>
  <c r="EP58" i="99"/>
  <c r="EP59" i="99"/>
  <c r="EP60" i="99"/>
  <c r="EP61" i="99"/>
  <c r="EP62" i="99"/>
  <c r="EP69" i="99"/>
  <c r="L22" i="99"/>
  <c r="EQ22" i="99" s="1"/>
  <c r="L20" i="99"/>
  <c r="EQ20" i="99" s="1"/>
  <c r="L18" i="99"/>
  <c r="EQ18" i="99" s="1"/>
  <c r="L24" i="99"/>
  <c r="EQ24" i="99" s="1"/>
  <c r="L28" i="99"/>
  <c r="EQ28" i="99" s="1"/>
  <c r="L43" i="99"/>
  <c r="EQ43" i="99" s="1"/>
  <c r="L44" i="99"/>
  <c r="EQ44" i="99" s="1"/>
  <c r="L46" i="99"/>
  <c r="EQ46" i="99" s="1"/>
  <c r="L47" i="99"/>
  <c r="EQ47" i="99" s="1"/>
  <c r="L48" i="99"/>
  <c r="EQ48" i="99" s="1"/>
  <c r="L49" i="99"/>
  <c r="EQ49" i="99" s="1"/>
  <c r="L55" i="99"/>
  <c r="EQ55" i="99" s="1"/>
  <c r="L15" i="99"/>
  <c r="EQ15" i="99" s="1"/>
  <c r="L50" i="99"/>
  <c r="EQ50" i="99" s="1"/>
  <c r="L51" i="99"/>
  <c r="EQ51" i="99" s="1"/>
  <c r="L27" i="99"/>
  <c r="EQ27" i="99" s="1"/>
  <c r="L64" i="99"/>
  <c r="EQ64" i="99" s="1"/>
  <c r="L25" i="99"/>
  <c r="EQ25" i="99" s="1"/>
  <c r="L52" i="99"/>
  <c r="EQ52" i="99" s="1"/>
  <c r="L56" i="99"/>
  <c r="EQ56" i="99" s="1"/>
  <c r="EQ69" i="99"/>
  <c r="N22" i="99"/>
  <c r="ER22" i="99" s="1"/>
  <c r="N20" i="99"/>
  <c r="ER20" i="99" s="1"/>
  <c r="N18" i="99"/>
  <c r="ER18" i="99" s="1"/>
  <c r="N24" i="99"/>
  <c r="ER24" i="99" s="1"/>
  <c r="N28" i="99"/>
  <c r="ER28" i="99" s="1"/>
  <c r="N43" i="99"/>
  <c r="ER43" i="99" s="1"/>
  <c r="N44" i="99"/>
  <c r="ER44" i="99" s="1"/>
  <c r="N46" i="99"/>
  <c r="ER46" i="99" s="1"/>
  <c r="N47" i="99"/>
  <c r="ER47" i="99" s="1"/>
  <c r="N48" i="99"/>
  <c r="ER48" i="99" s="1"/>
  <c r="N49" i="99"/>
  <c r="ER49" i="99" s="1"/>
  <c r="N55" i="99"/>
  <c r="ER55" i="99" s="1"/>
  <c r="N15" i="99"/>
  <c r="ER15" i="99" s="1"/>
  <c r="N50" i="99"/>
  <c r="ER50" i="99" s="1"/>
  <c r="N51" i="99"/>
  <c r="ER51" i="99" s="1"/>
  <c r="N27" i="99"/>
  <c r="ER27" i="99" s="1"/>
  <c r="N64" i="99"/>
  <c r="ER64" i="99" s="1"/>
  <c r="N25" i="99"/>
  <c r="ER25" i="99" s="1"/>
  <c r="N52" i="99"/>
  <c r="ER52" i="99" s="1"/>
  <c r="ER53" i="99"/>
  <c r="N56" i="99"/>
  <c r="ER56" i="99" s="1"/>
  <c r="ES18" i="99"/>
  <c r="ES24" i="99"/>
  <c r="ES28" i="99"/>
  <c r="ES43" i="99"/>
  <c r="ES44" i="99"/>
  <c r="ES46" i="99"/>
  <c r="ES47" i="99"/>
  <c r="ES48" i="99"/>
  <c r="ES49" i="99"/>
  <c r="ES55" i="99"/>
  <c r="ES15" i="99"/>
  <c r="ES50" i="99"/>
  <c r="ES51" i="99"/>
  <c r="ES27" i="99"/>
  <c r="ES64" i="99"/>
  <c r="ES25" i="99"/>
  <c r="ES52" i="99"/>
  <c r="ES53" i="99"/>
  <c r="ET18" i="99"/>
  <c r="ET24" i="99"/>
  <c r="ET48" i="99"/>
  <c r="ET55" i="99"/>
  <c r="ET15" i="99"/>
  <c r="ET50" i="99"/>
  <c r="ET51" i="99"/>
  <c r="ET27" i="99"/>
  <c r="ET64" i="99"/>
  <c r="ET25" i="99"/>
  <c r="ET52" i="99"/>
  <c r="ET53" i="99"/>
  <c r="BV70" i="99"/>
  <c r="EY49" i="99"/>
  <c r="EZ49" i="99" s="1"/>
  <c r="FA49" i="99" s="1"/>
  <c r="FB49" i="99" s="1"/>
  <c r="FC49" i="99" s="1"/>
  <c r="FD49" i="99" s="1"/>
  <c r="J4" i="99"/>
  <c r="L4" i="99"/>
  <c r="N4" i="99"/>
  <c r="ER4" i="99" s="1"/>
  <c r="P4" i="99"/>
  <c r="T4" i="99"/>
  <c r="EU4" i="99"/>
  <c r="J5" i="99"/>
  <c r="L5" i="99"/>
  <c r="EQ5" i="99" s="1"/>
  <c r="N5" i="99"/>
  <c r="ER5" i="99" s="1"/>
  <c r="P5" i="99"/>
  <c r="ES5" i="99" s="1"/>
  <c r="T5" i="99"/>
  <c r="EO5" i="99"/>
  <c r="EP5" i="99"/>
  <c r="EU5" i="99"/>
  <c r="J6" i="99"/>
  <c r="L6" i="99"/>
  <c r="EQ6" i="99" s="1"/>
  <c r="N6" i="99"/>
  <c r="ER6" i="99" s="1"/>
  <c r="P6" i="99"/>
  <c r="ES6" i="99" s="1"/>
  <c r="BS6" i="99"/>
  <c r="BT6" i="99" s="1"/>
  <c r="R6" i="99" s="1"/>
  <c r="T6" i="99"/>
  <c r="EL6" i="99"/>
  <c r="EM6" i="99"/>
  <c r="EN6" i="99"/>
  <c r="EO8" i="99"/>
  <c r="EP8" i="99"/>
  <c r="EU6" i="99"/>
  <c r="FE109" i="99" s="1"/>
  <c r="S7" i="99"/>
  <c r="T7" i="99" s="1"/>
  <c r="ET7" i="99"/>
  <c r="EU7" i="99"/>
  <c r="J8" i="99"/>
  <c r="L8" i="99"/>
  <c r="M8" i="99"/>
  <c r="N8" i="99" s="1"/>
  <c r="P8" i="99"/>
  <c r="ES8" i="99" s="1"/>
  <c r="S8" i="99"/>
  <c r="T8" i="99" s="1"/>
  <c r="EU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70" i="99"/>
  <c r="K70" i="99"/>
  <c r="O70" i="99"/>
  <c r="BH70" i="99"/>
  <c r="BH71" i="99" s="1"/>
  <c r="BI70" i="99"/>
  <c r="BI71" i="99" s="1"/>
  <c r="BJ70" i="99"/>
  <c r="BJ71" i="99" s="1"/>
  <c r="BK70" i="99"/>
  <c r="BK71" i="99" s="1"/>
  <c r="I71" i="99"/>
  <c r="K71" i="99"/>
  <c r="K74" i="99" s="1"/>
  <c r="K93" i="99" s="1"/>
  <c r="O71" i="99"/>
  <c r="O74" i="99" s="1"/>
  <c r="BV71" i="99"/>
  <c r="J72" i="99"/>
  <c r="EP72" i="99" s="1"/>
  <c r="L72" i="99"/>
  <c r="EQ72" i="99" s="1"/>
  <c r="M72" i="99"/>
  <c r="N72" i="99" s="1"/>
  <c r="ER72" i="99" s="1"/>
  <c r="P72" i="99"/>
  <c r="ES72" i="99" s="1"/>
  <c r="R72" i="99"/>
  <c r="ET72" i="99" s="1"/>
  <c r="T72" i="99"/>
  <c r="J73" i="99"/>
  <c r="EP73" i="99" s="1"/>
  <c r="L73" i="99"/>
  <c r="EQ73" i="99" s="1"/>
  <c r="N73" i="99"/>
  <c r="ER73" i="99" s="1"/>
  <c r="P73" i="99"/>
  <c r="ES73" i="99" s="1"/>
  <c r="R73" i="99"/>
  <c r="ET73" i="99" s="1"/>
  <c r="T73" i="99"/>
  <c r="EU73" i="99" s="1"/>
  <c r="J75" i="99"/>
  <c r="L75" i="99"/>
  <c r="EQ75" i="99" s="1"/>
  <c r="N75" i="99"/>
  <c r="ER75" i="99" s="1"/>
  <c r="P75" i="99"/>
  <c r="ES75" i="99" s="1"/>
  <c r="R75" i="99"/>
  <c r="ET75" i="99" s="1"/>
  <c r="T75" i="99"/>
  <c r="EU75" i="99" s="1"/>
  <c r="EW75" i="99" s="1"/>
  <c r="J76" i="99"/>
  <c r="L76" i="99"/>
  <c r="EQ76" i="99" s="1"/>
  <c r="EQ112" i="99" s="1"/>
  <c r="N76" i="99"/>
  <c r="ER76" i="99" s="1"/>
  <c r="P76" i="99"/>
  <c r="R76" i="99"/>
  <c r="ET76" i="99" s="1"/>
  <c r="T76" i="99"/>
  <c r="J77" i="99"/>
  <c r="EP77" i="99" s="1"/>
  <c r="EP113" i="99" s="1"/>
  <c r="L77" i="99"/>
  <c r="EQ77" i="99" s="1"/>
  <c r="N77" i="99"/>
  <c r="P77" i="99"/>
  <c r="ES77" i="99" s="1"/>
  <c r="R77" i="99"/>
  <c r="ET77" i="99" s="1"/>
  <c r="T77" i="99"/>
  <c r="EU77" i="99" s="1"/>
  <c r="M78" i="99"/>
  <c r="N78" i="99" s="1"/>
  <c r="O79" i="99"/>
  <c r="Q79" i="99"/>
  <c r="S79" i="99"/>
  <c r="J81" i="99"/>
  <c r="L81" i="99"/>
  <c r="EQ81" i="99" s="1"/>
  <c r="N81" i="99"/>
  <c r="ER81" i="99" s="1"/>
  <c r="P81" i="99"/>
  <c r="R81" i="99"/>
  <c r="ET81" i="99" s="1"/>
  <c r="T81" i="99"/>
  <c r="EU81" i="99" s="1"/>
  <c r="EU91" i="99"/>
  <c r="T82" i="99"/>
  <c r="EU82" i="99" s="1"/>
  <c r="T84" i="99"/>
  <c r="EU84" i="99" s="1"/>
  <c r="T86" i="99"/>
  <c r="EU86" i="99" s="1"/>
  <c r="J82" i="99"/>
  <c r="L82" i="99"/>
  <c r="EQ82" i="99" s="1"/>
  <c r="N82" i="99"/>
  <c r="ER82" i="99" s="1"/>
  <c r="P82" i="99"/>
  <c r="R82" i="99"/>
  <c r="ET82" i="99" s="1"/>
  <c r="J84" i="99"/>
  <c r="L84" i="99"/>
  <c r="EQ84" i="99" s="1"/>
  <c r="N84" i="99"/>
  <c r="ER84" i="99" s="1"/>
  <c r="R84" i="99"/>
  <c r="ET84" i="99" s="1"/>
  <c r="J86" i="99"/>
  <c r="L86" i="99"/>
  <c r="EQ86" i="99" s="1"/>
  <c r="N86" i="99"/>
  <c r="ER86" i="99" s="1"/>
  <c r="P86" i="99"/>
  <c r="R86" i="99"/>
  <c r="ET86" i="99" s="1"/>
  <c r="P89" i="99"/>
  <c r="Q89" i="99" s="1"/>
  <c r="R89" i="99" s="1"/>
  <c r="S89" i="99" s="1"/>
  <c r="T89" i="99" s="1"/>
  <c r="EQ89" i="99"/>
  <c r="ER89" i="99" s="1"/>
  <c r="ES89" i="99" s="1"/>
  <c r="ET89" i="99" s="1"/>
  <c r="EU89" i="99" s="1"/>
  <c r="EV89" i="99" s="1"/>
  <c r="EW89" i="99" s="1"/>
  <c r="EX89" i="99" s="1"/>
  <c r="EY89" i="99" s="1"/>
  <c r="ES91" i="99"/>
  <c r="ET91" i="99"/>
  <c r="EM93" i="99"/>
  <c r="EN93" i="99"/>
  <c r="EO93" i="99"/>
  <c r="EP111" i="99"/>
  <c r="EP112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Y128" i="99"/>
  <c r="BZ128" i="99"/>
  <c r="CC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U132" i="99"/>
  <c r="BV132" i="99"/>
  <c r="BB133" i="99"/>
  <c r="BC133" i="99"/>
  <c r="BD133" i="99"/>
  <c r="BE133" i="99"/>
  <c r="BF133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U133" i="99"/>
  <c r="BV133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U134" i="99"/>
  <c r="BV134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BB139" i="99"/>
  <c r="BC139" i="99"/>
  <c r="BD139" i="99"/>
  <c r="BE139" i="99"/>
  <c r="BF139" i="99"/>
  <c r="BG139" i="99"/>
  <c r="BH139" i="99"/>
  <c r="BI139" i="99"/>
  <c r="BJ139" i="99"/>
  <c r="BK139" i="99"/>
  <c r="BL139" i="99"/>
  <c r="BM139" i="99"/>
  <c r="BN139" i="99"/>
  <c r="BO139" i="99"/>
  <c r="BP139" i="99"/>
  <c r="BQ139" i="99"/>
  <c r="BR139" i="99"/>
  <c r="BS139" i="99"/>
  <c r="BT139" i="99"/>
  <c r="BU139" i="99"/>
  <c r="BV139" i="99"/>
  <c r="BB140" i="99"/>
  <c r="BC140" i="99"/>
  <c r="BD140" i="99"/>
  <c r="BE140" i="99"/>
  <c r="BF140" i="99"/>
  <c r="BG140" i="99"/>
  <c r="BH140" i="99"/>
  <c r="BI140" i="99"/>
  <c r="BJ140" i="99"/>
  <c r="BK140" i="99"/>
  <c r="BL140" i="99"/>
  <c r="BM140" i="99"/>
  <c r="BN140" i="99"/>
  <c r="BO140" i="99"/>
  <c r="BP140" i="99"/>
  <c r="BQ140" i="99"/>
  <c r="BR140" i="99"/>
  <c r="BS140" i="99"/>
  <c r="BT140" i="99"/>
  <c r="BU140" i="99"/>
  <c r="BV140" i="99"/>
  <c r="BB141" i="99"/>
  <c r="BC141" i="99"/>
  <c r="BD141" i="99"/>
  <c r="BE141" i="99"/>
  <c r="BF141" i="99"/>
  <c r="BG141" i="99"/>
  <c r="BH141" i="99"/>
  <c r="BI141" i="99"/>
  <c r="BJ141" i="99"/>
  <c r="BK141" i="99"/>
  <c r="BL141" i="99"/>
  <c r="BM141" i="99"/>
  <c r="BN141" i="99"/>
  <c r="BO141" i="99"/>
  <c r="BP141" i="99"/>
  <c r="BQ141" i="99"/>
  <c r="BR141" i="99"/>
  <c r="BS141" i="99"/>
  <c r="BT141" i="99"/>
  <c r="BU141" i="99"/>
  <c r="BV141" i="99"/>
  <c r="ES149" i="99"/>
  <c r="ET149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V80" i="99"/>
  <c r="EV93" i="99"/>
  <c r="AB44" i="115"/>
  <c r="Y44" i="115"/>
  <c r="EW72" i="99"/>
  <c r="EX72" i="99" s="1"/>
  <c r="EY72" i="99" s="1"/>
  <c r="EZ72" i="99" s="1"/>
  <c r="FA72" i="99" s="1"/>
  <c r="FB72" i="99" s="1"/>
  <c r="FC72" i="99" s="1"/>
  <c r="FD72" i="99" s="1"/>
  <c r="EU72" i="99"/>
  <c r="BW128" i="99"/>
  <c r="BR71" i="99"/>
  <c r="BV103" i="99" s="1"/>
  <c r="Q95" i="99"/>
  <c r="BW127" i="99"/>
  <c r="CA127" i="99"/>
  <c r="BX20" i="99"/>
  <c r="EU20" i="99" s="1"/>
  <c r="BW126" i="99"/>
  <c r="CA126" i="99"/>
  <c r="BT129" i="99"/>
  <c r="CA128" i="99"/>
  <c r="EV109" i="99"/>
  <c r="ET47" i="99"/>
  <c r="ER112" i="99"/>
  <c r="R28" i="99"/>
  <c r="BM71" i="99"/>
  <c r="FD109" i="99"/>
  <c r="K94" i="99"/>
  <c r="BL71" i="99"/>
  <c r="ES109" i="99"/>
  <c r="BT132" i="99"/>
  <c r="FC109" i="99"/>
  <c r="EQ113" i="99"/>
  <c r="K96" i="99"/>
  <c r="K103" i="99"/>
  <c r="EZ109" i="99"/>
  <c r="EY109" i="99"/>
  <c r="K95" i="99"/>
  <c r="R79" i="99"/>
  <c r="BP71" i="99"/>
  <c r="ET44" i="99"/>
  <c r="EU50" i="99"/>
  <c r="FB109" i="99"/>
  <c r="EX109" i="99"/>
  <c r="FA109" i="99"/>
  <c r="EW109" i="99"/>
  <c r="EU25" i="99"/>
  <c r="T25" i="99"/>
  <c r="EU48" i="99"/>
  <c r="T48" i="99"/>
  <c r="ET8" i="99"/>
  <c r="R8" i="99"/>
  <c r="ER109" i="99"/>
  <c r="BT134" i="99"/>
  <c r="BT131" i="99"/>
  <c r="O96" i="99"/>
  <c r="O95" i="99"/>
  <c r="BQ71" i="99"/>
  <c r="R43" i="99"/>
  <c r="ER8" i="99"/>
  <c r="EP6" i="99"/>
  <c r="ET5" i="99"/>
  <c r="ET49" i="99"/>
  <c r="BW70" i="99"/>
  <c r="BW3" i="99" s="1"/>
  <c r="M71" i="99"/>
  <c r="M70" i="99"/>
  <c r="BY3" i="99"/>
  <c r="BX18" i="99"/>
  <c r="BT130" i="99"/>
  <c r="Q103" i="99"/>
  <c r="EO6" i="99"/>
  <c r="EU43" i="99"/>
  <c r="EY43" i="99" s="1"/>
  <c r="EZ43" i="99" s="1"/>
  <c r="FA43" i="99" s="1"/>
  <c r="FB43" i="99" s="1"/>
  <c r="FC43" i="99" s="1"/>
  <c r="FD43" i="99" s="1"/>
  <c r="EU24" i="99"/>
  <c r="BS70" i="99"/>
  <c r="BS3" i="99" s="1"/>
  <c r="O93" i="99"/>
  <c r="O80" i="99"/>
  <c r="O83" i="99" s="1"/>
  <c r="O85" i="99" s="1"/>
  <c r="O87" i="99" s="1"/>
  <c r="O88" i="99" s="1"/>
  <c r="EU49" i="99"/>
  <c r="T49" i="99"/>
  <c r="EU44" i="99"/>
  <c r="EY44" i="99" s="1"/>
  <c r="EZ44" i="99" s="1"/>
  <c r="FA44" i="99" s="1"/>
  <c r="FB44" i="99" s="1"/>
  <c r="FC44" i="99" s="1"/>
  <c r="FD44" i="99" s="1"/>
  <c r="T44" i="99"/>
  <c r="EQ111" i="99"/>
  <c r="ER111" i="99"/>
  <c r="ER78" i="99"/>
  <c r="N79" i="99"/>
  <c r="BU3" i="99"/>
  <c r="BU71" i="99"/>
  <c r="T27" i="99"/>
  <c r="EU27" i="99"/>
  <c r="T46" i="99"/>
  <c r="EU46" i="99"/>
  <c r="EY46" i="99" s="1"/>
  <c r="EZ46" i="99" s="1"/>
  <c r="FA46" i="99" s="1"/>
  <c r="FB46" i="99" s="1"/>
  <c r="FC46" i="99" s="1"/>
  <c r="FD46" i="99" s="1"/>
  <c r="ET79" i="99"/>
  <c r="E14" i="128"/>
  <c r="J7" i="101"/>
  <c r="Q94" i="99"/>
  <c r="I94" i="99"/>
  <c r="M79" i="99"/>
  <c r="I74" i="99"/>
  <c r="I80" i="99" s="1"/>
  <c r="I83" i="99" s="1"/>
  <c r="I85" i="99" s="1"/>
  <c r="I87" i="99" s="1"/>
  <c r="I88" i="99" s="1"/>
  <c r="BO71" i="99"/>
  <c r="T51" i="99"/>
  <c r="O94" i="99"/>
  <c r="EQ78" i="99"/>
  <c r="EQ79" i="99" s="1"/>
  <c r="EU76" i="99"/>
  <c r="EU79" i="99" s="1"/>
  <c r="Q74" i="99"/>
  <c r="EU55" i="99"/>
  <c r="D11" i="128"/>
  <c r="T79" i="99"/>
  <c r="K80" i="99"/>
  <c r="L71" i="99"/>
  <c r="ER77" i="99"/>
  <c r="ES76" i="99"/>
  <c r="ES79" i="99" s="1"/>
  <c r="P79" i="99"/>
  <c r="EX75" i="99"/>
  <c r="P70" i="99"/>
  <c r="EQ8" i="99"/>
  <c r="L70" i="99"/>
  <c r="EQ70" i="99" s="1"/>
  <c r="J70" i="99"/>
  <c r="J71" i="99"/>
  <c r="ES4" i="99"/>
  <c r="P71" i="99"/>
  <c r="BT70" i="99"/>
  <c r="BT3" i="99" s="1"/>
  <c r="R4" i="99"/>
  <c r="ET4" i="99"/>
  <c r="ET46" i="99"/>
  <c r="R46" i="99"/>
  <c r="ER3" i="99"/>
  <c r="N70" i="99"/>
  <c r="EQ3" i="99"/>
  <c r="EU52" i="99"/>
  <c r="T52" i="99"/>
  <c r="BR3" i="99"/>
  <c r="BN3" i="99"/>
  <c r="ES70" i="99"/>
  <c r="ES71" i="99" s="1"/>
  <c r="N71" i="99"/>
  <c r="ET6" i="99"/>
  <c r="EQ4" i="99"/>
  <c r="Q69" i="99"/>
  <c r="Q3" i="99" s="1"/>
  <c r="G9" i="128"/>
  <c r="EO3" i="99"/>
  <c r="BX64" i="99"/>
  <c r="T64" i="99" s="1"/>
  <c r="BX15" i="99"/>
  <c r="T15" i="99" s="1"/>
  <c r="BX47" i="99"/>
  <c r="T47" i="99" s="1"/>
  <c r="BX28" i="99"/>
  <c r="T28" i="99" s="1"/>
  <c r="BX22" i="99"/>
  <c r="T22" i="99" s="1"/>
  <c r="ES3" i="99"/>
  <c r="EP3" i="99"/>
  <c r="E8" i="128"/>
  <c r="EU22" i="99" l="1"/>
  <c r="BR103" i="99"/>
  <c r="ET70" i="99"/>
  <c r="ET71" i="99" s="1"/>
  <c r="EU18" i="99"/>
  <c r="BX127" i="99"/>
  <c r="CB127" i="99"/>
  <c r="BX126" i="99"/>
  <c r="CB126" i="99"/>
  <c r="T20" i="99"/>
  <c r="BP103" i="99"/>
  <c r="O97" i="99"/>
  <c r="BQ103" i="99"/>
  <c r="BS71" i="99"/>
  <c r="BS103" i="99" s="1"/>
  <c r="ER70" i="99"/>
  <c r="T18" i="99"/>
  <c r="BW71" i="99"/>
  <c r="S3" i="99"/>
  <c r="T3" i="99" s="1"/>
  <c r="EU64" i="99"/>
  <c r="O99" i="99"/>
  <c r="EU47" i="99"/>
  <c r="EY47" i="99" s="1"/>
  <c r="EZ47" i="99" s="1"/>
  <c r="FA47" i="99" s="1"/>
  <c r="FB47" i="99" s="1"/>
  <c r="FC47" i="99" s="1"/>
  <c r="M74" i="99"/>
  <c r="M95" i="99"/>
  <c r="M96" i="99"/>
  <c r="M94" i="99"/>
  <c r="M103" i="99"/>
  <c r="O103" i="99"/>
  <c r="EW76" i="99"/>
  <c r="EX76" i="99" s="1"/>
  <c r="EY76" i="99" s="1"/>
  <c r="BU103" i="99"/>
  <c r="S70" i="99"/>
  <c r="S71" i="99" s="1"/>
  <c r="BY103" i="99"/>
  <c r="EU28" i="99"/>
  <c r="EU15" i="99"/>
  <c r="BT71" i="99"/>
  <c r="BT103" i="99" s="1"/>
  <c r="R69" i="99"/>
  <c r="Q80" i="99"/>
  <c r="Q93" i="99"/>
  <c r="R3" i="99"/>
  <c r="R71" i="99" s="1"/>
  <c r="R95" i="99" s="1"/>
  <c r="ER113" i="99"/>
  <c r="ER79" i="99"/>
  <c r="J74" i="99"/>
  <c r="J80" i="99" s="1"/>
  <c r="J83" i="99" s="1"/>
  <c r="J85" i="99" s="1"/>
  <c r="J87" i="99" s="1"/>
  <c r="J88" i="99" s="1"/>
  <c r="J94" i="99"/>
  <c r="EP71" i="99"/>
  <c r="EY75" i="99"/>
  <c r="ES95" i="99"/>
  <c r="K83" i="99"/>
  <c r="K97" i="99"/>
  <c r="ES74" i="99"/>
  <c r="ES94" i="99"/>
  <c r="ES96" i="99"/>
  <c r="BX70" i="99"/>
  <c r="BX71" i="99" s="1"/>
  <c r="BX128" i="99"/>
  <c r="CB128" i="99"/>
  <c r="ET109" i="99"/>
  <c r="EU109" i="99"/>
  <c r="E11" i="128"/>
  <c r="F8" i="128"/>
  <c r="H9" i="128"/>
  <c r="G14" i="128"/>
  <c r="ER71" i="99"/>
  <c r="ES103" i="99" s="1"/>
  <c r="N74" i="99"/>
  <c r="N94" i="99"/>
  <c r="N95" i="99"/>
  <c r="N103" i="99"/>
  <c r="P74" i="99"/>
  <c r="P96" i="99"/>
  <c r="P94" i="99"/>
  <c r="P103" i="99"/>
  <c r="P95" i="99"/>
  <c r="N96" i="99"/>
  <c r="EQ71" i="99"/>
  <c r="L74" i="99"/>
  <c r="L96" i="99"/>
  <c r="L94" i="99"/>
  <c r="L95" i="99"/>
  <c r="L103" i="99"/>
  <c r="EW3" i="99" l="1"/>
  <c r="EX3" i="99"/>
  <c r="EU70" i="99"/>
  <c r="EU71" i="99" s="1"/>
  <c r="EU74" i="99" s="1"/>
  <c r="EW71" i="99"/>
  <c r="BW103" i="99"/>
  <c r="ET3" i="99"/>
  <c r="EW79" i="99"/>
  <c r="BX103" i="99"/>
  <c r="R96" i="99"/>
  <c r="EX79" i="99"/>
  <c r="S74" i="99"/>
  <c r="S96" i="99"/>
  <c r="S95" i="99"/>
  <c r="S103" i="99"/>
  <c r="S94" i="99"/>
  <c r="R103" i="99"/>
  <c r="BX3" i="99"/>
  <c r="T70" i="99"/>
  <c r="T71" i="99" s="1"/>
  <c r="R94" i="99"/>
  <c r="M80" i="99"/>
  <c r="M93" i="99"/>
  <c r="R74" i="99"/>
  <c r="R93" i="99" s="1"/>
  <c r="Q83" i="99"/>
  <c r="Q97" i="99"/>
  <c r="N93" i="99"/>
  <c r="N80" i="99"/>
  <c r="K85" i="99"/>
  <c r="K87" i="99" s="1"/>
  <c r="K88" i="99" s="1"/>
  <c r="K99" i="99"/>
  <c r="EP74" i="99"/>
  <c r="EP103" i="99"/>
  <c r="EQ74" i="99"/>
  <c r="EQ103" i="99"/>
  <c r="ER74" i="99"/>
  <c r="ER103" i="99"/>
  <c r="G8" i="128"/>
  <c r="F11" i="128"/>
  <c r="ET94" i="99"/>
  <c r="ET103" i="99"/>
  <c r="ET96" i="99"/>
  <c r="ET95" i="99"/>
  <c r="EZ75" i="99"/>
  <c r="EY79" i="99"/>
  <c r="ES80" i="99"/>
  <c r="ES93" i="99"/>
  <c r="EZ76" i="99"/>
  <c r="L80" i="99"/>
  <c r="L93" i="99"/>
  <c r="P80" i="99"/>
  <c r="P93" i="99"/>
  <c r="H14" i="128"/>
  <c r="I9" i="128"/>
  <c r="EY3" i="99" l="1"/>
  <c r="ET74" i="99"/>
  <c r="ET80" i="99" s="1"/>
  <c r="ET97" i="99" s="1"/>
  <c r="R80" i="99"/>
  <c r="R97" i="99" s="1"/>
  <c r="M83" i="99"/>
  <c r="M97" i="99"/>
  <c r="S93" i="99"/>
  <c r="S80" i="99"/>
  <c r="Q85" i="99"/>
  <c r="Q87" i="99" s="1"/>
  <c r="Q88" i="99" s="1"/>
  <c r="Q99" i="99"/>
  <c r="FA76" i="99"/>
  <c r="T74" i="99"/>
  <c r="T96" i="99"/>
  <c r="T94" i="99"/>
  <c r="T103" i="99"/>
  <c r="T95" i="99"/>
  <c r="P83" i="99"/>
  <c r="P97" i="99"/>
  <c r="H8" i="128"/>
  <c r="G11" i="128"/>
  <c r="EQ93" i="99"/>
  <c r="EQ80" i="99"/>
  <c r="FA75" i="99"/>
  <c r="EZ79" i="99"/>
  <c r="N83" i="99"/>
  <c r="N97" i="99"/>
  <c r="I14" i="128"/>
  <c r="J9" i="128"/>
  <c r="L83" i="99"/>
  <c r="L97" i="99"/>
  <c r="ES83" i="99"/>
  <c r="ES97" i="99"/>
  <c r="EU3" i="99"/>
  <c r="ER93" i="99"/>
  <c r="ER80" i="99"/>
  <c r="ES114" i="99" s="1"/>
  <c r="EP80" i="99"/>
  <c r="EP93" i="99"/>
  <c r="ET114" i="99" l="1"/>
  <c r="EZ3" i="99"/>
  <c r="ET83" i="99"/>
  <c r="ET85" i="99" s="1"/>
  <c r="ET87" i="99" s="1"/>
  <c r="R83" i="99"/>
  <c r="R99" i="99" s="1"/>
  <c r="S97" i="99"/>
  <c r="S83" i="99"/>
  <c r="M85" i="99"/>
  <c r="M87" i="99" s="1"/>
  <c r="M88" i="99" s="1"/>
  <c r="M99" i="99"/>
  <c r="EU80" i="99"/>
  <c r="EU114" i="99" s="1"/>
  <c r="EU95" i="99"/>
  <c r="EU94" i="99"/>
  <c r="EU96" i="99"/>
  <c r="EU103" i="99"/>
  <c r="EQ83" i="99"/>
  <c r="EQ85" i="99" s="1"/>
  <c r="EQ87" i="99" s="1"/>
  <c r="EQ88" i="99" s="1"/>
  <c r="EQ97" i="99"/>
  <c r="ES98" i="99"/>
  <c r="ES99" i="99"/>
  <c r="ES85" i="99"/>
  <c r="ES87" i="99" s="1"/>
  <c r="FB75" i="99"/>
  <c r="FA79" i="99"/>
  <c r="EV96" i="99"/>
  <c r="EV94" i="99"/>
  <c r="EV103" i="99"/>
  <c r="EV95" i="99"/>
  <c r="T80" i="99"/>
  <c r="T93" i="99"/>
  <c r="P85" i="99"/>
  <c r="P87" i="99" s="1"/>
  <c r="P88" i="99" s="1"/>
  <c r="P99" i="99"/>
  <c r="ER97" i="99"/>
  <c r="ER83" i="99"/>
  <c r="ER85" i="99" s="1"/>
  <c r="ER87" i="99" s="1"/>
  <c r="ER88" i="99" s="1"/>
  <c r="J14" i="128"/>
  <c r="K9" i="128"/>
  <c r="EP83" i="99"/>
  <c r="EP85" i="99" s="1"/>
  <c r="EP87" i="99" s="1"/>
  <c r="EP114" i="99"/>
  <c r="L85" i="99"/>
  <c r="L87" i="99" s="1"/>
  <c r="L88" i="99" s="1"/>
  <c r="L99" i="99"/>
  <c r="N85" i="99"/>
  <c r="N87" i="99" s="1"/>
  <c r="N88" i="99" s="1"/>
  <c r="N99" i="99"/>
  <c r="H11" i="128"/>
  <c r="I8" i="128"/>
  <c r="FB76" i="99"/>
  <c r="ET98" i="99" l="1"/>
  <c r="R98" i="99"/>
  <c r="R85" i="99"/>
  <c r="R87" i="99" s="1"/>
  <c r="R91" i="99" s="1"/>
  <c r="FA3" i="99"/>
  <c r="ET99" i="99"/>
  <c r="S99" i="99"/>
  <c r="S98" i="99"/>
  <c r="S85" i="99"/>
  <c r="S87" i="99" s="1"/>
  <c r="S88" i="99" s="1"/>
  <c r="FC76" i="99"/>
  <c r="T83" i="99"/>
  <c r="T97" i="99"/>
  <c r="FB79" i="99"/>
  <c r="FC75" i="99"/>
  <c r="ES88" i="99"/>
  <c r="ES121" i="99" s="1"/>
  <c r="ES146" i="99"/>
  <c r="ES100" i="99"/>
  <c r="ET88" i="99"/>
  <c r="ET146" i="99"/>
  <c r="ET100" i="99"/>
  <c r="I11" i="128"/>
  <c r="J8" i="128"/>
  <c r="L9" i="128"/>
  <c r="K14" i="128"/>
  <c r="EW74" i="99"/>
  <c r="EW80" i="99" s="1"/>
  <c r="EW96" i="99"/>
  <c r="EW103" i="99"/>
  <c r="EW94" i="99"/>
  <c r="EW95" i="99"/>
  <c r="EV97" i="99"/>
  <c r="EU83" i="99"/>
  <c r="EU97" i="99"/>
  <c r="R88" i="99" l="1"/>
  <c r="FB3" i="99"/>
  <c r="EU85" i="99"/>
  <c r="EU87" i="99" s="1"/>
  <c r="EU98" i="99"/>
  <c r="EU99" i="99"/>
  <c r="EW73" i="99"/>
  <c r="FD75" i="99"/>
  <c r="FC79" i="99"/>
  <c r="T85" i="99"/>
  <c r="T87" i="99" s="1"/>
  <c r="T88" i="99" s="1"/>
  <c r="T98" i="99"/>
  <c r="T99" i="99"/>
  <c r="K8" i="128"/>
  <c r="J11" i="128"/>
  <c r="ET121" i="99"/>
  <c r="EW97" i="99"/>
  <c r="L14" i="128"/>
  <c r="M9" i="128"/>
  <c r="EX74" i="99"/>
  <c r="EX80" i="99" s="1"/>
  <c r="EX96" i="99"/>
  <c r="EX103" i="99"/>
  <c r="EX94" i="99"/>
  <c r="EX95" i="99"/>
  <c r="FD76" i="99"/>
  <c r="FC3" i="99" l="1"/>
  <c r="EX73" i="99"/>
  <c r="M14" i="128"/>
  <c r="N9" i="128"/>
  <c r="EU88" i="99"/>
  <c r="EU121" i="99" s="1"/>
  <c r="EU100" i="99"/>
  <c r="EV91" i="99"/>
  <c r="L8" i="128"/>
  <c r="K11" i="128"/>
  <c r="FD79" i="99"/>
  <c r="EX97" i="99"/>
  <c r="EY103" i="99"/>
  <c r="EY96" i="99"/>
  <c r="EY74" i="99"/>
  <c r="EY80" i="99" s="1"/>
  <c r="EY94" i="99"/>
  <c r="EY95" i="99"/>
  <c r="FD3" i="99" l="1"/>
  <c r="EY73" i="99"/>
  <c r="L11" i="128"/>
  <c r="M8" i="128"/>
  <c r="N14" i="128"/>
  <c r="O9" i="128"/>
  <c r="EY97" i="99"/>
  <c r="EZ74" i="99"/>
  <c r="EZ80" i="99" s="1"/>
  <c r="EZ96" i="99"/>
  <c r="EZ103" i="99"/>
  <c r="EZ95" i="99"/>
  <c r="EZ94" i="99"/>
  <c r="EV83" i="99"/>
  <c r="EV99" i="99" l="1"/>
  <c r="EV98" i="99"/>
  <c r="EZ73" i="99"/>
  <c r="M11" i="128"/>
  <c r="N8" i="128"/>
  <c r="FA74" i="99"/>
  <c r="FA80" i="99" s="1"/>
  <c r="FA103" i="99"/>
  <c r="FA96" i="99"/>
  <c r="FA95" i="99"/>
  <c r="FA94" i="99"/>
  <c r="P9" i="128"/>
  <c r="O14" i="128"/>
  <c r="EZ97" i="99"/>
  <c r="EV85" i="99" l="1"/>
  <c r="EV87" i="99" s="1"/>
  <c r="EW91" i="99" s="1"/>
  <c r="FA73" i="99"/>
  <c r="O8" i="128"/>
  <c r="N11" i="128"/>
  <c r="FA97" i="99"/>
  <c r="FB74" i="99"/>
  <c r="FB80" i="99" s="1"/>
  <c r="FB96" i="99"/>
  <c r="FB103" i="99"/>
  <c r="FB94" i="99"/>
  <c r="FB95" i="99"/>
  <c r="P14" i="128"/>
  <c r="Q9" i="128"/>
  <c r="EV100" i="99" l="1"/>
  <c r="EV88" i="99"/>
  <c r="FB97" i="99"/>
  <c r="Q14" i="128"/>
  <c r="R9" i="128"/>
  <c r="FB73" i="99"/>
  <c r="EW81" i="99"/>
  <c r="EW83" i="99" s="1"/>
  <c r="P8" i="128"/>
  <c r="O11" i="128"/>
  <c r="FC74" i="99"/>
  <c r="FC80" i="99" s="1"/>
  <c r="FC96" i="99"/>
  <c r="FC103" i="99"/>
  <c r="FC95" i="99"/>
  <c r="FC94" i="99"/>
  <c r="R14" i="128" l="1"/>
  <c r="S9" i="128"/>
  <c r="P11" i="128"/>
  <c r="Q8" i="128"/>
  <c r="FD74" i="99"/>
  <c r="FD80" i="99" s="1"/>
  <c r="FD96" i="99"/>
  <c r="FD103" i="99"/>
  <c r="FD94" i="99"/>
  <c r="FD95" i="99"/>
  <c r="FC97" i="99"/>
  <c r="FC73" i="99"/>
  <c r="EW98" i="99"/>
  <c r="EW84" i="99"/>
  <c r="EW99" i="99" s="1"/>
  <c r="FD73" i="99" l="1"/>
  <c r="EW85" i="99"/>
  <c r="EW87" i="99" s="1"/>
  <c r="EW88" i="99" s="1"/>
  <c r="Q11" i="128"/>
  <c r="R8" i="128"/>
  <c r="T9" i="128"/>
  <c r="S14" i="128"/>
  <c r="FE80" i="99"/>
  <c r="FE96" i="99"/>
  <c r="FE103" i="99"/>
  <c r="FE94" i="99"/>
  <c r="FE95" i="99"/>
  <c r="FD97" i="99"/>
  <c r="EX91" i="99" l="1"/>
  <c r="EX81" i="99" s="1"/>
  <c r="EX83" i="99" s="1"/>
  <c r="EW100" i="99"/>
  <c r="T14" i="128"/>
  <c r="U9" i="128"/>
  <c r="S8" i="128"/>
  <c r="R11" i="128"/>
  <c r="FE97" i="99"/>
  <c r="U14" i="128" l="1"/>
  <c r="V9" i="128"/>
  <c r="T8" i="128"/>
  <c r="S11" i="128"/>
  <c r="EX84" i="99"/>
  <c r="EX99" i="99" s="1"/>
  <c r="EX98" i="99"/>
  <c r="EX85" i="99" l="1"/>
  <c r="EX87" i="99" s="1"/>
  <c r="T11" i="128"/>
  <c r="U8" i="128"/>
  <c r="V14" i="128"/>
  <c r="W9" i="128"/>
  <c r="EY91" i="99" l="1"/>
  <c r="EY81" i="99" s="1"/>
  <c r="EY83" i="99" s="1"/>
  <c r="EX100" i="99"/>
  <c r="EX88" i="99"/>
  <c r="X9" i="128"/>
  <c r="W14" i="128"/>
  <c r="U11" i="128"/>
  <c r="V8" i="128"/>
  <c r="X14" i="128" l="1"/>
  <c r="Y9" i="128"/>
  <c r="W8" i="128"/>
  <c r="V11" i="128"/>
  <c r="EY84" i="99"/>
  <c r="EY99" i="99" s="1"/>
  <c r="EY98" i="99"/>
  <c r="EY85" i="99" l="1"/>
  <c r="EY87" i="99" s="1"/>
  <c r="X8" i="128"/>
  <c r="W11" i="128"/>
  <c r="Y14" i="128"/>
  <c r="Z9" i="128"/>
  <c r="Z14" i="128" s="1"/>
  <c r="EZ91" i="99" l="1"/>
  <c r="EZ81" i="99" s="1"/>
  <c r="EZ83" i="99" s="1"/>
  <c r="EY100" i="99"/>
  <c r="EY88" i="99"/>
  <c r="X11" i="128"/>
  <c r="Y8" i="128"/>
  <c r="Y11" i="128" l="1"/>
  <c r="Z8" i="128"/>
  <c r="Z11" i="128" s="1"/>
  <c r="EZ84" i="99"/>
  <c r="EZ99" i="99" s="1"/>
  <c r="EZ98" i="99"/>
  <c r="EZ85" i="99" l="1"/>
  <c r="EZ87" i="99" s="1"/>
  <c r="EZ100" i="99" l="1"/>
  <c r="FA91" i="99"/>
  <c r="FA81" i="99" s="1"/>
  <c r="FA83" i="99" s="1"/>
  <c r="FA98" i="99" l="1"/>
  <c r="FA84" i="99"/>
  <c r="FA99" i="99" s="1"/>
  <c r="FA85" i="99" l="1"/>
  <c r="FA87" i="99" s="1"/>
  <c r="FA100" i="99" l="1"/>
  <c r="FB91" i="99"/>
  <c r="FB81" i="99" l="1"/>
  <c r="FB83" i="99" s="1"/>
  <c r="FB84" i="99" l="1"/>
  <c r="FB99" i="99" s="1"/>
  <c r="FB98" i="99"/>
  <c r="FB85" i="99" l="1"/>
  <c r="FB87" i="99" s="1"/>
  <c r="FB100" i="99" s="1"/>
  <c r="FC91" i="99" l="1"/>
  <c r="FC81" i="99" s="1"/>
  <c r="FC83" i="99" s="1"/>
  <c r="FC84" i="99" l="1"/>
  <c r="FC99" i="99" s="1"/>
  <c r="FC98" i="99"/>
  <c r="FC85" i="99" l="1"/>
  <c r="FC87" i="99" s="1"/>
  <c r="FC100" i="99" s="1"/>
  <c r="FD91" i="99" l="1"/>
  <c r="FD81" i="99" s="1"/>
  <c r="FD83" i="99" s="1"/>
  <c r="FD84" i="99" l="1"/>
  <c r="FD99" i="99" s="1"/>
  <c r="FD98" i="99"/>
  <c r="FD85" i="99" l="1"/>
  <c r="FD87" i="99" s="1"/>
  <c r="FD100" i="99" s="1"/>
  <c r="FE83" i="99" l="1"/>
  <c r="FE98" i="99" l="1"/>
  <c r="FE99" i="99"/>
  <c r="FE85" i="99"/>
  <c r="FE87" i="99" s="1"/>
  <c r="FE100" i="99" s="1"/>
  <c r="FI87" i="99" l="1"/>
  <c r="FJ87" i="99" s="1"/>
  <c r="FK87" i="99" s="1"/>
  <c r="FL87" i="99" s="1"/>
  <c r="FM87" i="99" s="1"/>
  <c r="FN87" i="99" s="1"/>
  <c r="FO87" i="99" s="1"/>
  <c r="FP87" i="99" s="1"/>
  <c r="FQ87" i="99" s="1"/>
  <c r="FR87" i="99" s="1"/>
  <c r="FS87" i="99" s="1"/>
  <c r="FT87" i="99" s="1"/>
  <c r="FU87" i="99" s="1"/>
  <c r="FV87" i="99" s="1"/>
  <c r="FW87" i="99" s="1"/>
  <c r="FX87" i="99" s="1"/>
  <c r="FY87" i="99" s="1"/>
  <c r="FZ87" i="99" s="1"/>
  <c r="GA87" i="99" s="1"/>
  <c r="GB87" i="99" s="1"/>
  <c r="GC87" i="99" s="1"/>
  <c r="GD87" i="99" s="1"/>
  <c r="GE87" i="99" s="1"/>
  <c r="GF87" i="99" s="1"/>
  <c r="GG87" i="99" s="1"/>
  <c r="GH87" i="99" s="1"/>
  <c r="GI87" i="99" s="1"/>
  <c r="GJ87" i="99" s="1"/>
  <c r="GK87" i="99" s="1"/>
  <c r="GL87" i="99" s="1"/>
  <c r="GM87" i="99" s="1"/>
  <c r="GN87" i="99" s="1"/>
  <c r="GO87" i="99" s="1"/>
  <c r="GP87" i="99" s="1"/>
  <c r="GQ87" i="99" s="1"/>
  <c r="GR87" i="99" s="1"/>
  <c r="GS87" i="99" s="1"/>
  <c r="GT87" i="99" s="1"/>
  <c r="GU87" i="99" s="1"/>
  <c r="GV87" i="99" s="1"/>
  <c r="GW87" i="99" s="1"/>
  <c r="GX87" i="99" s="1"/>
  <c r="GY87" i="99" s="1"/>
  <c r="GZ87" i="99" s="1"/>
  <c r="HA87" i="99" s="1"/>
  <c r="HB87" i="99" s="1"/>
  <c r="HC87" i="99" s="1"/>
  <c r="HD87" i="99" s="1"/>
  <c r="HE87" i="99" s="1"/>
  <c r="HF87" i="99" s="1"/>
  <c r="HG87" i="99" s="1"/>
  <c r="HH87" i="99" s="1"/>
  <c r="HI87" i="99" s="1"/>
  <c r="HJ87" i="99" s="1"/>
  <c r="HK87" i="99" s="1"/>
  <c r="HL87" i="99" s="1"/>
  <c r="HM87" i="99" s="1"/>
  <c r="HN87" i="99" s="1"/>
  <c r="HO87" i="99" s="1"/>
  <c r="HP87" i="99" s="1"/>
  <c r="HQ87" i="99" s="1"/>
  <c r="HR87" i="99" s="1"/>
  <c r="HS87" i="99" s="1"/>
  <c r="HT87" i="99" s="1"/>
  <c r="HU87" i="99" s="1"/>
  <c r="HV87" i="99" s="1"/>
  <c r="HW87" i="99" s="1"/>
  <c r="HX87" i="99" s="1"/>
  <c r="HY87" i="99" s="1"/>
  <c r="HZ87" i="99" s="1"/>
  <c r="IA87" i="99" s="1"/>
  <c r="IB87" i="99" s="1"/>
  <c r="IC87" i="99" s="1"/>
  <c r="ID87" i="99" s="1"/>
  <c r="FT96" i="99" l="1"/>
  <c r="FT97" i="99" s="1"/>
  <c r="FT98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MSMB</author>
  </authors>
  <commentList>
    <comment ref="EO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H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H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T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S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U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W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T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T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U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T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S7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71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71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O71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S71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T71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U71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V71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W71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O73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O75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O76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O77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U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O81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O82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4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N84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O84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O86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R88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S88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T88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U88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9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O89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Z91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U99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3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T103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4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4" authorId="9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S104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U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5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5" authorId="9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S105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T105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U105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V105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10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S110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S114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U114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T121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U121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V121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<sst xmlns="http://schemas.openxmlformats.org/spreadsheetml/2006/main" count="1588" uniqueCount="1049">
  <si>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</si>
  <si>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</si>
  <si>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</si>
  <si>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</si>
  <si>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</si>
  <si>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</si>
  <si>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</si>
  <si>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</si>
  <si>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</si>
  <si>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</si>
  <si>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</si>
  <si>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</si>
  <si>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</si>
  <si>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</si>
  <si>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</si>
  <si>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</si>
  <si>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</si>
  <si>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</si>
  <si>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</si>
  <si>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</si>
  <si>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</si>
  <si>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</si>
  <si>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</si>
  <si>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</si>
  <si>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</si>
  <si>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</si>
  <si>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</si>
  <si>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</si>
  <si>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</si>
  <si>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</si>
  <si>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</si>
  <si>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</si>
  <si>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</si>
  <si>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</si>
  <si>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</si>
  <si>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</si>
  <si>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</si>
  <si>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</si>
  <si>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</si>
  <si>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</si>
  <si>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</si>
  <si>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</si>
  <si>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</si>
  <si>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</si>
  <si>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</si>
  <si>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</si>
  <si>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</si>
  <si>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</si>
  <si>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</si>
  <si>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</si>
  <si>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</si>
  <si>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</si>
  <si>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</si>
  <si>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</si>
  <si>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</si>
  <si>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</si>
  <si>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</si>
  <si>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</si>
  <si>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</si>
  <si>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</si>
  <si>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</si>
  <si>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</si>
  <si>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</si>
  <si>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</si>
  <si>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</si>
  <si>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</si>
  <si>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</si>
  <si>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</si>
  <si>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</si>
  <si>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</si>
  <si>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</si>
  <si>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</si>
  <si>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</si>
  <si>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</si>
  <si>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</si>
  <si>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</si>
  <si>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</si>
  <si>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</si>
  <si>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</si>
  <si>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</si>
  <si>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</si>
  <si>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</si>
  <si>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</si>
  <si>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</si>
  <si>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</si>
  <si>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</si>
  <si>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</si>
  <si>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</si>
  <si>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</si>
  <si>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</si>
  <si>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</si>
  <si>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</si>
  <si>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</si>
  <si>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</si>
  <si>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</si>
  <si>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</si>
  <si>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</si>
  <si>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</si>
  <si>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</si>
  <si>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</si>
  <si>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</si>
  <si>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</si>
  <si>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</si>
  <si>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</si>
  <si>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</si>
  <si>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</si>
  <si>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</si>
  <si>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</si>
  <si>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</si>
  <si>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</si>
  <si>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</si>
  <si>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</si>
  <si>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</si>
  <si>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</si>
  <si>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</si>
  <si>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</si>
  <si>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</si>
  <si>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</si>
  <si>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</si>
  <si>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</si>
  <si>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</si>
  <si>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</si>
  <si>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</si>
  <si>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</si>
  <si>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</si>
  <si>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</si>
  <si>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</si>
  <si>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</si>
  <si>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</si>
  <si>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</si>
  <si>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</si>
  <si>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</si>
  <si>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</si>
  <si>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</si>
  <si>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</si>
  <si>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</si>
  <si>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</si>
  <si>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</si>
  <si>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</si>
  <si>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</si>
  <si>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</si>
  <si>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</si>
  <si>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</si>
  <si>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</si>
  <si>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</si>
  <si>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</si>
  <si>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</si>
  <si>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</si>
  <si>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</si>
  <si>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</si>
  <si>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</si>
  <si>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</si>
  <si>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</si>
  <si>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</si>
  <si>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</si>
  <si>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</si>
  <si>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</si>
  <si>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</si>
  <si>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</si>
  <si>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</si>
  <si>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</si>
  <si>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</si>
  <si>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</si>
  <si>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</si>
  <si>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</si>
  <si>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</si>
  <si>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</si>
  <si>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</si>
  <si>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</si>
  <si>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</si>
  <si>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</si>
  <si>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</si>
  <si>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</si>
  <si>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</si>
  <si>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</si>
  <si>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</si>
  <si>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</si>
  <si>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</si>
  <si>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</si>
  <si>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</si>
  <si>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</si>
  <si>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</si>
  <si>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</si>
  <si>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</si>
  <si>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</si>
  <si>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</si>
  <si>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</si>
  <si>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</si>
  <si>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</si>
  <si>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</si>
  <si>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</si>
  <si>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</si>
  <si>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</si>
  <si>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</si>
  <si>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</si>
  <si>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</si>
  <si>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</si>
  <si>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</si>
  <si>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</si>
  <si>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</si>
  <si>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</si>
  <si>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</si>
  <si>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</si>
  <si>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</si>
  <si>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</si>
  <si>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</si>
  <si>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</si>
  <si>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</si>
  <si>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</si>
  <si>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</si>
  <si>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</si>
  <si>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</si>
  <si>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</si>
  <si>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</si>
  <si>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</si>
  <si>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</si>
  <si>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</si>
  <si>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</si>
  <si>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</si>
  <si>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</si>
  <si>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</si>
  <si>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</si>
  <si>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</si>
  <si>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</si>
  <si>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</si>
  <si>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</si>
  <si>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</si>
  <si>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</si>
  <si>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</si>
  <si>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</si>
  <si>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</si>
  <si>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</si>
  <si>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</si>
  <si>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</si>
  <si>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</si>
  <si>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</si>
  <si>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</si>
  <si>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</si>
  <si>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</si>
  <si>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</si>
  <si>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</si>
  <si>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</si>
  <si>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</si>
  <si>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</si>
  <si>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</si>
  <si>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</si>
  <si>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</si>
  <si>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</si>
  <si>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</si>
  <si>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</si>
  <si>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</si>
  <si>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</si>
  <si>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</si>
  <si>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</si>
  <si>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</si>
  <si>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</si>
  <si>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</si>
  <si>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</si>
  <si>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</si>
  <si>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</si>
  <si>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</si>
  <si>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</si>
  <si>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</si>
  <si>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</si>
  <si>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</si>
  <si>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</si>
  <si>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</si>
  <si>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</si>
  <si>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</si>
  <si>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</si>
  <si>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</si>
  <si>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</si>
  <si>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</si>
  <si>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</si>
  <si>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</si>
  <si>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</si>
  <si>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</si>
  <si>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</si>
  <si>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</si>
  <si>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</si>
  <si>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</si>
  <si>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</si>
  <si>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</si>
  <si>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</si>
  <si>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</si>
  <si>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</si>
  <si>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</si>
  <si>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</si>
  <si>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</si>
  <si>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</si>
  <si>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</si>
  <si>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</si>
  <si>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</si>
  <si>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</si>
  <si>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</si>
  <si>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</si>
  <si>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</si>
  <si>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</si>
  <si>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</si>
  <si>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</si>
  <si>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</si>
  <si>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</si>
  <si>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</si>
  <si>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</si>
  <si>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</si>
  <si>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</si>
  <si>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</si>
  <si>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</si>
  <si>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</si>
  <si>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</si>
  <si>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</si>
  <si>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</si>
  <si>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</si>
  <si>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</si>
  <si>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</si>
  <si>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</si>
  <si>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</si>
  <si>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</si>
  <si>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</si>
  <si>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</si>
  <si>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</si>
  <si>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</si>
  <si>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</si>
  <si>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</si>
  <si>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</si>
  <si>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</si>
  <si>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</si>
  <si>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</si>
  <si>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</si>
  <si>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</si>
  <si>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</si>
  <si>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</si>
  <si>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</si>
  <si>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</si>
  <si>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</si>
  <si>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</si>
  <si>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</si>
  <si>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</si>
  <si>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</si>
  <si>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</si>
  <si>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</si>
  <si>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</si>
  <si>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</si>
  <si>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</si>
  <si>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</si>
  <si>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</si>
  <si>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</si>
  <si>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</si>
  <si>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</si>
  <si>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</si>
  <si>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</si>
  <si>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</si>
  <si>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</si>
  <si>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</si>
  <si>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</si>
  <si>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</si>
  <si>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</si>
  <si>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</si>
  <si>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</si>
  <si>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</si>
  <si>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</si>
  <si>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</si>
  <si>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</si>
  <si>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</si>
  <si>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</si>
  <si>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</si>
  <si>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</si>
  <si>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</si>
  <si>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</si>
  <si>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</si>
  <si>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</si>
  <si>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</si>
  <si>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</si>
  <si>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</si>
  <si>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</si>
  <si>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</si>
  <si>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</si>
  <si>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</si>
  <si>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</si>
  <si>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</si>
  <si>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</si>
  <si>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</si>
  <si>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</si>
  <si>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</si>
  <si>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</si>
  <si>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</si>
  <si>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</si>
  <si>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</si>
  <si>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</si>
  <si>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</si>
  <si>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</si>
  <si>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</si>
  <si>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</si>
  <si>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</si>
  <si>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</si>
  <si>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</si>
  <si>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</si>
  <si>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</si>
  <si>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</si>
  <si>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</si>
  <si>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</si>
  <si>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</si>
  <si>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</si>
  <si>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</si>
  <si>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</si>
  <si>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</si>
  <si>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</si>
  <si>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</si>
  <si>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</si>
  <si>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</si>
  <si>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</si>
  <si>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</si>
  <si>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</si>
  <si>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</si>
  <si>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</si>
  <si>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</si>
  <si>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</si>
  <si>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</si>
  <si>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</si>
  <si>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</si>
  <si>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</si>
  <si>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</si>
  <si>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</si>
  <si>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</si>
  <si>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</si>
  <si>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</si>
  <si>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</si>
  <si>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</si>
  <si>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</si>
  <si>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</si>
  <si>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</si>
  <si>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</si>
  <si>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</si>
  <si>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</si>
  <si>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</si>
  <si>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</si>
  <si>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</si>
  <si>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</si>
  <si>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</si>
  <si>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</si>
  <si>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</si>
  <si>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</si>
  <si>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</si>
  <si>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</si>
  <si>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</si>
  <si>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</si>
  <si>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</si>
  <si>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</si>
  <si>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</si>
  <si>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</si>
  <si>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</si>
  <si>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</si>
  <si>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</si>
  <si>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</si>
  <si>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</si>
  <si>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</si>
  <si>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</si>
  <si>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</si>
  <si>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</si>
  <si>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</si>
  <si>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</si>
  <si>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</si>
  <si>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</si>
  <si>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</si>
  <si>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</si>
  <si>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</si>
  <si>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</si>
  <si>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</si>
  <si>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</si>
  <si>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</si>
  <si>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</si>
  <si>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</si>
  <si>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</si>
  <si>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</si>
  <si>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</si>
  <si>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</si>
  <si>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</si>
  <si>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</si>
  <si>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</si>
  <si>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</si>
  <si>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</si>
  <si>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</si>
  <si>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</si>
  <si>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</si>
  <si>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</si>
  <si>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</si>
  <si>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</si>
  <si>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</si>
  <si>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</si>
  <si>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</si>
  <si>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</si>
  <si>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</si>
  <si>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</si>
  <si>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</si>
  <si>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</si>
  <si>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</si>
  <si>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</si>
  <si>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</si>
  <si>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</si>
  <si>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</si>
  <si>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</si>
  <si>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</si>
  <si>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</si>
  <si>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</si>
  <si>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</si>
  <si>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</si>
  <si>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</si>
  <si>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</si>
  <si>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</si>
  <si>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</si>
  <si>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</si>
  <si>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</si>
  <si>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</si>
  <si>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</si>
  <si>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</si>
  <si>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</si>
  <si>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</si>
  <si>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</si>
  <si>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</si>
  <si>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</si>
  <si>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</si>
  <si>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</si>
  <si>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</si>
  <si>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</si>
  <si>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</si>
  <si>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</si>
  <si>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</si>
  <si>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</si>
  <si>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</si>
  <si>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</si>
  <si>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</si>
  <si>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</si>
  <si>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</si>
  <si>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</si>
  <si>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</si>
  <si>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</si>
  <si>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</si>
  <si>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</si>
  <si>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</si>
  <si>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</si>
  <si>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</si>
  <si>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</si>
  <si>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</si>
  <si>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</si>
  <si>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</si>
  <si>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</si>
  <si>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</si>
  <si>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</si>
  <si>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</si>
  <si>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</si>
  <si>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</si>
  <si>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</si>
  <si>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</si>
  <si>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</si>
  <si>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</si>
  <si>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</si>
  <si>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</si>
  <si>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</si>
  <si>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</si>
  <si>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</si>
  <si>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</si>
  <si>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</si>
  <si>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</si>
  <si>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</si>
  <si>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</si>
  <si>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</si>
  <si>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</si>
  <si>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</si>
  <si>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</si>
  <si>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</si>
  <si>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</si>
  <si>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</si>
  <si>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</si>
  <si>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</si>
  <si>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</si>
  <si>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</si>
  <si>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</si>
  <si>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</si>
  <si>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</si>
  <si>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</si>
  <si>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</si>
  <si>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</si>
  <si>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</si>
  <si>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</si>
  <si>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</si>
  <si>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</si>
  <si>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</si>
  <si>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</si>
  <si>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</si>
  <si>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</si>
  <si>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</si>
  <si>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</si>
  <si>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</si>
  <si>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</si>
  <si>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</si>
  <si>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</si>
  <si>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</si>
  <si>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</si>
  <si>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</si>
  <si>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</si>
  <si>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</si>
  <si>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</si>
  <si>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</si>
  <si>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</si>
  <si>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</si>
  <si>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</si>
  <si>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</si>
  <si>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</si>
  <si>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</si>
  <si>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</si>
  <si>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</si>
  <si>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</si>
  <si>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</si>
  <si>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</si>
  <si>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</si>
  <si>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</si>
  <si>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</si>
  <si>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</si>
  <si>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</si>
  <si>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</si>
  <si>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</si>
  <si>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</si>
  <si>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</si>
  <si>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</si>
  <si>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</si>
  <si>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</si>
  <si>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</si>
  <si>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</si>
  <si>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</si>
  <si>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</si>
  <si>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</si>
  <si>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</si>
  <si>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</si>
  <si>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</si>
  <si>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</si>
  <si>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</si>
  <si>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</si>
  <si>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</si>
  <si>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</si>
  <si>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</si>
  <si>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</si>
  <si>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</si>
  <si>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</si>
  <si>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</si>
  <si>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</si>
  <si>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</si>
  <si>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</si>
  <si>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</si>
  <si>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</si>
  <si>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</si>
  <si>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</si>
  <si>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</si>
  <si>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</si>
  <si>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</si>
  <si>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</si>
  <si>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</si>
  <si>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</si>
  <si>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</si>
  <si>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</si>
  <si>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</si>
  <si>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</si>
  <si>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</si>
  <si>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</si>
  <si>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</si>
  <si>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</si>
  <si>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</si>
  <si>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</si>
  <si>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</si>
  <si>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</si>
  <si>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</si>
  <si>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</si>
  <si>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</si>
  <si>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</si>
  <si>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</si>
  <si>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</si>
  <si>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</si>
  <si>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</si>
  <si>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</si>
  <si>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</si>
  <si>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</si>
  <si>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</si>
  <si>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</si>
  <si>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</si>
  <si>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</si>
  <si>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</si>
  <si>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</si>
  <si>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</si>
  <si>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</si>
  <si>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</si>
  <si>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</si>
  <si>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</si>
  <si>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</si>
  <si>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</si>
  <si>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</si>
  <si>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</si>
  <si>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</si>
  <si>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</si>
  <si>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</si>
  <si>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</si>
  <si>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</si>
  <si>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</si>
  <si>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</si>
  <si>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</si>
  <si>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</si>
  <si>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</si>
  <si>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</si>
  <si>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</si>
  <si>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</si>
  <si>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</si>
  <si>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</si>
  <si>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</si>
  <si>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</si>
  <si>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</si>
  <si>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</si>
  <si>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</si>
  <si>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</si>
  <si>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</si>
  <si>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</si>
  <si>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</si>
  <si>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</si>
  <si>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</si>
  <si>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</si>
  <si>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</si>
  <si>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</si>
  <si>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</si>
  <si>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</si>
  <si>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</si>
  <si>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</si>
  <si>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</si>
  <si>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</si>
  <si>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</si>
  <si>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</si>
  <si>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</si>
  <si>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</si>
  <si>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</si>
  <si>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</si>
  <si>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</si>
  <si>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</si>
  <si>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</si>
  <si>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</si>
  <si>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</si>
  <si>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</si>
  <si>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</si>
  <si>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</si>
  <si>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</si>
  <si>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</si>
  <si>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</si>
  <si>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</si>
  <si>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</si>
  <si>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</si>
  <si>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</si>
  <si>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</si>
  <si>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</si>
  <si>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</si>
  <si>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</si>
  <si>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</si>
  <si>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</si>
  <si>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</si>
  <si>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</si>
  <si>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</si>
  <si>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</si>
  <si>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</si>
  <si>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</si>
  <si>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</si>
  <si>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</si>
  <si>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</si>
  <si>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</si>
  <si>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</si>
  <si>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</si>
  <si>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</si>
  <si>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</si>
  <si>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</si>
  <si>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</si>
  <si>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</si>
  <si>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</si>
  <si>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</si>
  <si>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</si>
  <si>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</si>
  <si>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</si>
  <si>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</si>
  <si>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</si>
  <si>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</si>
  <si>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</si>
  <si>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</si>
  <si>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</si>
  <si>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</si>
  <si>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</si>
  <si>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</si>
  <si>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</si>
  <si>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</si>
  <si>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</si>
  <si>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</si>
  <si>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</si>
  <si>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</si>
  <si>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</si>
  <si>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</si>
  <si>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</si>
  <si>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</si>
  <si>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</si>
  <si>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</si>
  <si>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</si>
  <si>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</si>
  <si>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</si>
  <si>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</si>
  <si>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</si>
  <si>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</si>
  <si>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</si>
  <si>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</si>
  <si>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</si>
  <si>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</si>
  <si>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</si>
  <si>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</si>
  <si>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</si>
  <si>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</si>
  <si>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</si>
  <si>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</si>
  <si>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</si>
  <si>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</si>
  <si>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</si>
  <si>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</si>
  <si>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</si>
  <si>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</si>
  <si>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</si>
  <si>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</si>
  <si>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</si>
  <si>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</si>
  <si>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</si>
  <si>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</si>
  <si>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</si>
  <si>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</si>
  <si>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</si>
  <si>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</si>
  <si>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</si>
  <si>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</si>
  <si>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</si>
  <si>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</si>
  <si>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</si>
  <si>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</si>
  <si>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</si>
  <si>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</si>
  <si>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</si>
  <si>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</si>
  <si>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</si>
  <si>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</si>
  <si>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</si>
  <si>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</si>
  <si>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</si>
  <si>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</si>
  <si>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</si>
  <si>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</si>
  <si>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</si>
  <si>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</si>
  <si>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</si>
  <si>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</si>
  <si>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</si>
  <si>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</si>
  <si>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</si>
  <si>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</si>
  <si>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</si>
  <si>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</si>
  <si>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</si>
  <si>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</si>
  <si>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</si>
  <si>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</si>
  <si>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</si>
  <si>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</si>
  <si>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</si>
  <si>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</si>
  <si>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</si>
  <si>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</si>
  <si>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</si>
  <si>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</si>
  <si>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</si>
  <si>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</si>
  <si>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</si>
  <si>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</si>
  <si>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</si>
  <si>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</si>
  <si>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</si>
  <si>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</si>
  <si>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</si>
  <si>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</si>
  <si>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</si>
  <si>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</si>
  <si>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</si>
  <si>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</si>
  <si>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</si>
  <si>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</si>
  <si>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</si>
  <si>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</si>
  <si>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</si>
  <si>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</si>
  <si>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</si>
  <si>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</si>
  <si>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</si>
  <si>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</si>
  <si>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</si>
  <si>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</si>
  <si>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</si>
  <si>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</si>
  <si>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</si>
  <si>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</si>
  <si>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</si>
  <si>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</si>
  <si>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</si>
  <si>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</si>
  <si>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</si>
  <si>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</si>
  <si>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</si>
  <si>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</si>
  <si>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</si>
  <si>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</si>
  <si>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</si>
  <si>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</si>
  <si>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</si>
  <si>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</si>
  <si>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</si>
  <si>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</si>
  <si>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</si>
  <si>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</si>
  <si>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</si>
  <si>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</si>
  <si>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</si>
  <si>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</si>
  <si>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</si>
  <si>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</si>
  <si>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</si>
  <si>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</si>
  <si>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</si>
  <si>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</si>
  <si>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</si>
  <si>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</si>
  <si>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</si>
  <si>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</si>
  <si>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</si>
  <si>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</si>
  <si>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</si>
  <si>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</si>
  <si>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</si>
  <si>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</si>
  <si>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</si>
  <si>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</si>
  <si>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</si>
  <si>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</si>
  <si>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</si>
  <si>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</si>
  <si>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</si>
  <si>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</si>
  <si>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</si>
  <si>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</si>
  <si>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</si>
  <si>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</si>
  <si>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</si>
  <si>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</si>
  <si>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</si>
  <si>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</si>
  <si>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</si>
  <si>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</si>
  <si>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</si>
  <si>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</si>
  <si>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</si>
  <si>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</si>
  <si>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</si>
  <si>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</si>
  <si>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</si>
  <si>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</si>
  <si>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</si>
  <si>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</si>
  <si>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</si>
  <si>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</si>
  <si>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</si>
  <si>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</si>
  <si>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</si>
  <si>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</si>
  <si>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</si>
  <si>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</si>
  <si>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</si>
  <si>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</si>
  <si>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</si>
  <si>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</si>
  <si>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</si>
  <si>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</si>
  <si>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</si>
  <si>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</si>
  <si>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</si>
  <si>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</si>
  <si>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</si>
  <si>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</si>
  <si>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</si>
  <si>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</si>
  <si>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</si>
  <si>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</si>
  <si>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</si>
  <si>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</si>
  <si>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</si>
  <si>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</si>
  <si>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</si>
  <si>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</si>
  <si>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</si>
  <si>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</si>
  <si>
    <t>COB: Severin Schwan</t>
  </si>
  <si>
    <t>3/25/25: AGM. Dividend CHF 9.70.</t>
  </si>
  <si>
    <t>3/17/25: MDA presentations.</t>
  </si>
  <si>
    <t>SMA</t>
  </si>
  <si>
    <t>PTCT</t>
  </si>
  <si>
    <t>5-year data at MDA 2025</t>
  </si>
  <si>
    <t>oral</t>
  </si>
  <si>
    <t>Sarepta</t>
  </si>
  <si>
    <t>"EMBARK"</t>
  </si>
  <si>
    <t>2-year data at MDA 2025</t>
  </si>
  <si>
    <t>"101"</t>
  </si>
  <si>
    <t>"102"</t>
  </si>
  <si>
    <t>"ENDEAVOR"</t>
  </si>
  <si>
    <t>Phase III "SUNFISH" n=231 Type 2/3 SMA - NCT0290685</t>
  </si>
  <si>
    <t>RO7790121</t>
  </si>
  <si>
    <t>TL1A</t>
  </si>
  <si>
    <t>RO7486967</t>
  </si>
  <si>
    <t>NLRP3</t>
  </si>
  <si>
    <t>RO7673396</t>
  </si>
  <si>
    <t>RAS inhibitor</t>
  </si>
  <si>
    <t>RG7906</t>
  </si>
  <si>
    <t>TAAR agonist</t>
  </si>
  <si>
    <t>MASH, UC, AD</t>
  </si>
  <si>
    <t>Q125</t>
  </si>
  <si>
    <t>Q225</t>
  </si>
  <si>
    <t>Q325</t>
  </si>
  <si>
    <t>Q425</t>
  </si>
  <si>
    <t>Other Oncology</t>
  </si>
  <si>
    <t>Other Hematology</t>
  </si>
  <si>
    <t>Other Neurology</t>
  </si>
  <si>
    <t>Reported NI</t>
  </si>
  <si>
    <t>WC</t>
  </si>
  <si>
    <t>CFFI</t>
  </si>
  <si>
    <t>CapEx</t>
  </si>
  <si>
    <t>Purchase of Intangibles</t>
  </si>
  <si>
    <t>Divestments/Sales</t>
  </si>
  <si>
    <t>Acquisitions</t>
  </si>
  <si>
    <t>Investments</t>
  </si>
  <si>
    <t>CFFF</t>
  </si>
  <si>
    <t>ESOP</t>
  </si>
  <si>
    <t>Dividends</t>
  </si>
  <si>
    <t>Leases</t>
  </si>
  <si>
    <t>CIC</t>
  </si>
  <si>
    <t>FX</t>
  </si>
  <si>
    <t>Switzerland</t>
  </si>
  <si>
    <t>Basel</t>
  </si>
  <si>
    <t>Rotkreuz</t>
  </si>
  <si>
    <t>South San Francisco</t>
  </si>
  <si>
    <t>Penzberg,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</si>
</sst>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6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left"/>
    </xf>
    <xf numFmtId="3" fontId="0" fillId="4" borderId="0" xfId="0" applyNumberFormat="1" applyFill="1"/>
    <xf numFmtId="3" fontId="7" fillId="4" borderId="0" xfId="0" applyNumberFormat="1" applyFont="1" applyFill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119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165</xdr:col>
      <xdr:colOff>81169</xdr:colOff>
      <xdr:row>0</xdr:row>
      <xdr:rowOff>24848</xdr:rowOff>
    </xdr:from>
    <xdr:to>
      <xdr:col>165</xdr:col>
      <xdr:colOff>81169</xdr:colOff>
      <xdr:row>210</xdr:row>
      <xdr:rowOff>99390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3677539" y="24848"/>
          <a:ext cx="0" cy="33536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165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87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893897" y="0"/>
          <a:ext cx="0" cy="124679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H3" dT="2025-02-04T02:43:16.42" personId="{F29822AD-7CF0-4443-937D-C2B9090ACE38}" id="{66E92422-25F4-4D79-9581-4243C33214D4}">
    <text>44265</text>
  </threadedComment>
  <threadedComment ref="FH6" dT="2025-02-04T02:44:48.53" personId="{F29822AD-7CF0-4443-937D-C2B9090ACE38}" id="{FD684FC0-139D-4FC3-95C4-BDB00926A090}">
    <text>14451</text>
  </threadedComment>
  <threadedComment ref="EW71" dT="2022-07-08T05:58:42.15" personId="{F29822AD-7CF0-4443-937D-C2B9090ACE38}" id="{4F67C440-F225-48E5-8977-D72DD0D3FDD6}">
    <text>45499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39" t="s">
        <v>55</v>
      </c>
    </row>
    <row r="2" spans="1:3" x14ac:dyDescent="0.2">
      <c r="B2" s="1" t="s">
        <v>307</v>
      </c>
      <c r="C2" s="2" t="s">
        <v>453</v>
      </c>
    </row>
    <row r="3" spans="1:3" x14ac:dyDescent="0.2">
      <c r="B3" s="1" t="s">
        <v>309</v>
      </c>
      <c r="C3" s="2" t="s">
        <v>454</v>
      </c>
    </row>
    <row r="4" spans="1:3" x14ac:dyDescent="0.2">
      <c r="B4" s="1" t="s">
        <v>332</v>
      </c>
      <c r="C4" s="2" t="s">
        <v>456</v>
      </c>
    </row>
    <row r="5" spans="1:3" x14ac:dyDescent="0.2">
      <c r="B5" s="2" t="s">
        <v>444</v>
      </c>
      <c r="C5" s="2" t="s">
        <v>455</v>
      </c>
    </row>
    <row r="6" spans="1:3" x14ac:dyDescent="0.2">
      <c r="B6" s="2" t="s">
        <v>447</v>
      </c>
      <c r="C6" s="2" t="s">
        <v>506</v>
      </c>
    </row>
    <row r="7" spans="1:3" x14ac:dyDescent="0.2">
      <c r="B7" s="2" t="s">
        <v>449</v>
      </c>
      <c r="C7" s="2" t="s">
        <v>450</v>
      </c>
    </row>
    <row r="8" spans="1:3" x14ac:dyDescent="0.2">
      <c r="B8" s="2" t="s">
        <v>411</v>
      </c>
      <c r="C8" s="2" t="s">
        <v>412</v>
      </c>
    </row>
    <row r="9" spans="1:3" x14ac:dyDescent="0.2">
      <c r="B9" s="2" t="s">
        <v>445</v>
      </c>
      <c r="C9" s="2" t="s">
        <v>446</v>
      </c>
    </row>
    <row r="10" spans="1:3" x14ac:dyDescent="0.2">
      <c r="B10" s="2" t="s">
        <v>417</v>
      </c>
      <c r="C10" s="2" t="s">
        <v>420</v>
      </c>
    </row>
    <row r="11" spans="1:3" x14ac:dyDescent="0.2">
      <c r="B11" s="2" t="s">
        <v>418</v>
      </c>
      <c r="C11" s="2" t="s">
        <v>419</v>
      </c>
    </row>
    <row r="12" spans="1:3" x14ac:dyDescent="0.2">
      <c r="B12" s="2" t="s">
        <v>421</v>
      </c>
      <c r="C12" s="2" t="s">
        <v>422</v>
      </c>
    </row>
    <row r="13" spans="1:3" x14ac:dyDescent="0.2">
      <c r="B13" s="2" t="s">
        <v>451</v>
      </c>
      <c r="C13" s="2" t="s">
        <v>452</v>
      </c>
    </row>
    <row r="19" spans="2:3" x14ac:dyDescent="0.2">
      <c r="B19" s="2" t="s">
        <v>406</v>
      </c>
    </row>
    <row r="20" spans="2:3" x14ac:dyDescent="0.2">
      <c r="B20" s="2" t="s">
        <v>463</v>
      </c>
    </row>
    <row r="22" spans="2:3" x14ac:dyDescent="0.2">
      <c r="B22" s="40" t="s">
        <v>823</v>
      </c>
    </row>
    <row r="23" spans="2:3" x14ac:dyDescent="0.2">
      <c r="B23" s="1" t="s">
        <v>308</v>
      </c>
      <c r="C23" s="2" t="s">
        <v>824</v>
      </c>
    </row>
    <row r="24" spans="2:3" x14ac:dyDescent="0.2">
      <c r="B24" s="1" t="s">
        <v>310</v>
      </c>
      <c r="C24" s="2" t="s">
        <v>825</v>
      </c>
    </row>
    <row r="25" spans="2:3" x14ac:dyDescent="0.2">
      <c r="B25" s="2" t="s">
        <v>448</v>
      </c>
      <c r="C25" s="2" t="s">
        <v>826</v>
      </c>
    </row>
    <row r="26" spans="2:3" x14ac:dyDescent="0.2">
      <c r="B26" s="2" t="s">
        <v>416</v>
      </c>
      <c r="C26" s="2" t="s">
        <v>827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1E7-E82D-44AC-A17C-198506D7E061}">
  <dimension ref="A1:C16"/>
  <sheetViews>
    <sheetView zoomScale="205" zoomScaleNormal="205" workbookViewId="0"/>
  </sheetViews>
  <sheetFormatPr defaultRowHeight="12.75" x14ac:dyDescent="0.2"/>
  <cols>
    <col min="1" max="1" width="4.5703125" bestFit="1" customWidth="1"/>
    <col min="2" max="2" width="9.5703125" bestFit="1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957</v>
      </c>
    </row>
    <row r="3" spans="1:3" x14ac:dyDescent="0.2">
      <c r="B3" s="2" t="s">
        <v>814</v>
      </c>
    </row>
    <row r="4" spans="1:3" x14ac:dyDescent="0.2">
      <c r="B4" s="2" t="s">
        <v>65</v>
      </c>
      <c r="C4" s="2" t="s">
        <v>1007</v>
      </c>
    </row>
    <row r="5" spans="1:3" x14ac:dyDescent="0.2">
      <c r="B5" s="2" t="s">
        <v>53</v>
      </c>
    </row>
    <row r="6" spans="1:3" x14ac:dyDescent="0.2">
      <c r="C6" s="40" t="s">
        <v>1008</v>
      </c>
    </row>
    <row r="7" spans="1:3" x14ac:dyDescent="0.2">
      <c r="C7" s="2" t="s">
        <v>1009</v>
      </c>
    </row>
    <row r="10" spans="1:3" x14ac:dyDescent="0.2">
      <c r="C10" s="40" t="s">
        <v>1010</v>
      </c>
    </row>
    <row r="13" spans="1:3" x14ac:dyDescent="0.2">
      <c r="C13" s="40" t="s">
        <v>1011</v>
      </c>
    </row>
    <row r="16" spans="1:3" x14ac:dyDescent="0.2">
      <c r="C16" s="40" t="s">
        <v>1012</v>
      </c>
    </row>
  </sheetData>
  <hyperlinks>
    <hyperlink ref="A1" location="Main!A1" display="Main" xr:uid="{A7BDF025-D314-422D-8026-21AF8D9F40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1550-2C60-4D31-8950-C59764829BC8}">
  <dimension ref="A1:C8"/>
  <sheetViews>
    <sheetView zoomScale="220" zoomScaleNormal="220" workbookViewId="0"/>
  </sheetViews>
  <sheetFormatPr defaultRowHeight="12.75" x14ac:dyDescent="0.2"/>
  <cols>
    <col min="1" max="1" width="4.5703125" bestFit="1" customWidth="1"/>
    <col min="2" max="2" width="15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798</v>
      </c>
    </row>
    <row r="3" spans="1:3" x14ac:dyDescent="0.2">
      <c r="B3" s="2" t="s">
        <v>814</v>
      </c>
    </row>
    <row r="4" spans="1:3" x14ac:dyDescent="0.2">
      <c r="B4" s="2" t="s">
        <v>65</v>
      </c>
      <c r="C4" s="2" t="s">
        <v>1004</v>
      </c>
    </row>
    <row r="5" spans="1:3" x14ac:dyDescent="0.2">
      <c r="B5" s="2" t="s">
        <v>9</v>
      </c>
      <c r="C5" s="2" t="s">
        <v>1006</v>
      </c>
    </row>
    <row r="6" spans="1:3" x14ac:dyDescent="0.2">
      <c r="B6" s="2" t="s">
        <v>53</v>
      </c>
    </row>
    <row r="7" spans="1:3" x14ac:dyDescent="0.2">
      <c r="C7" s="40" t="s">
        <v>1013</v>
      </c>
    </row>
    <row r="8" spans="1:3" x14ac:dyDescent="0.2">
      <c r="C8" s="2" t="s">
        <v>1005</v>
      </c>
    </row>
  </sheetData>
  <hyperlinks>
    <hyperlink ref="A1" location="Main!A1" display="Main" xr:uid="{4C4B5457-511E-4CEF-98D6-780325045E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40625" defaultRowHeight="12.75" x14ac:dyDescent="0.2"/>
  <cols>
    <col min="1" max="1" width="5" style="5" bestFit="1" customWidth="1"/>
    <col min="2" max="2" width="13.140625" style="5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305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286</v>
      </c>
    </row>
    <row r="8" spans="1:3" x14ac:dyDescent="0.2">
      <c r="B8" s="5" t="s">
        <v>912</v>
      </c>
      <c r="C8" s="5" t="s">
        <v>913</v>
      </c>
    </row>
    <row r="9" spans="1:3" x14ac:dyDescent="0.2">
      <c r="B9" s="5" t="s">
        <v>914</v>
      </c>
      <c r="C9" s="5" t="s">
        <v>915</v>
      </c>
    </row>
    <row r="10" spans="1:3" x14ac:dyDescent="0.2">
      <c r="B10" s="5" t="s">
        <v>911</v>
      </c>
      <c r="C10" s="5" t="s">
        <v>917</v>
      </c>
    </row>
    <row r="11" spans="1:3" x14ac:dyDescent="0.2">
      <c r="B11" s="15" t="s">
        <v>9</v>
      </c>
      <c r="C11" s="3" t="s">
        <v>916</v>
      </c>
    </row>
    <row r="12" spans="1:3" x14ac:dyDescent="0.2">
      <c r="B12" s="3" t="s">
        <v>75</v>
      </c>
      <c r="C12" s="3" t="s">
        <v>485</v>
      </c>
    </row>
    <row r="13" spans="1:3" x14ac:dyDescent="0.2">
      <c r="B13" s="5" t="s">
        <v>53</v>
      </c>
    </row>
    <row r="14" spans="1:3" x14ac:dyDescent="0.2">
      <c r="C14" s="16" t="s">
        <v>167</v>
      </c>
    </row>
    <row r="15" spans="1:3" x14ac:dyDescent="0.2">
      <c r="C15" s="5" t="s">
        <v>170</v>
      </c>
    </row>
    <row r="17" spans="3:3" x14ac:dyDescent="0.2">
      <c r="C17" s="16" t="s">
        <v>292</v>
      </c>
    </row>
    <row r="18" spans="3:3" x14ac:dyDescent="0.2">
      <c r="C18" s="5" t="s">
        <v>171</v>
      </c>
    </row>
    <row r="20" spans="3:3" x14ac:dyDescent="0.2">
      <c r="C20" s="16" t="s">
        <v>218</v>
      </c>
    </row>
    <row r="21" spans="3:3" x14ac:dyDescent="0.2">
      <c r="C21" s="5" t="s">
        <v>219</v>
      </c>
    </row>
    <row r="23" spans="3:3" x14ac:dyDescent="0.2">
      <c r="C23" s="16" t="s">
        <v>220</v>
      </c>
    </row>
    <row r="25" spans="3:3" x14ac:dyDescent="0.2">
      <c r="C25" s="16" t="s">
        <v>403</v>
      </c>
    </row>
    <row r="26" spans="3:3" x14ac:dyDescent="0.2">
      <c r="C26" s="3" t="s">
        <v>396</v>
      </c>
    </row>
    <row r="27" spans="3:3" x14ac:dyDescent="0.2">
      <c r="C27" s="3"/>
    </row>
    <row r="28" spans="3:3" x14ac:dyDescent="0.2">
      <c r="C28" s="16" t="s">
        <v>516</v>
      </c>
    </row>
    <row r="29" spans="3:3" x14ac:dyDescent="0.2">
      <c r="C29" s="3" t="s">
        <v>517</v>
      </c>
    </row>
    <row r="30" spans="3:3" x14ac:dyDescent="0.2">
      <c r="C30" s="3"/>
    </row>
    <row r="31" spans="3:3" x14ac:dyDescent="0.2">
      <c r="C31" s="16" t="s">
        <v>518</v>
      </c>
    </row>
    <row r="32" spans="3:3" x14ac:dyDescent="0.2">
      <c r="C32" s="3" t="s">
        <v>519</v>
      </c>
    </row>
    <row r="33" spans="3:29" x14ac:dyDescent="0.2">
      <c r="C33" s="3"/>
    </row>
    <row r="34" spans="3:29" x14ac:dyDescent="0.2">
      <c r="C34" s="16" t="s">
        <v>513</v>
      </c>
    </row>
    <row r="35" spans="3:29" x14ac:dyDescent="0.2">
      <c r="C35" s="3" t="s">
        <v>520</v>
      </c>
    </row>
    <row r="36" spans="3:29" x14ac:dyDescent="0.2">
      <c r="C36" s="3"/>
    </row>
    <row r="37" spans="3:29" x14ac:dyDescent="0.2">
      <c r="C37" s="16" t="s">
        <v>679</v>
      </c>
    </row>
    <row r="38" spans="3:29" x14ac:dyDescent="0.2">
      <c r="C38" s="3" t="s">
        <v>680</v>
      </c>
    </row>
    <row r="39" spans="3:29" x14ac:dyDescent="0.2">
      <c r="C39" s="3"/>
    </row>
    <row r="40" spans="3:29" x14ac:dyDescent="0.2">
      <c r="C40" s="16" t="s">
        <v>681</v>
      </c>
    </row>
    <row r="41" spans="3:29" x14ac:dyDescent="0.2">
      <c r="C41" s="3" t="s">
        <v>682</v>
      </c>
    </row>
    <row r="43" spans="3:29" x14ac:dyDescent="0.2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x14ac:dyDescent="0.2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">
      <c r="B50" s="3" t="s">
        <v>397</v>
      </c>
    </row>
    <row r="51" spans="2:4" x14ac:dyDescent="0.2">
      <c r="C51" s="55">
        <v>39387</v>
      </c>
      <c r="D51" s="5">
        <v>197</v>
      </c>
    </row>
    <row r="52" spans="2:4" x14ac:dyDescent="0.2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793</v>
      </c>
    </row>
    <row r="3" spans="1:3" x14ac:dyDescent="0.2">
      <c r="B3" s="2" t="s">
        <v>814</v>
      </c>
    </row>
    <row r="4" spans="1:3" x14ac:dyDescent="0.2">
      <c r="B4" s="2" t="s">
        <v>44</v>
      </c>
      <c r="C4" s="2" t="s">
        <v>820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40625"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534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532</v>
      </c>
    </row>
    <row r="9" spans="1:3" x14ac:dyDescent="0.2">
      <c r="B9" s="5" t="s">
        <v>66</v>
      </c>
      <c r="C9" s="3" t="s">
        <v>531</v>
      </c>
    </row>
    <row r="10" spans="1:3" x14ac:dyDescent="0.2">
      <c r="B10" s="5" t="s">
        <v>81</v>
      </c>
      <c r="C10" s="5" t="s">
        <v>526</v>
      </c>
    </row>
    <row r="11" spans="1:3" x14ac:dyDescent="0.2">
      <c r="B11" s="3" t="s">
        <v>75</v>
      </c>
      <c r="C11" s="3" t="s">
        <v>561</v>
      </c>
    </row>
    <row r="12" spans="1:3" x14ac:dyDescent="0.2">
      <c r="B12" s="3" t="s">
        <v>96</v>
      </c>
      <c r="C12" s="3" t="s">
        <v>533</v>
      </c>
    </row>
    <row r="13" spans="1:3" x14ac:dyDescent="0.2">
      <c r="B13" s="3"/>
      <c r="C13" s="3" t="s">
        <v>535</v>
      </c>
    </row>
    <row r="14" spans="1:3" x14ac:dyDescent="0.2">
      <c r="B14" s="3"/>
      <c r="C14" s="3" t="s">
        <v>538</v>
      </c>
    </row>
    <row r="15" spans="1:3" x14ac:dyDescent="0.2">
      <c r="B15" s="3"/>
      <c r="C15" s="3" t="s">
        <v>545</v>
      </c>
    </row>
    <row r="16" spans="1:3" x14ac:dyDescent="0.2">
      <c r="B16" s="3"/>
      <c r="C16" s="3" t="s">
        <v>554</v>
      </c>
    </row>
    <row r="17" spans="2:3" x14ac:dyDescent="0.2">
      <c r="B17" s="3"/>
      <c r="C17" s="3" t="s">
        <v>562</v>
      </c>
    </row>
    <row r="18" spans="2:3" x14ac:dyDescent="0.2">
      <c r="B18" s="3"/>
      <c r="C18" s="3" t="s">
        <v>568</v>
      </c>
    </row>
    <row r="19" spans="2:3" x14ac:dyDescent="0.2">
      <c r="B19" s="5" t="s">
        <v>53</v>
      </c>
    </row>
    <row r="20" spans="2:3" x14ac:dyDescent="0.2">
      <c r="C20" s="16" t="s">
        <v>430</v>
      </c>
    </row>
    <row r="21" spans="2:3" x14ac:dyDescent="0.2">
      <c r="C21" s="3" t="s">
        <v>428</v>
      </c>
    </row>
    <row r="22" spans="2:3" x14ac:dyDescent="0.2">
      <c r="C22" s="3" t="s">
        <v>429</v>
      </c>
    </row>
    <row r="23" spans="2:3" x14ac:dyDescent="0.2">
      <c r="C23" s="3"/>
    </row>
    <row r="24" spans="2:3" x14ac:dyDescent="0.2">
      <c r="C24" s="16" t="s">
        <v>596</v>
      </c>
    </row>
    <row r="25" spans="2:3" x14ac:dyDescent="0.2">
      <c r="C25" s="3" t="s">
        <v>668</v>
      </c>
    </row>
    <row r="26" spans="2:3" x14ac:dyDescent="0.2">
      <c r="C26" s="16"/>
    </row>
    <row r="27" spans="2:3" x14ac:dyDescent="0.2">
      <c r="C27" s="16" t="s">
        <v>597</v>
      </c>
    </row>
    <row r="28" spans="2:3" x14ac:dyDescent="0.2">
      <c r="C28" s="3" t="s">
        <v>666</v>
      </c>
    </row>
    <row r="29" spans="2:3" x14ac:dyDescent="0.2">
      <c r="C29" s="3" t="s">
        <v>667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598</v>
      </c>
    </row>
    <row r="33" spans="3:3" x14ac:dyDescent="0.2">
      <c r="C33" s="16" t="s">
        <v>669</v>
      </c>
    </row>
    <row r="34" spans="3:3" x14ac:dyDescent="0.2">
      <c r="C34" s="3"/>
    </row>
    <row r="35" spans="3:3" x14ac:dyDescent="0.2">
      <c r="C35" s="16" t="s">
        <v>525</v>
      </c>
    </row>
    <row r="36" spans="3:3" x14ac:dyDescent="0.2">
      <c r="C36" s="3" t="s">
        <v>567</v>
      </c>
    </row>
    <row r="37" spans="3:3" x14ac:dyDescent="0.2">
      <c r="C37" s="3" t="s">
        <v>566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541</v>
      </c>
    </row>
    <row r="45" spans="3:3" x14ac:dyDescent="0.2">
      <c r="C45" s="16" t="s">
        <v>540</v>
      </c>
    </row>
    <row r="46" spans="3:3" x14ac:dyDescent="0.2">
      <c r="C46" s="3" t="s">
        <v>539</v>
      </c>
    </row>
    <row r="47" spans="3:3" x14ac:dyDescent="0.2">
      <c r="C47" s="3" t="s">
        <v>542</v>
      </c>
    </row>
    <row r="48" spans="3:3" x14ac:dyDescent="0.2">
      <c r="C48" s="3"/>
    </row>
    <row r="49" spans="3:3" x14ac:dyDescent="0.2">
      <c r="C49" s="16" t="s">
        <v>426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423</v>
      </c>
    </row>
    <row r="56" spans="3:3" x14ac:dyDescent="0.2">
      <c r="C56" s="3" t="s">
        <v>427</v>
      </c>
    </row>
    <row r="57" spans="3:3" x14ac:dyDescent="0.2">
      <c r="C57" s="16"/>
    </row>
    <row r="58" spans="3:3" x14ac:dyDescent="0.2">
      <c r="C58" s="3" t="s">
        <v>424</v>
      </c>
    </row>
    <row r="59" spans="3:3" x14ac:dyDescent="0.2">
      <c r="C59" s="3" t="s">
        <v>425</v>
      </c>
    </row>
    <row r="60" spans="3:3" x14ac:dyDescent="0.2">
      <c r="C60" s="3"/>
    </row>
    <row r="61" spans="3:3" x14ac:dyDescent="0.2">
      <c r="C61" s="16" t="s">
        <v>536</v>
      </c>
    </row>
    <row r="62" spans="3:3" x14ac:dyDescent="0.2">
      <c r="C62" s="3" t="s">
        <v>537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555</v>
      </c>
    </row>
    <row r="69" spans="3:3" x14ac:dyDescent="0.2">
      <c r="C69" s="3" t="s">
        <v>556</v>
      </c>
    </row>
    <row r="70" spans="3:3" x14ac:dyDescent="0.2">
      <c r="C70" s="3" t="s">
        <v>557</v>
      </c>
    </row>
    <row r="71" spans="3:3" x14ac:dyDescent="0.2">
      <c r="C71" s="3" t="s">
        <v>558</v>
      </c>
    </row>
    <row r="73" spans="3:3" x14ac:dyDescent="0.2">
      <c r="C73" s="16" t="s">
        <v>439</v>
      </c>
    </row>
    <row r="74" spans="3:3" x14ac:dyDescent="0.2">
      <c r="C74" s="3" t="s">
        <v>437</v>
      </c>
    </row>
    <row r="75" spans="3:3" x14ac:dyDescent="0.2">
      <c r="C75" s="3" t="s">
        <v>440</v>
      </c>
    </row>
    <row r="76" spans="3:3" x14ac:dyDescent="0.2">
      <c r="C76" s="3" t="s">
        <v>441</v>
      </c>
    </row>
    <row r="77" spans="3:3" x14ac:dyDescent="0.2">
      <c r="C77" s="3"/>
    </row>
    <row r="78" spans="3:3" x14ac:dyDescent="0.2">
      <c r="C78" s="16" t="s">
        <v>432</v>
      </c>
    </row>
    <row r="79" spans="3:3" x14ac:dyDescent="0.2">
      <c r="C79" s="3" t="s">
        <v>433</v>
      </c>
    </row>
    <row r="80" spans="3:3" x14ac:dyDescent="0.2">
      <c r="C80" s="3"/>
    </row>
    <row r="81" spans="3:3" x14ac:dyDescent="0.2">
      <c r="C81" s="16" t="s">
        <v>434</v>
      </c>
    </row>
    <row r="82" spans="3:3" x14ac:dyDescent="0.2">
      <c r="C82" s="3" t="s">
        <v>435</v>
      </c>
    </row>
    <row r="83" spans="3:3" x14ac:dyDescent="0.2">
      <c r="C83" s="3"/>
    </row>
    <row r="84" spans="3:3" x14ac:dyDescent="0.2">
      <c r="C84" s="3" t="s">
        <v>415</v>
      </c>
    </row>
    <row r="85" spans="3:3" x14ac:dyDescent="0.2">
      <c r="C85" s="16" t="s">
        <v>438</v>
      </c>
    </row>
    <row r="86" spans="3:3" x14ac:dyDescent="0.2">
      <c r="C86" s="16"/>
    </row>
    <row r="87" spans="3:3" x14ac:dyDescent="0.2">
      <c r="C87" s="16" t="s">
        <v>523</v>
      </c>
    </row>
    <row r="88" spans="3:3" x14ac:dyDescent="0.2">
      <c r="C88" s="3" t="s">
        <v>524</v>
      </c>
    </row>
    <row r="89" spans="3:3" x14ac:dyDescent="0.2">
      <c r="C89" s="3"/>
    </row>
    <row r="90" spans="3:3" x14ac:dyDescent="0.2">
      <c r="C90" s="16" t="s">
        <v>546</v>
      </c>
    </row>
    <row r="91" spans="3:3" x14ac:dyDescent="0.2">
      <c r="C91" s="3" t="s">
        <v>547</v>
      </c>
    </row>
    <row r="92" spans="3:3" x14ac:dyDescent="0.2">
      <c r="C92" s="3"/>
    </row>
    <row r="93" spans="3:3" x14ac:dyDescent="0.2">
      <c r="C93" s="16" t="s">
        <v>559</v>
      </c>
    </row>
    <row r="94" spans="3:3" x14ac:dyDescent="0.2">
      <c r="C94" s="3"/>
    </row>
    <row r="95" spans="3:3" x14ac:dyDescent="0.2">
      <c r="C95" s="16" t="s">
        <v>560</v>
      </c>
    </row>
    <row r="96" spans="3:3" x14ac:dyDescent="0.2">
      <c r="C96" s="16"/>
    </row>
    <row r="97" spans="2:4" x14ac:dyDescent="0.2">
      <c r="C97" s="16" t="s">
        <v>563</v>
      </c>
    </row>
    <row r="98" spans="2:4" x14ac:dyDescent="0.2">
      <c r="C98" s="16"/>
    </row>
    <row r="99" spans="2:4" x14ac:dyDescent="0.2">
      <c r="C99" s="16" t="s">
        <v>564</v>
      </c>
    </row>
    <row r="100" spans="2:4" x14ac:dyDescent="0.2">
      <c r="C100" s="16"/>
    </row>
    <row r="101" spans="2:4" x14ac:dyDescent="0.2">
      <c r="C101" s="16" t="s">
        <v>565</v>
      </c>
    </row>
    <row r="102" spans="2:4" x14ac:dyDescent="0.2">
      <c r="C102" s="16"/>
    </row>
    <row r="103" spans="2:4" x14ac:dyDescent="0.2">
      <c r="C103" s="16" t="s">
        <v>569</v>
      </c>
    </row>
    <row r="104" spans="2:4" x14ac:dyDescent="0.2">
      <c r="C104" s="3" t="s">
        <v>570</v>
      </c>
    </row>
    <row r="105" spans="2:4" x14ac:dyDescent="0.2">
      <c r="C105" s="16"/>
    </row>
    <row r="106" spans="2:4" x14ac:dyDescent="0.2">
      <c r="C106" s="16" t="s">
        <v>571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397</v>
      </c>
    </row>
    <row r="111" spans="2:4" x14ac:dyDescent="0.2">
      <c r="C111" s="55">
        <v>39387</v>
      </c>
      <c r="D111" s="5">
        <v>194</v>
      </c>
    </row>
    <row r="112" spans="2:4" x14ac:dyDescent="0.2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5546875" defaultRowHeight="12.75" x14ac:dyDescent="0.2"/>
  <cols>
    <col min="1" max="1" width="5" bestFit="1" customWidth="1"/>
    <col min="2" max="2" width="22.42578125" customWidth="1"/>
    <col min="3" max="26" width="8.7109375" customWidth="1"/>
  </cols>
  <sheetData>
    <row r="1" spans="1:26" x14ac:dyDescent="0.2">
      <c r="A1" s="39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543</v>
      </c>
    </row>
    <row r="5" spans="1:26" x14ac:dyDescent="0.2">
      <c r="B5" s="2" t="s">
        <v>544</v>
      </c>
    </row>
    <row r="8" spans="1:26" x14ac:dyDescent="0.2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x14ac:dyDescent="0.2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800</v>
      </c>
    </row>
    <row r="3" spans="1:3" x14ac:dyDescent="0.2">
      <c r="B3" s="2" t="s">
        <v>814</v>
      </c>
      <c r="C3" s="2" t="s">
        <v>850</v>
      </c>
    </row>
    <row r="4" spans="1:3" x14ac:dyDescent="0.2">
      <c r="B4" s="2" t="s">
        <v>44</v>
      </c>
      <c r="C4" s="2" t="s">
        <v>856</v>
      </c>
    </row>
    <row r="5" spans="1:3" x14ac:dyDescent="0.2">
      <c r="B5" s="2" t="s">
        <v>817</v>
      </c>
      <c r="C5" s="2" t="s">
        <v>848</v>
      </c>
    </row>
    <row r="6" spans="1:3" x14ac:dyDescent="0.2">
      <c r="B6" s="2" t="s">
        <v>65</v>
      </c>
      <c r="C6" s="2" t="s">
        <v>846</v>
      </c>
    </row>
    <row r="7" spans="1:3" x14ac:dyDescent="0.2">
      <c r="B7" s="2" t="s">
        <v>53</v>
      </c>
    </row>
    <row r="8" spans="1:3" x14ac:dyDescent="0.2">
      <c r="C8" s="40" t="s">
        <v>852</v>
      </c>
    </row>
    <row r="9" spans="1:3" x14ac:dyDescent="0.2">
      <c r="C9" s="2" t="s">
        <v>851</v>
      </c>
    </row>
    <row r="10" spans="1:3" x14ac:dyDescent="0.2">
      <c r="C10" s="2" t="s">
        <v>853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286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442</v>
      </c>
    </row>
    <row r="17" spans="2:4" x14ac:dyDescent="0.2">
      <c r="C17" s="3" t="s">
        <v>443</v>
      </c>
    </row>
    <row r="18" spans="2:4" x14ac:dyDescent="0.2">
      <c r="C18" s="15"/>
    </row>
    <row r="19" spans="2:4" x14ac:dyDescent="0.2">
      <c r="C19" s="16" t="s">
        <v>436</v>
      </c>
    </row>
    <row r="21" spans="2:4" x14ac:dyDescent="0.2">
      <c r="B21" s="3" t="s">
        <v>397</v>
      </c>
    </row>
    <row r="22" spans="2:4" x14ac:dyDescent="0.2">
      <c r="C22" s="55">
        <v>39387</v>
      </c>
      <c r="D22" s="5">
        <v>109</v>
      </c>
    </row>
    <row r="23" spans="2:4" x14ac:dyDescent="0.2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510</v>
      </c>
    </row>
    <row r="4" spans="1:3" x14ac:dyDescent="0.2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5546875" defaultRowHeight="12.75" x14ac:dyDescent="0.2"/>
  <cols>
    <col min="1" max="1" width="5" bestFit="1" customWidth="1"/>
    <col min="2" max="2" width="19.85546875" bestFit="1" customWidth="1"/>
    <col min="9" max="9" width="12.42578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5" t="s">
        <v>55</v>
      </c>
    </row>
    <row r="2" spans="1:19" x14ac:dyDescent="0.2">
      <c r="B2" s="40" t="s">
        <v>611</v>
      </c>
    </row>
    <row r="3" spans="1:19" x14ac:dyDescent="0.2">
      <c r="E3" s="2" t="s">
        <v>635</v>
      </c>
      <c r="F3" s="2" t="s">
        <v>636</v>
      </c>
    </row>
    <row r="4" spans="1:19" x14ac:dyDescent="0.2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75" x14ac:dyDescent="0.2"/>
  <cols>
    <col min="1" max="1" width="4.5703125" bestFit="1" customWidth="1"/>
    <col min="2" max="2" width="11.28515625" bestFit="1" customWidth="1"/>
  </cols>
  <sheetData>
    <row r="1" spans="1:3" x14ac:dyDescent="0.2">
      <c r="A1" s="39" t="s">
        <v>55</v>
      </c>
    </row>
    <row r="2" spans="1:3" x14ac:dyDescent="0.2">
      <c r="B2" t="s">
        <v>813</v>
      </c>
      <c r="C2" s="2" t="s">
        <v>967</v>
      </c>
    </row>
    <row r="3" spans="1:3" x14ac:dyDescent="0.2">
      <c r="B3" t="s">
        <v>814</v>
      </c>
      <c r="C3" t="s">
        <v>960</v>
      </c>
    </row>
    <row r="4" spans="1:3" x14ac:dyDescent="0.2">
      <c r="B4" t="s">
        <v>44</v>
      </c>
      <c r="C4" t="s">
        <v>961</v>
      </c>
    </row>
    <row r="5" spans="1:3" x14ac:dyDescent="0.2">
      <c r="B5" s="2" t="s">
        <v>817</v>
      </c>
      <c r="C5" s="2" t="s">
        <v>884</v>
      </c>
    </row>
    <row r="6" spans="1:3" x14ac:dyDescent="0.2">
      <c r="B6" t="s">
        <v>53</v>
      </c>
    </row>
    <row r="7" spans="1:3" x14ac:dyDescent="0.2">
      <c r="C7" s="40" t="s">
        <v>962</v>
      </c>
    </row>
    <row r="8" spans="1:3" x14ac:dyDescent="0.2">
      <c r="C8" s="2" t="s">
        <v>964</v>
      </c>
    </row>
    <row r="12" spans="1:3" x14ac:dyDescent="0.2">
      <c r="C12" s="40" t="s">
        <v>966</v>
      </c>
    </row>
    <row r="13" spans="1:3" x14ac:dyDescent="0.2">
      <c r="C13" s="2" t="s">
        <v>965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311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501</v>
      </c>
    </row>
    <row r="17" spans="3:3" x14ac:dyDescent="0.2">
      <c r="C17" s="4" t="s">
        <v>242</v>
      </c>
    </row>
    <row r="18" spans="3:3" x14ac:dyDescent="0.2">
      <c r="C18" s="3" t="s">
        <v>500</v>
      </c>
    </row>
    <row r="19" spans="3:3" x14ac:dyDescent="0.2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40625" defaultRowHeight="12.75" x14ac:dyDescent="0.2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 x14ac:dyDescent="0.2">
      <c r="A1" s="56" t="s">
        <v>55</v>
      </c>
    </row>
    <row r="2" spans="1:4" x14ac:dyDescent="0.2">
      <c r="B2" s="58" t="s">
        <v>49</v>
      </c>
      <c r="C2" s="58" t="s">
        <v>29</v>
      </c>
    </row>
    <row r="3" spans="1:4" x14ac:dyDescent="0.2">
      <c r="B3" s="58" t="s">
        <v>397</v>
      </c>
    </row>
    <row r="4" spans="1:4" x14ac:dyDescent="0.2">
      <c r="C4" s="59">
        <v>39387</v>
      </c>
      <c r="D4" s="57">
        <v>69</v>
      </c>
    </row>
    <row r="5" spans="1:4" x14ac:dyDescent="0.2">
      <c r="C5" s="59">
        <v>39356</v>
      </c>
      <c r="D5" s="57">
        <v>74</v>
      </c>
    </row>
    <row r="6" spans="1:4" x14ac:dyDescent="0.2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689</v>
      </c>
    </row>
    <row r="9" spans="1:3" x14ac:dyDescent="0.2">
      <c r="C9" s="3" t="s">
        <v>690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40625" defaultRowHeight="12.75" x14ac:dyDescent="0.2"/>
  <cols>
    <col min="1" max="1" width="5" style="76" bestFit="1" customWidth="1"/>
    <col min="2" max="2" width="14" style="76" bestFit="1" customWidth="1"/>
    <col min="3" max="16384" width="9.140625" style="76"/>
  </cols>
  <sheetData>
    <row r="1" spans="1:3" x14ac:dyDescent="0.2">
      <c r="A1" s="78" t="s">
        <v>55</v>
      </c>
    </row>
    <row r="2" spans="1:3" x14ac:dyDescent="0.2">
      <c r="B2" s="76" t="s">
        <v>49</v>
      </c>
      <c r="C2" s="76" t="s">
        <v>498</v>
      </c>
    </row>
    <row r="3" spans="1:3" x14ac:dyDescent="0.2">
      <c r="B3" s="76" t="s">
        <v>51</v>
      </c>
      <c r="C3" s="76" t="s">
        <v>497</v>
      </c>
    </row>
    <row r="4" spans="1:3" x14ac:dyDescent="0.2">
      <c r="B4" s="76" t="s">
        <v>44</v>
      </c>
      <c r="C4" s="76" t="s">
        <v>352</v>
      </c>
    </row>
    <row r="5" spans="1:3" x14ac:dyDescent="0.2">
      <c r="B5" s="76" t="s">
        <v>66</v>
      </c>
      <c r="C5" s="76" t="s">
        <v>496</v>
      </c>
    </row>
    <row r="6" spans="1:3" x14ac:dyDescent="0.2">
      <c r="B6" s="76" t="s">
        <v>65</v>
      </c>
      <c r="C6" s="76" t="s">
        <v>495</v>
      </c>
    </row>
    <row r="7" spans="1:3" x14ac:dyDescent="0.2">
      <c r="C7" s="76" t="s">
        <v>494</v>
      </c>
    </row>
    <row r="8" spans="1:3" x14ac:dyDescent="0.2">
      <c r="C8" s="76" t="s">
        <v>493</v>
      </c>
    </row>
    <row r="9" spans="1:3" x14ac:dyDescent="0.2">
      <c r="C9" s="76" t="s">
        <v>492</v>
      </c>
    </row>
    <row r="10" spans="1:3" x14ac:dyDescent="0.2">
      <c r="B10" s="76" t="s">
        <v>491</v>
      </c>
    </row>
    <row r="11" spans="1:3" x14ac:dyDescent="0.2">
      <c r="C11" s="77" t="s">
        <v>490</v>
      </c>
    </row>
    <row r="12" spans="1:3" x14ac:dyDescent="0.2">
      <c r="C12" s="77"/>
    </row>
    <row r="13" spans="1:3" x14ac:dyDescent="0.2">
      <c r="C13" s="77" t="s">
        <v>499</v>
      </c>
    </row>
    <row r="14" spans="1:3" x14ac:dyDescent="0.2">
      <c r="C14" s="77"/>
    </row>
    <row r="15" spans="1:3" x14ac:dyDescent="0.2">
      <c r="C15" s="77" t="s">
        <v>489</v>
      </c>
    </row>
    <row r="17" spans="3:3" x14ac:dyDescent="0.2">
      <c r="C17" s="77" t="s">
        <v>488</v>
      </c>
    </row>
    <row r="18" spans="3:3" x14ac:dyDescent="0.2">
      <c r="C18" s="76" t="s">
        <v>594</v>
      </c>
    </row>
    <row r="20" spans="3:3" x14ac:dyDescent="0.2">
      <c r="C20" s="77" t="s">
        <v>487</v>
      </c>
    </row>
    <row r="21" spans="3:3" x14ac:dyDescent="0.2">
      <c r="C21" s="76" t="s">
        <v>594</v>
      </c>
    </row>
    <row r="23" spans="3:3" x14ac:dyDescent="0.2">
      <c r="C23" s="77" t="s">
        <v>486</v>
      </c>
    </row>
    <row r="25" spans="3:3" x14ac:dyDescent="0.2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39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397</v>
      </c>
      <c r="C3" s="5"/>
      <c r="D3" s="5"/>
    </row>
    <row r="4" spans="1:4" x14ac:dyDescent="0.2">
      <c r="B4" s="5"/>
      <c r="C4" s="55">
        <v>39387</v>
      </c>
      <c r="D4" s="5">
        <v>37</v>
      </c>
    </row>
    <row r="5" spans="1:4" x14ac:dyDescent="0.2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39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0" t="s">
        <v>55</v>
      </c>
    </row>
    <row r="2" spans="1:3" x14ac:dyDescent="0.2">
      <c r="B2" s="5" t="s">
        <v>49</v>
      </c>
      <c r="C2" s="3" t="s">
        <v>528</v>
      </c>
    </row>
    <row r="3" spans="1:3" x14ac:dyDescent="0.2">
      <c r="B3" s="5" t="s">
        <v>51</v>
      </c>
      <c r="C3" s="5" t="s">
        <v>527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521</v>
      </c>
    </row>
    <row r="15" spans="1:3" x14ac:dyDescent="0.2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3" max="3" width="11.42578125" customWidth="1"/>
    <col min="6" max="6" width="10.140625" customWidth="1"/>
    <col min="7" max="7" width="13.140625" customWidth="1"/>
  </cols>
  <sheetData>
    <row r="1" spans="1:8" x14ac:dyDescent="0.2">
      <c r="A1" s="39" t="s">
        <v>55</v>
      </c>
    </row>
    <row r="2" spans="1:8" x14ac:dyDescent="0.2">
      <c r="B2" s="2" t="s">
        <v>813</v>
      </c>
      <c r="C2" s="2" t="s">
        <v>814</v>
      </c>
      <c r="D2" s="2" t="s">
        <v>44</v>
      </c>
      <c r="E2" s="2" t="s">
        <v>87</v>
      </c>
      <c r="F2" s="2" t="s">
        <v>65</v>
      </c>
      <c r="G2" s="2" t="s">
        <v>817</v>
      </c>
    </row>
    <row r="3" spans="1:8" x14ac:dyDescent="0.2">
      <c r="B3" s="2" t="s">
        <v>33</v>
      </c>
      <c r="C3" s="2" t="s">
        <v>818</v>
      </c>
      <c r="D3" s="2" t="s">
        <v>86</v>
      </c>
      <c r="E3">
        <v>1999</v>
      </c>
      <c r="F3" s="2" t="s">
        <v>819</v>
      </c>
      <c r="G3" s="2" t="s">
        <v>399</v>
      </c>
    </row>
    <row r="4" spans="1:8" x14ac:dyDescent="0.2">
      <c r="B4" s="2" t="s">
        <v>113</v>
      </c>
      <c r="C4" s="2" t="s">
        <v>821</v>
      </c>
      <c r="D4" s="2" t="s">
        <v>206</v>
      </c>
      <c r="E4" s="101">
        <v>36959</v>
      </c>
    </row>
    <row r="6" spans="1:8" x14ac:dyDescent="0.2">
      <c r="B6" s="3" t="s">
        <v>704</v>
      </c>
    </row>
    <row r="7" spans="1:8" x14ac:dyDescent="0.2">
      <c r="B7" s="3" t="s">
        <v>731</v>
      </c>
    </row>
    <row r="8" spans="1:8" x14ac:dyDescent="0.2">
      <c r="B8" s="3" t="s">
        <v>750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745</v>
      </c>
    </row>
    <row r="13" spans="1:8" x14ac:dyDescent="0.2">
      <c r="B13" s="3" t="s">
        <v>744</v>
      </c>
    </row>
    <row r="14" spans="1:8" x14ac:dyDescent="0.2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">
      <c r="B26" s="53" t="s">
        <v>879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878</v>
      </c>
      <c r="H26" s="35" t="s">
        <v>253</v>
      </c>
    </row>
    <row r="27" spans="2:8" x14ac:dyDescent="0.2">
      <c r="B27" s="53" t="s">
        <v>880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">
      <c r="B29" s="53" t="s">
        <v>346</v>
      </c>
      <c r="C29" s="10" t="s">
        <v>283</v>
      </c>
      <c r="D29" s="10" t="s">
        <v>80</v>
      </c>
      <c r="E29" s="41" t="s">
        <v>881</v>
      </c>
      <c r="F29" s="10" t="s">
        <v>347</v>
      </c>
      <c r="G29" s="36" t="s">
        <v>161</v>
      </c>
    </row>
    <row r="30" spans="2:8" x14ac:dyDescent="0.2">
      <c r="B30" s="53" t="s">
        <v>712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">
      <c r="B34" s="53" t="s">
        <v>729</v>
      </c>
      <c r="C34" s="10" t="s">
        <v>698</v>
      </c>
      <c r="D34" s="10" t="s">
        <v>80</v>
      </c>
      <c r="E34" s="41" t="s">
        <v>573</v>
      </c>
      <c r="F34" s="10" t="s">
        <v>699</v>
      </c>
      <c r="G34" s="35" t="s">
        <v>253</v>
      </c>
    </row>
    <row r="35" spans="2:7" x14ac:dyDescent="0.2">
      <c r="B35" s="53" t="s">
        <v>892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  <row r="37" spans="2:7" x14ac:dyDescent="0.2">
      <c r="B37" s="53" t="s">
        <v>1020</v>
      </c>
      <c r="C37" s="10" t="s">
        <v>268</v>
      </c>
      <c r="D37" s="10" t="s">
        <v>80</v>
      </c>
      <c r="F37" s="10" t="s">
        <v>1021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1" t="s">
        <v>49</v>
      </c>
      <c r="C2" s="1" t="s">
        <v>293</v>
      </c>
    </row>
    <row r="3" spans="1:3" x14ac:dyDescent="0.2">
      <c r="B3" s="1" t="s">
        <v>51</v>
      </c>
      <c r="C3" s="1" t="s">
        <v>294</v>
      </c>
    </row>
    <row r="4" spans="1:3" x14ac:dyDescent="0.2">
      <c r="B4" s="1" t="s">
        <v>44</v>
      </c>
      <c r="C4" s="1" t="s">
        <v>295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507</v>
      </c>
    </row>
    <row r="10" spans="1:3" x14ac:dyDescent="0.2">
      <c r="C10" s="3" t="s">
        <v>508</v>
      </c>
    </row>
    <row r="11" spans="1:3" x14ac:dyDescent="0.2">
      <c r="C11" s="3" t="s">
        <v>509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2"/>
  <sheetViews>
    <sheetView tabSelected="1" zoomScale="130" zoomScaleNormal="130" workbookViewId="0">
      <selection activeCell="J8" sqref="J8"/>
    </sheetView>
  </sheetViews>
  <sheetFormatPr defaultColWidth="9.140625"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876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f>+J6-17337</f>
        <v>16862</v>
      </c>
      <c r="K5" s="54" t="s">
        <v>928</v>
      </c>
    </row>
    <row r="6" spans="1:13" x14ac:dyDescent="0.2">
      <c r="B6" s="38" t="s">
        <v>948</v>
      </c>
      <c r="C6" s="10" t="s">
        <v>820</v>
      </c>
      <c r="D6" s="118">
        <v>43055</v>
      </c>
      <c r="E6" s="10" t="s">
        <v>949</v>
      </c>
      <c r="F6" s="10"/>
      <c r="G6" s="35" t="s">
        <v>161</v>
      </c>
      <c r="I6" s="3" t="s">
        <v>577</v>
      </c>
      <c r="J6" s="21">
        <v>34199</v>
      </c>
      <c r="K6" s="54" t="s">
        <v>928</v>
      </c>
      <c r="L6" s="3"/>
      <c r="M6" s="3"/>
    </row>
    <row r="7" spans="1:13" x14ac:dyDescent="0.2">
      <c r="B7" s="38" t="s">
        <v>810</v>
      </c>
      <c r="C7" s="10" t="s">
        <v>811</v>
      </c>
      <c r="D7" s="118">
        <v>42508</v>
      </c>
      <c r="E7" s="14">
        <v>1</v>
      </c>
      <c r="F7" s="10" t="s">
        <v>812</v>
      </c>
      <c r="G7" s="35" t="s">
        <v>161</v>
      </c>
      <c r="I7" s="4" t="s">
        <v>108</v>
      </c>
      <c r="J7" s="21">
        <f>J4-J5+J6</f>
        <v>245451.85500000001</v>
      </c>
      <c r="L7" s="3"/>
      <c r="M7" s="3"/>
    </row>
    <row r="8" spans="1:13" x14ac:dyDescent="0.2">
      <c r="B8" s="38" t="s">
        <v>703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">
      <c r="B9" s="38" t="s">
        <v>822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">
      <c r="B13" s="38" t="s">
        <v>730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">
      <c r="B14" s="38" t="s">
        <v>751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">
      <c r="B16" s="38" t="s">
        <v>845</v>
      </c>
      <c r="C16" s="10" t="s">
        <v>849</v>
      </c>
      <c r="E16" s="41" t="s">
        <v>846</v>
      </c>
      <c r="F16" s="10" t="s">
        <v>848</v>
      </c>
      <c r="G16" s="83" t="s">
        <v>847</v>
      </c>
    </row>
    <row r="17" spans="2:11" x14ac:dyDescent="0.2">
      <c r="B17" s="53" t="s">
        <v>711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">
      <c r="B18" s="53" t="s">
        <v>752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">
      <c r="B19" s="38" t="s">
        <v>798</v>
      </c>
      <c r="C19" s="10" t="s">
        <v>1003</v>
      </c>
      <c r="D19" s="10"/>
      <c r="E19" s="41" t="s">
        <v>1004</v>
      </c>
      <c r="F19" s="10"/>
      <c r="G19" s="35"/>
    </row>
    <row r="20" spans="2:11" x14ac:dyDescent="0.2">
      <c r="B20" s="53" t="s">
        <v>908</v>
      </c>
      <c r="C20" s="10" t="s">
        <v>86</v>
      </c>
      <c r="D20" s="122">
        <v>43397</v>
      </c>
      <c r="E20" s="41">
        <v>1</v>
      </c>
      <c r="F20" s="10"/>
      <c r="G20" s="35"/>
    </row>
    <row r="21" spans="2:11" x14ac:dyDescent="0.2">
      <c r="B21" s="53" t="s">
        <v>906</v>
      </c>
      <c r="C21" s="10" t="s">
        <v>907</v>
      </c>
      <c r="D21" s="122">
        <v>44057</v>
      </c>
      <c r="E21" s="41">
        <v>1</v>
      </c>
      <c r="F21" s="10" t="s">
        <v>83</v>
      </c>
      <c r="G21" s="35" t="s">
        <v>161</v>
      </c>
      <c r="I21" s="3" t="s">
        <v>972</v>
      </c>
    </row>
    <row r="22" spans="2:11" x14ac:dyDescent="0.2">
      <c r="B22" s="53" t="s">
        <v>963</v>
      </c>
      <c r="C22" s="10" t="s">
        <v>146</v>
      </c>
      <c r="D22" s="122"/>
      <c r="E22" s="41"/>
      <c r="F22" s="10"/>
      <c r="G22" s="35"/>
    </row>
    <row r="23" spans="2:11" x14ac:dyDescent="0.2">
      <c r="B23" s="53" t="s">
        <v>902</v>
      </c>
      <c r="C23" s="10" t="s">
        <v>903</v>
      </c>
      <c r="D23" s="122">
        <v>44917</v>
      </c>
      <c r="E23" s="41">
        <v>1</v>
      </c>
      <c r="F23" s="10" t="s">
        <v>883</v>
      </c>
      <c r="G23" s="35" t="s">
        <v>890</v>
      </c>
    </row>
    <row r="24" spans="2:11" x14ac:dyDescent="0.2">
      <c r="B24" s="38" t="s">
        <v>904</v>
      </c>
      <c r="C24" s="10" t="s">
        <v>313</v>
      </c>
      <c r="D24" s="122">
        <v>44589</v>
      </c>
      <c r="E24" s="41">
        <v>1</v>
      </c>
      <c r="F24" s="10" t="s">
        <v>905</v>
      </c>
      <c r="G24" s="35" t="s">
        <v>890</v>
      </c>
    </row>
    <row r="25" spans="2:11" x14ac:dyDescent="0.2">
      <c r="B25" s="38" t="s">
        <v>994</v>
      </c>
      <c r="C25" s="10" t="s">
        <v>146</v>
      </c>
      <c r="D25" s="122">
        <v>44011</v>
      </c>
      <c r="E25" s="41" t="s">
        <v>995</v>
      </c>
      <c r="F25" s="10" t="s">
        <v>163</v>
      </c>
      <c r="G25" s="35"/>
      <c r="I25" s="3" t="s">
        <v>1000</v>
      </c>
    </row>
    <row r="26" spans="2:11" x14ac:dyDescent="0.2">
      <c r="B26" s="38" t="s">
        <v>266</v>
      </c>
      <c r="C26" s="11" t="s">
        <v>239</v>
      </c>
      <c r="D26" s="11">
        <v>1998</v>
      </c>
      <c r="E26" s="14">
        <v>1</v>
      </c>
      <c r="F26" s="10" t="s">
        <v>400</v>
      </c>
      <c r="G26" s="83" t="s">
        <v>512</v>
      </c>
      <c r="I26" s="3" t="s">
        <v>950</v>
      </c>
      <c r="K26" s="21"/>
    </row>
    <row r="27" spans="2:11" x14ac:dyDescent="0.2">
      <c r="B27" s="53" t="s">
        <v>728</v>
      </c>
      <c r="C27" s="10" t="s">
        <v>324</v>
      </c>
      <c r="D27" s="10"/>
      <c r="E27" s="37" t="s">
        <v>321</v>
      </c>
      <c r="F27" s="33" t="s">
        <v>325</v>
      </c>
      <c r="G27" s="35" t="s">
        <v>253</v>
      </c>
      <c r="I27" s="3" t="s">
        <v>951</v>
      </c>
    </row>
    <row r="28" spans="2:11" x14ac:dyDescent="0.2">
      <c r="B28" s="7" t="s">
        <v>47</v>
      </c>
      <c r="C28" s="11" t="s">
        <v>45</v>
      </c>
      <c r="D28" s="11">
        <v>2007</v>
      </c>
      <c r="E28" s="11" t="s">
        <v>73</v>
      </c>
      <c r="F28" s="11" t="s">
        <v>72</v>
      </c>
      <c r="G28" s="84" t="s">
        <v>211</v>
      </c>
      <c r="I28" s="3" t="s">
        <v>953</v>
      </c>
    </row>
    <row r="29" spans="2:11" x14ac:dyDescent="0.2">
      <c r="B29" s="6"/>
      <c r="C29" s="9"/>
      <c r="D29" s="9" t="s">
        <v>46</v>
      </c>
      <c r="E29" s="9"/>
      <c r="F29" s="9"/>
      <c r="G29" s="12"/>
      <c r="I29" s="3" t="s">
        <v>854</v>
      </c>
    </row>
    <row r="30" spans="2:11" x14ac:dyDescent="0.2">
      <c r="B30" s="119" t="s">
        <v>897</v>
      </c>
      <c r="C30" s="10" t="s">
        <v>877</v>
      </c>
      <c r="D30" s="10" t="s">
        <v>114</v>
      </c>
      <c r="E30" s="41" t="s">
        <v>898</v>
      </c>
      <c r="G30" s="36"/>
      <c r="I30" s="3" t="s">
        <v>952</v>
      </c>
    </row>
    <row r="31" spans="2:11" x14ac:dyDescent="0.2">
      <c r="B31" s="53" t="s">
        <v>882</v>
      </c>
      <c r="C31" s="10" t="s">
        <v>849</v>
      </c>
      <c r="D31" s="10" t="s">
        <v>114</v>
      </c>
      <c r="F31" s="10" t="s">
        <v>883</v>
      </c>
      <c r="G31" s="120" t="s">
        <v>890</v>
      </c>
    </row>
    <row r="32" spans="2:11" x14ac:dyDescent="0.2">
      <c r="B32" s="38" t="s">
        <v>896</v>
      </c>
      <c r="C32" s="10" t="s">
        <v>961</v>
      </c>
      <c r="D32" s="10" t="s">
        <v>114</v>
      </c>
      <c r="E32" s="14">
        <v>1</v>
      </c>
      <c r="F32" s="10" t="s">
        <v>884</v>
      </c>
      <c r="G32" s="120" t="s">
        <v>161</v>
      </c>
    </row>
    <row r="33" spans="2:9" x14ac:dyDescent="0.2">
      <c r="B33" s="53" t="s">
        <v>899</v>
      </c>
      <c r="C33" s="10" t="s">
        <v>123</v>
      </c>
      <c r="D33" s="10" t="s">
        <v>114</v>
      </c>
      <c r="F33" s="10" t="s">
        <v>900</v>
      </c>
      <c r="G33" s="120"/>
    </row>
    <row r="34" spans="2:9" x14ac:dyDescent="0.2">
      <c r="B34" s="53" t="s">
        <v>909</v>
      </c>
      <c r="C34" s="10"/>
      <c r="D34" s="10" t="s">
        <v>114</v>
      </c>
      <c r="F34" s="10" t="s">
        <v>910</v>
      </c>
      <c r="G34" s="120"/>
      <c r="I34" s="3"/>
    </row>
    <row r="35" spans="2:9" x14ac:dyDescent="0.2">
      <c r="B35" s="53" t="s">
        <v>885</v>
      </c>
      <c r="C35" s="10" t="s">
        <v>887</v>
      </c>
      <c r="F35" s="10" t="s">
        <v>886</v>
      </c>
      <c r="G35" s="120" t="s">
        <v>529</v>
      </c>
    </row>
    <row r="36" spans="2:9" x14ac:dyDescent="0.2">
      <c r="B36" s="53" t="s">
        <v>888</v>
      </c>
      <c r="C36" s="10" t="s">
        <v>891</v>
      </c>
      <c r="F36" s="10" t="s">
        <v>889</v>
      </c>
      <c r="G36" s="120" t="s">
        <v>890</v>
      </c>
    </row>
    <row r="37" spans="2:9" x14ac:dyDescent="0.2">
      <c r="B37" s="53" t="s">
        <v>894</v>
      </c>
      <c r="C37" s="10"/>
      <c r="F37" s="10" t="s">
        <v>895</v>
      </c>
      <c r="G37" s="120" t="s">
        <v>890</v>
      </c>
    </row>
    <row r="38" spans="2:9" x14ac:dyDescent="0.2">
      <c r="B38" s="53" t="s">
        <v>901</v>
      </c>
      <c r="C38" s="10" t="s">
        <v>359</v>
      </c>
      <c r="D38" s="10" t="s">
        <v>114</v>
      </c>
      <c r="E38" s="41" t="s">
        <v>360</v>
      </c>
      <c r="F38" s="10" t="s">
        <v>361</v>
      </c>
      <c r="G38" s="35" t="s">
        <v>161</v>
      </c>
    </row>
    <row r="39" spans="2:9" x14ac:dyDescent="0.2">
      <c r="B39" s="53" t="s">
        <v>968</v>
      </c>
      <c r="C39" s="10" t="s">
        <v>969</v>
      </c>
      <c r="D39" s="10" t="s">
        <v>80</v>
      </c>
      <c r="E39" s="41" t="s">
        <v>970</v>
      </c>
      <c r="F39" s="10" t="s">
        <v>971</v>
      </c>
      <c r="G39" s="35" t="s">
        <v>161</v>
      </c>
    </row>
    <row r="40" spans="2:9" x14ac:dyDescent="0.2">
      <c r="B40" s="53" t="s">
        <v>1014</v>
      </c>
      <c r="C40" s="10" t="s">
        <v>1022</v>
      </c>
      <c r="D40" s="10" t="s">
        <v>80</v>
      </c>
      <c r="E40" s="41"/>
      <c r="F40" s="10" t="s">
        <v>1015</v>
      </c>
      <c r="G40" s="35" t="s">
        <v>161</v>
      </c>
    </row>
    <row r="41" spans="2:9" x14ac:dyDescent="0.2">
      <c r="B41" s="53" t="s">
        <v>1016</v>
      </c>
      <c r="C41" s="10" t="s">
        <v>349</v>
      </c>
      <c r="D41" s="10" t="s">
        <v>110</v>
      </c>
      <c r="E41" s="41"/>
      <c r="F41" s="10" t="s">
        <v>1017</v>
      </c>
      <c r="G41" s="35"/>
    </row>
    <row r="42" spans="2:9" x14ac:dyDescent="0.2">
      <c r="B42" s="53" t="s">
        <v>733</v>
      </c>
      <c r="C42" s="10" t="s">
        <v>359</v>
      </c>
      <c r="D42" s="10"/>
      <c r="E42" s="41"/>
      <c r="F42" s="10" t="s">
        <v>361</v>
      </c>
      <c r="G42" s="35" t="s">
        <v>161</v>
      </c>
    </row>
    <row r="43" spans="2:9" x14ac:dyDescent="0.2">
      <c r="B43" s="53" t="s">
        <v>737</v>
      </c>
      <c r="C43" s="10" t="s">
        <v>734</v>
      </c>
      <c r="D43" s="10" t="s">
        <v>110</v>
      </c>
      <c r="E43" s="41">
        <v>1</v>
      </c>
      <c r="F43" s="10" t="s">
        <v>735</v>
      </c>
      <c r="G43" s="35" t="s">
        <v>253</v>
      </c>
      <c r="I43" s="16" t="s">
        <v>1044</v>
      </c>
    </row>
    <row r="44" spans="2:9" x14ac:dyDescent="0.2">
      <c r="B44" s="53" t="s">
        <v>740</v>
      </c>
      <c r="C44" s="10" t="s">
        <v>359</v>
      </c>
      <c r="D44" s="10" t="s">
        <v>110</v>
      </c>
      <c r="E44" s="41">
        <v>1</v>
      </c>
      <c r="F44" s="10" t="s">
        <v>741</v>
      </c>
      <c r="G44" s="35"/>
      <c r="I44" s="3" t="s">
        <v>1045</v>
      </c>
    </row>
    <row r="45" spans="2:9" x14ac:dyDescent="0.2">
      <c r="B45" s="53" t="s">
        <v>736</v>
      </c>
      <c r="C45" s="10" t="s">
        <v>359</v>
      </c>
      <c r="D45" s="10" t="s">
        <v>110</v>
      </c>
      <c r="E45" s="41" t="s">
        <v>738</v>
      </c>
      <c r="F45" s="10" t="s">
        <v>739</v>
      </c>
      <c r="G45" s="35" t="s">
        <v>253</v>
      </c>
      <c r="I45" s="3" t="s">
        <v>1046</v>
      </c>
    </row>
    <row r="46" spans="2:9" x14ac:dyDescent="0.2">
      <c r="B46" s="53" t="s">
        <v>742</v>
      </c>
      <c r="C46" s="10" t="s">
        <v>268</v>
      </c>
      <c r="D46" s="10" t="s">
        <v>110</v>
      </c>
      <c r="E46" s="41">
        <v>1</v>
      </c>
      <c r="F46" s="10" t="s">
        <v>743</v>
      </c>
      <c r="G46" s="35"/>
    </row>
    <row r="47" spans="2:9" x14ac:dyDescent="0.2">
      <c r="B47" s="53" t="s">
        <v>708</v>
      </c>
      <c r="C47" s="10" t="s">
        <v>359</v>
      </c>
      <c r="D47" s="10" t="s">
        <v>110</v>
      </c>
      <c r="E47" s="41">
        <v>1</v>
      </c>
      <c r="F47" s="10" t="s">
        <v>709</v>
      </c>
      <c r="G47" s="35" t="s">
        <v>253</v>
      </c>
      <c r="I47" s="3" t="s">
        <v>1047</v>
      </c>
    </row>
    <row r="48" spans="2:9" s="17" customFormat="1" x14ac:dyDescent="0.2">
      <c r="B48" s="53" t="s">
        <v>705</v>
      </c>
      <c r="C48" s="10" t="s">
        <v>706</v>
      </c>
      <c r="D48" s="10" t="s">
        <v>110</v>
      </c>
      <c r="E48" s="41">
        <v>1</v>
      </c>
      <c r="F48" s="10" t="s">
        <v>707</v>
      </c>
      <c r="G48" s="35" t="s">
        <v>253</v>
      </c>
      <c r="I48" s="3" t="s">
        <v>1048</v>
      </c>
    </row>
    <row r="49" spans="2:9" s="17" customFormat="1" x14ac:dyDescent="0.2">
      <c r="B49" s="8" t="s">
        <v>278</v>
      </c>
      <c r="C49" s="11" t="s">
        <v>115</v>
      </c>
      <c r="D49" s="11" t="s">
        <v>110</v>
      </c>
      <c r="E49" s="14">
        <v>1</v>
      </c>
      <c r="F49" s="10" t="s">
        <v>383</v>
      </c>
      <c r="G49" s="35" t="s">
        <v>253</v>
      </c>
    </row>
    <row r="50" spans="2:9" x14ac:dyDescent="0.2">
      <c r="B50" s="53" t="s">
        <v>691</v>
      </c>
      <c r="C50" s="10" t="s">
        <v>115</v>
      </c>
      <c r="D50" s="10" t="s">
        <v>110</v>
      </c>
      <c r="E50" s="41">
        <v>1</v>
      </c>
      <c r="F50" s="10" t="s">
        <v>474</v>
      </c>
      <c r="G50" s="35" t="s">
        <v>161</v>
      </c>
    </row>
    <row r="51" spans="2:9" x14ac:dyDescent="0.2">
      <c r="B51" s="53" t="s">
        <v>279</v>
      </c>
      <c r="C51" s="10" t="s">
        <v>115</v>
      </c>
      <c r="D51" s="10" t="s">
        <v>110</v>
      </c>
      <c r="E51" s="41">
        <v>1</v>
      </c>
      <c r="F51" s="10" t="s">
        <v>606</v>
      </c>
      <c r="G51" s="35"/>
    </row>
    <row r="52" spans="2:9" x14ac:dyDescent="0.2">
      <c r="B52" s="53" t="s">
        <v>370</v>
      </c>
      <c r="C52" s="10" t="s">
        <v>115</v>
      </c>
      <c r="D52" s="10" t="s">
        <v>110</v>
      </c>
      <c r="E52" s="41">
        <v>1</v>
      </c>
      <c r="F52" s="10" t="s">
        <v>473</v>
      </c>
      <c r="G52" s="35" t="s">
        <v>253</v>
      </c>
    </row>
    <row r="53" spans="2:9" x14ac:dyDescent="0.2">
      <c r="B53" s="53" t="s">
        <v>384</v>
      </c>
      <c r="C53" s="10" t="s">
        <v>115</v>
      </c>
      <c r="D53" s="10" t="s">
        <v>110</v>
      </c>
      <c r="E53" s="41">
        <v>1</v>
      </c>
      <c r="F53" s="10" t="s">
        <v>385</v>
      </c>
      <c r="G53" s="35" t="s">
        <v>161</v>
      </c>
    </row>
    <row r="54" spans="2:9" x14ac:dyDescent="0.2">
      <c r="B54" s="53" t="s">
        <v>670</v>
      </c>
      <c r="C54" s="10" t="s">
        <v>115</v>
      </c>
      <c r="D54" s="10" t="s">
        <v>110</v>
      </c>
      <c r="E54" s="41">
        <v>1</v>
      </c>
      <c r="F54" s="10" t="s">
        <v>386</v>
      </c>
      <c r="G54" s="35" t="s">
        <v>253</v>
      </c>
    </row>
    <row r="55" spans="2:9" x14ac:dyDescent="0.2">
      <c r="B55" s="53" t="s">
        <v>371</v>
      </c>
      <c r="C55" s="10" t="s">
        <v>115</v>
      </c>
      <c r="D55" s="10" t="s">
        <v>110</v>
      </c>
      <c r="E55" s="41">
        <v>1</v>
      </c>
      <c r="G55" s="35" t="s">
        <v>253</v>
      </c>
    </row>
    <row r="56" spans="2:9" x14ac:dyDescent="0.2">
      <c r="B56" s="53" t="s">
        <v>368</v>
      </c>
      <c r="C56" s="11" t="s">
        <v>115</v>
      </c>
      <c r="D56" s="11" t="s">
        <v>110</v>
      </c>
      <c r="E56" s="14">
        <v>1</v>
      </c>
      <c r="F56" s="10" t="s">
        <v>369</v>
      </c>
      <c r="G56" s="35" t="s">
        <v>253</v>
      </c>
    </row>
    <row r="57" spans="2:9" x14ac:dyDescent="0.2">
      <c r="B57" s="53" t="s">
        <v>918</v>
      </c>
      <c r="C57" s="10" t="s">
        <v>919</v>
      </c>
      <c r="D57" s="10" t="s">
        <v>110</v>
      </c>
      <c r="E57" s="14">
        <v>1</v>
      </c>
      <c r="F57" s="10" t="s">
        <v>920</v>
      </c>
      <c r="G57" s="35"/>
    </row>
    <row r="58" spans="2:9" x14ac:dyDescent="0.2">
      <c r="B58" s="53" t="s">
        <v>921</v>
      </c>
      <c r="C58" s="10" t="s">
        <v>919</v>
      </c>
      <c r="D58" s="10" t="s">
        <v>110</v>
      </c>
      <c r="E58" s="14">
        <v>1</v>
      </c>
      <c r="F58" s="10" t="s">
        <v>922</v>
      </c>
      <c r="G58" s="35"/>
    </row>
    <row r="59" spans="2:9" x14ac:dyDescent="0.2">
      <c r="B59" s="53" t="s">
        <v>607</v>
      </c>
      <c r="C59" s="10" t="s">
        <v>115</v>
      </c>
      <c r="D59" s="10" t="s">
        <v>110</v>
      </c>
      <c r="E59" s="14">
        <v>1</v>
      </c>
      <c r="F59" s="10"/>
      <c r="G59" s="35" t="s">
        <v>253</v>
      </c>
    </row>
    <row r="60" spans="2:9" x14ac:dyDescent="0.2">
      <c r="B60" s="53" t="s">
        <v>574</v>
      </c>
      <c r="C60" s="10" t="s">
        <v>115</v>
      </c>
      <c r="D60" s="10" t="s">
        <v>110</v>
      </c>
      <c r="E60" s="41" t="s">
        <v>575</v>
      </c>
      <c r="F60" s="10"/>
      <c r="G60" s="35" t="s">
        <v>253</v>
      </c>
    </row>
    <row r="61" spans="2:9" x14ac:dyDescent="0.2">
      <c r="B61" s="53" t="s">
        <v>671</v>
      </c>
      <c r="C61" s="10" t="s">
        <v>605</v>
      </c>
      <c r="D61" s="10" t="s">
        <v>110</v>
      </c>
      <c r="E61" s="41">
        <v>1</v>
      </c>
      <c r="F61" s="10" t="s">
        <v>386</v>
      </c>
      <c r="G61" s="35" t="s">
        <v>253</v>
      </c>
    </row>
    <row r="62" spans="2:9" x14ac:dyDescent="0.2">
      <c r="B62" s="53" t="s">
        <v>375</v>
      </c>
      <c r="C62" s="10" t="s">
        <v>115</v>
      </c>
      <c r="D62" s="10" t="s">
        <v>110</v>
      </c>
      <c r="E62" s="41">
        <v>1</v>
      </c>
      <c r="F62" s="10" t="s">
        <v>472</v>
      </c>
      <c r="G62" s="35" t="s">
        <v>253</v>
      </c>
    </row>
    <row r="63" spans="2:9" x14ac:dyDescent="0.2">
      <c r="B63" s="53" t="s">
        <v>365</v>
      </c>
      <c r="C63" s="10" t="s">
        <v>366</v>
      </c>
      <c r="D63" s="10" t="s">
        <v>110</v>
      </c>
      <c r="E63" s="14">
        <v>1</v>
      </c>
      <c r="F63" s="10" t="s">
        <v>367</v>
      </c>
      <c r="G63" s="35" t="s">
        <v>211</v>
      </c>
    </row>
    <row r="64" spans="2:9" x14ac:dyDescent="0.2">
      <c r="B64" s="53" t="s">
        <v>590</v>
      </c>
      <c r="C64" s="10" t="s">
        <v>115</v>
      </c>
      <c r="D64" s="10" t="s">
        <v>110</v>
      </c>
      <c r="E64" s="14">
        <v>1</v>
      </c>
      <c r="F64" s="10" t="s">
        <v>591</v>
      </c>
      <c r="G64" s="35" t="s">
        <v>253</v>
      </c>
      <c r="I64" s="3" t="s">
        <v>959</v>
      </c>
    </row>
    <row r="65" spans="2:7" x14ac:dyDescent="0.2">
      <c r="B65" s="96" t="s">
        <v>732</v>
      </c>
      <c r="C65" s="121" t="s">
        <v>349</v>
      </c>
      <c r="D65" s="121" t="s">
        <v>110</v>
      </c>
      <c r="E65" s="97">
        <v>1</v>
      </c>
      <c r="F65" s="121" t="s">
        <v>350</v>
      </c>
      <c r="G65" s="98" t="s">
        <v>161</v>
      </c>
    </row>
    <row r="66" spans="2:7" s="17" customFormat="1" x14ac:dyDescent="0.2">
      <c r="B66" s="53" t="s">
        <v>576</v>
      </c>
      <c r="C66" s="10" t="s">
        <v>465</v>
      </c>
      <c r="D66" s="10" t="s">
        <v>80</v>
      </c>
      <c r="E66" s="14">
        <v>1</v>
      </c>
      <c r="F66" s="10" t="s">
        <v>466</v>
      </c>
      <c r="G66" s="35" t="s">
        <v>161</v>
      </c>
    </row>
    <row r="67" spans="2:7" x14ac:dyDescent="0.2">
      <c r="B67" s="53" t="s">
        <v>351</v>
      </c>
      <c r="C67" s="10" t="s">
        <v>352</v>
      </c>
      <c r="D67" s="10" t="s">
        <v>110</v>
      </c>
      <c r="E67" s="14">
        <v>1</v>
      </c>
      <c r="F67" s="10" t="s">
        <v>353</v>
      </c>
      <c r="G67" s="35" t="s">
        <v>161</v>
      </c>
    </row>
    <row r="68" spans="2:7" x14ac:dyDescent="0.2">
      <c r="B68" s="53" t="s">
        <v>372</v>
      </c>
      <c r="C68" s="10" t="s">
        <v>115</v>
      </c>
      <c r="D68" s="10" t="s">
        <v>110</v>
      </c>
      <c r="E68" s="41" t="s">
        <v>373</v>
      </c>
      <c r="F68" s="10" t="s">
        <v>374</v>
      </c>
      <c r="G68" s="35" t="s">
        <v>161</v>
      </c>
    </row>
    <row r="69" spans="2:7" x14ac:dyDescent="0.2">
      <c r="B69" s="53" t="s">
        <v>1018</v>
      </c>
      <c r="C69" s="10" t="s">
        <v>811</v>
      </c>
      <c r="D69" s="10" t="s">
        <v>110</v>
      </c>
      <c r="E69" s="41"/>
      <c r="F69" s="10" t="s">
        <v>1019</v>
      </c>
      <c r="G69" s="35" t="s">
        <v>253</v>
      </c>
    </row>
    <row r="70" spans="2:7" x14ac:dyDescent="0.2">
      <c r="B70" s="53" t="s">
        <v>584</v>
      </c>
      <c r="C70" s="10" t="s">
        <v>413</v>
      </c>
      <c r="D70" s="10" t="s">
        <v>110</v>
      </c>
      <c r="E70" s="41" t="s">
        <v>414</v>
      </c>
      <c r="F70" s="10" t="s">
        <v>583</v>
      </c>
      <c r="G70" s="35" t="s">
        <v>253</v>
      </c>
    </row>
    <row r="71" spans="2:7" x14ac:dyDescent="0.2">
      <c r="B71" s="53"/>
      <c r="C71" s="10" t="s">
        <v>388</v>
      </c>
      <c r="D71" s="10" t="s">
        <v>110</v>
      </c>
      <c r="E71" s="41">
        <v>1</v>
      </c>
      <c r="F71" s="10" t="s">
        <v>390</v>
      </c>
      <c r="G71" s="35" t="s">
        <v>253</v>
      </c>
    </row>
    <row r="72" spans="2:7" x14ac:dyDescent="0.2">
      <c r="B72" s="53"/>
      <c r="C72" s="10" t="s">
        <v>389</v>
      </c>
      <c r="D72" s="10" t="s">
        <v>110</v>
      </c>
      <c r="E72" s="41">
        <v>1</v>
      </c>
      <c r="F72" s="10" t="s">
        <v>391</v>
      </c>
      <c r="G72" s="35" t="s">
        <v>161</v>
      </c>
    </row>
    <row r="73" spans="2:7" x14ac:dyDescent="0.2">
      <c r="B73" s="61" t="s">
        <v>343</v>
      </c>
      <c r="C73" s="62" t="s">
        <v>283</v>
      </c>
      <c r="D73" s="62" t="s">
        <v>80</v>
      </c>
      <c r="E73" s="22">
        <v>1</v>
      </c>
      <c r="F73" s="62" t="s">
        <v>344</v>
      </c>
      <c r="G73" s="63" t="s">
        <v>161</v>
      </c>
    </row>
    <row r="75" spans="2:7" x14ac:dyDescent="0.2">
      <c r="B75" s="3"/>
      <c r="F75" s="18" t="s">
        <v>103</v>
      </c>
    </row>
    <row r="76" spans="2:7" x14ac:dyDescent="0.2">
      <c r="B76" s="3"/>
      <c r="F76" s="18" t="s">
        <v>120</v>
      </c>
    </row>
    <row r="77" spans="2:7" x14ac:dyDescent="0.2">
      <c r="B77" s="3"/>
      <c r="F77" s="18" t="s">
        <v>243</v>
      </c>
    </row>
    <row r="78" spans="2:7" x14ac:dyDescent="0.2">
      <c r="F78" s="18" t="s">
        <v>241</v>
      </c>
    </row>
    <row r="79" spans="2:7" x14ac:dyDescent="0.2">
      <c r="F79" s="18" t="s">
        <v>333</v>
      </c>
    </row>
    <row r="80" spans="2:7" x14ac:dyDescent="0.2">
      <c r="F80" s="18" t="s">
        <v>331</v>
      </c>
    </row>
    <row r="81" spans="6:6" x14ac:dyDescent="0.2">
      <c r="F81" s="18" t="s">
        <v>330</v>
      </c>
    </row>
    <row r="82" spans="6:6" x14ac:dyDescent="0.2">
      <c r="F82" s="18" t="s">
        <v>306</v>
      </c>
    </row>
    <row r="83" spans="6:6" x14ac:dyDescent="0.2">
      <c r="F83" s="18" t="s">
        <v>329</v>
      </c>
    </row>
    <row r="84" spans="6:6" x14ac:dyDescent="0.2">
      <c r="F84" s="18" t="s">
        <v>326</v>
      </c>
    </row>
    <row r="85" spans="6:6" x14ac:dyDescent="0.2">
      <c r="F85" s="18" t="s">
        <v>458</v>
      </c>
    </row>
    <row r="86" spans="6:6" x14ac:dyDescent="0.2">
      <c r="F86" s="18" t="s">
        <v>398</v>
      </c>
    </row>
    <row r="87" spans="6:6" x14ac:dyDescent="0.2">
      <c r="F87" s="18" t="s">
        <v>505</v>
      </c>
    </row>
    <row r="88" spans="6:6" x14ac:dyDescent="0.2">
      <c r="F88" s="18" t="s">
        <v>515</v>
      </c>
    </row>
    <row r="89" spans="6:6" x14ac:dyDescent="0.2">
      <c r="F89" s="18" t="s">
        <v>503</v>
      </c>
    </row>
    <row r="90" spans="6:6" x14ac:dyDescent="0.2">
      <c r="F90" s="18" t="s">
        <v>431</v>
      </c>
    </row>
    <row r="91" spans="6:6" x14ac:dyDescent="0.2">
      <c r="F91" s="18" t="s">
        <v>595</v>
      </c>
    </row>
    <row r="92" spans="6:6" x14ac:dyDescent="0.2">
      <c r="F92" s="18" t="s">
        <v>692</v>
      </c>
    </row>
    <row r="93" spans="6:6" x14ac:dyDescent="0.2">
      <c r="F93" s="18" t="s">
        <v>475</v>
      </c>
    </row>
    <row r="94" spans="6:6" x14ac:dyDescent="0.2">
      <c r="F94" s="18" t="s">
        <v>710</v>
      </c>
    </row>
    <row r="96" spans="6:6" x14ac:dyDescent="0.2">
      <c r="F96" s="117" t="s">
        <v>833</v>
      </c>
    </row>
    <row r="97" spans="6:6" x14ac:dyDescent="0.2">
      <c r="F97" s="117" t="s">
        <v>834</v>
      </c>
    </row>
    <row r="98" spans="6:6" x14ac:dyDescent="0.2">
      <c r="F98" s="117"/>
    </row>
    <row r="99" spans="6:6" x14ac:dyDescent="0.2">
      <c r="F99" s="3" t="s">
        <v>855</v>
      </c>
    </row>
    <row r="100" spans="6:6" x14ac:dyDescent="0.2">
      <c r="F100" s="117" t="s">
        <v>841</v>
      </c>
    </row>
    <row r="101" spans="6:6" x14ac:dyDescent="0.2">
      <c r="F101" s="3" t="s">
        <v>946</v>
      </c>
    </row>
    <row r="102" spans="6:6" x14ac:dyDescent="0.2">
      <c r="F102" s="3" t="s">
        <v>947</v>
      </c>
    </row>
    <row r="103" spans="6:6" x14ac:dyDescent="0.2">
      <c r="F103" s="117" t="s">
        <v>923</v>
      </c>
    </row>
    <row r="104" spans="6:6" x14ac:dyDescent="0.2">
      <c r="F104" s="117" t="s">
        <v>924</v>
      </c>
    </row>
    <row r="105" spans="6:6" x14ac:dyDescent="0.2">
      <c r="F105" s="117" t="s">
        <v>1002</v>
      </c>
    </row>
    <row r="106" spans="6:6" x14ac:dyDescent="0.2">
      <c r="F106" s="123" t="s">
        <v>1001</v>
      </c>
    </row>
    <row r="107" spans="6:6" x14ac:dyDescent="0.2">
      <c r="F107" s="117"/>
    </row>
    <row r="108" spans="6:6" x14ac:dyDescent="0.2">
      <c r="F108" s="117"/>
    </row>
    <row r="109" spans="6:6" x14ac:dyDescent="0.2">
      <c r="F109" s="117"/>
    </row>
    <row r="110" spans="6:6" x14ac:dyDescent="0.2">
      <c r="F110" s="117"/>
    </row>
    <row r="111" spans="6:6" x14ac:dyDescent="0.2">
      <c r="F111" s="117"/>
    </row>
    <row r="112" spans="6:6" x14ac:dyDescent="0.2">
      <c r="F112" s="117"/>
    </row>
  </sheetData>
  <phoneticPr fontId="17" type="noConversion"/>
  <hyperlinks>
    <hyperlink ref="B28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6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2" location="tiragolumab!A1" display="RG6058 (tiragolumab)" xr:uid="{1AD505D8-4B83-4C31-819B-4E2178915B14}"/>
    <hyperlink ref="B24" location="Vabysmo!A1" display="Vabysmo (faricimab)" xr:uid="{13BD768C-4C0B-4B51-93F3-17E7B55F8F81}"/>
    <hyperlink ref="B25" location="Phesgo!A1" display="Phesgo (pertuzumab/trastuzumab)" xr:uid="{020C13B7-88D5-45D0-BDE0-EE2F16A3AB57}"/>
    <hyperlink ref="B19" location="Evrysdi!A1" display="Evrysdi" xr:uid="{9B8D2AE7-9267-451E-8A6C-2364E87F9B21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D197"/>
  <sheetViews>
    <sheetView zoomScale="115" zoomScaleNormal="115" zoomScaleSheetLayoutView="100" workbookViewId="0">
      <pane xSplit="2" ySplit="2" topLeftCell="FG179" activePane="bottomRight" state="frozen"/>
      <selection activeCell="AT9" sqref="AT9"/>
      <selection pane="topRight" activeCell="AT9" sqref="AT9"/>
      <selection pane="bottomLeft" activeCell="AT9" sqref="AT9"/>
      <selection pane="bottomRight" activeCell="FH197" sqref="FH197"/>
    </sheetView>
  </sheetViews>
  <sheetFormatPr defaultColWidth="9.140625"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40" width="7.140625" style="93" customWidth="1"/>
    <col min="141" max="141" width="1.7109375" style="5" customWidth="1"/>
    <col min="142" max="142" width="9.140625" style="23" customWidth="1"/>
    <col min="143" max="147" width="8.28515625" style="23" bestFit="1" customWidth="1"/>
    <col min="148" max="161" width="8" style="23" customWidth="1"/>
    <col min="162" max="162" width="7.85546875" style="44" customWidth="1" collapsed="1"/>
    <col min="163" max="163" width="7.85546875" style="15" customWidth="1" collapsed="1"/>
    <col min="164" max="165" width="7.85546875" style="44" customWidth="1" collapsed="1"/>
    <col min="166" max="168" width="9.140625" style="15" collapsed="1"/>
    <col min="169" max="16384" width="9.140625" style="15"/>
  </cols>
  <sheetData>
    <row r="1" spans="1:176" x14ac:dyDescent="0.2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76" s="26" customFormat="1" x14ac:dyDescent="0.2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694</v>
      </c>
      <c r="V2" s="68" t="s">
        <v>695</v>
      </c>
      <c r="W2" s="68" t="s">
        <v>713</v>
      </c>
      <c r="X2" s="68" t="s">
        <v>714</v>
      </c>
      <c r="Y2" s="68" t="s">
        <v>753</v>
      </c>
      <c r="Z2" s="68" t="s">
        <v>754</v>
      </c>
      <c r="AA2" s="68" t="s">
        <v>755</v>
      </c>
      <c r="AB2" s="68" t="s">
        <v>756</v>
      </c>
      <c r="AC2" s="68" t="s">
        <v>857</v>
      </c>
      <c r="AD2" s="68" t="s">
        <v>858</v>
      </c>
      <c r="AE2" s="68" t="s">
        <v>859</v>
      </c>
      <c r="AF2" s="68" t="s">
        <v>860</v>
      </c>
      <c r="AG2" s="68" t="s">
        <v>861</v>
      </c>
      <c r="AH2" s="68" t="s">
        <v>862</v>
      </c>
      <c r="AI2" s="68" t="s">
        <v>863</v>
      </c>
      <c r="AJ2" s="68" t="s">
        <v>864</v>
      </c>
      <c r="AK2" s="68" t="s">
        <v>865</v>
      </c>
      <c r="AL2" s="68" t="s">
        <v>866</v>
      </c>
      <c r="AM2" s="68" t="s">
        <v>867</v>
      </c>
      <c r="AN2" s="68" t="s">
        <v>868</v>
      </c>
      <c r="AO2" s="68" t="s">
        <v>869</v>
      </c>
      <c r="AP2" s="68" t="s">
        <v>870</v>
      </c>
      <c r="AQ2" s="68" t="s">
        <v>871</v>
      </c>
      <c r="AR2" s="68" t="s">
        <v>872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683</v>
      </c>
      <c r="BY2" s="52" t="s">
        <v>684</v>
      </c>
      <c r="BZ2" s="52" t="s">
        <v>685</v>
      </c>
      <c r="CA2" s="52" t="s">
        <v>686</v>
      </c>
      <c r="CB2" s="52" t="s">
        <v>687</v>
      </c>
      <c r="CC2" s="52" t="s">
        <v>688</v>
      </c>
      <c r="CD2" s="52" t="s">
        <v>715</v>
      </c>
      <c r="CE2" s="52" t="s">
        <v>716</v>
      </c>
      <c r="CF2" s="52" t="s">
        <v>717</v>
      </c>
      <c r="CG2" s="52" t="s">
        <v>718</v>
      </c>
      <c r="CH2" s="52" t="s">
        <v>724</v>
      </c>
      <c r="CI2" s="52" t="s">
        <v>725</v>
      </c>
      <c r="CJ2" s="52" t="s">
        <v>726</v>
      </c>
      <c r="CK2" s="52" t="s">
        <v>727</v>
      </c>
      <c r="CL2" s="52" t="s">
        <v>746</v>
      </c>
      <c r="CM2" s="52" t="s">
        <v>747</v>
      </c>
      <c r="CN2" s="52" t="s">
        <v>748</v>
      </c>
      <c r="CO2" s="52" t="s">
        <v>749</v>
      </c>
      <c r="CP2" s="52" t="s">
        <v>760</v>
      </c>
      <c r="CQ2" s="52" t="s">
        <v>761</v>
      </c>
      <c r="CR2" s="52" t="s">
        <v>762</v>
      </c>
      <c r="CS2" s="52" t="s">
        <v>763</v>
      </c>
      <c r="CT2" s="52" t="s">
        <v>764</v>
      </c>
      <c r="CU2" s="52" t="s">
        <v>765</v>
      </c>
      <c r="CV2" s="52" t="s">
        <v>766</v>
      </c>
      <c r="CW2" s="52" t="s">
        <v>767</v>
      </c>
      <c r="CX2" s="52" t="s">
        <v>768</v>
      </c>
      <c r="CY2" s="52" t="s">
        <v>769</v>
      </c>
      <c r="CZ2" s="52" t="s">
        <v>770</v>
      </c>
      <c r="DA2" s="52" t="s">
        <v>771</v>
      </c>
      <c r="DB2" s="52" t="s">
        <v>772</v>
      </c>
      <c r="DC2" s="52" t="s">
        <v>773</v>
      </c>
      <c r="DD2" s="52" t="s">
        <v>774</v>
      </c>
      <c r="DE2" s="52" t="s">
        <v>775</v>
      </c>
      <c r="DF2" s="52" t="s">
        <v>776</v>
      </c>
      <c r="DG2" s="52" t="s">
        <v>777</v>
      </c>
      <c r="DH2" s="52" t="s">
        <v>778</v>
      </c>
      <c r="DI2" s="52" t="s">
        <v>779</v>
      </c>
      <c r="DJ2" s="52" t="s">
        <v>780</v>
      </c>
      <c r="DK2" s="52" t="s">
        <v>781</v>
      </c>
      <c r="DL2" s="52" t="s">
        <v>782</v>
      </c>
      <c r="DM2" s="52" t="s">
        <v>783</v>
      </c>
      <c r="DN2" s="52" t="s">
        <v>784</v>
      </c>
      <c r="DO2" s="52" t="s">
        <v>785</v>
      </c>
      <c r="DP2" s="52" t="s">
        <v>786</v>
      </c>
      <c r="DQ2" s="52" t="s">
        <v>787</v>
      </c>
      <c r="DR2" s="52" t="s">
        <v>788</v>
      </c>
      <c r="DS2" s="52" t="s">
        <v>789</v>
      </c>
      <c r="DT2" s="52" t="s">
        <v>790</v>
      </c>
      <c r="DU2" s="52" t="s">
        <v>791</v>
      </c>
      <c r="DV2" s="52" t="s">
        <v>873</v>
      </c>
      <c r="DW2" s="52" t="s">
        <v>874</v>
      </c>
      <c r="DX2" s="52" t="s">
        <v>875</v>
      </c>
      <c r="DY2" s="52" t="s">
        <v>876</v>
      </c>
      <c r="DZ2" s="52" t="s">
        <v>925</v>
      </c>
      <c r="EA2" s="52" t="s">
        <v>926</v>
      </c>
      <c r="EB2" s="52" t="s">
        <v>927</v>
      </c>
      <c r="EC2" s="52" t="s">
        <v>928</v>
      </c>
      <c r="ED2" s="52" t="s">
        <v>1023</v>
      </c>
      <c r="EE2" s="52" t="s">
        <v>1024</v>
      </c>
      <c r="EF2" s="52" t="s">
        <v>1025</v>
      </c>
      <c r="EG2" s="52" t="s">
        <v>1026</v>
      </c>
      <c r="EH2" s="52"/>
      <c r="EI2" s="52"/>
      <c r="EJ2" s="52"/>
      <c r="EK2" s="5"/>
      <c r="EL2" s="45">
        <v>2001</v>
      </c>
      <c r="EM2" s="45">
        <v>2002</v>
      </c>
      <c r="EN2" s="45">
        <v>2003</v>
      </c>
      <c r="EO2" s="45">
        <v>2004</v>
      </c>
      <c r="EP2" s="45">
        <v>2005</v>
      </c>
      <c r="EQ2" s="45">
        <v>2006</v>
      </c>
      <c r="ER2" s="45">
        <v>2007</v>
      </c>
      <c r="ES2" s="45">
        <f>ER2+1</f>
        <v>2008</v>
      </c>
      <c r="ET2" s="45">
        <f t="shared" ref="ET2:FE2" si="0">ES2+1</f>
        <v>2009</v>
      </c>
      <c r="EU2" s="45">
        <f t="shared" si="0"/>
        <v>2010</v>
      </c>
      <c r="EV2" s="45">
        <f t="shared" si="0"/>
        <v>2011</v>
      </c>
      <c r="EW2" s="45">
        <f t="shared" si="0"/>
        <v>2012</v>
      </c>
      <c r="EX2" s="45">
        <f t="shared" si="0"/>
        <v>2013</v>
      </c>
      <c r="EY2" s="45">
        <f t="shared" si="0"/>
        <v>2014</v>
      </c>
      <c r="EZ2" s="45">
        <f t="shared" si="0"/>
        <v>2015</v>
      </c>
      <c r="FA2" s="45">
        <f t="shared" si="0"/>
        <v>2016</v>
      </c>
      <c r="FB2" s="45">
        <f t="shared" si="0"/>
        <v>2017</v>
      </c>
      <c r="FC2" s="45">
        <f t="shared" si="0"/>
        <v>2018</v>
      </c>
      <c r="FD2" s="45">
        <f t="shared" si="0"/>
        <v>2019</v>
      </c>
      <c r="FE2" s="45">
        <f t="shared" si="0"/>
        <v>2020</v>
      </c>
      <c r="FF2" s="45">
        <f t="shared" ref="FF2" si="1">FE2+1</f>
        <v>2021</v>
      </c>
      <c r="FG2" s="45">
        <f t="shared" ref="FG2" si="2">FF2+1</f>
        <v>2022</v>
      </c>
      <c r="FH2" s="45">
        <f t="shared" ref="FH2" si="3">FG2+1</f>
        <v>2023</v>
      </c>
      <c r="FI2" s="45">
        <f t="shared" ref="FI2" si="4">FH2+1</f>
        <v>2024</v>
      </c>
      <c r="FJ2" s="45">
        <f t="shared" ref="FJ2" si="5">FI2+1</f>
        <v>2025</v>
      </c>
      <c r="FK2" s="45">
        <f t="shared" ref="FK2" si="6">FJ2+1</f>
        <v>2026</v>
      </c>
      <c r="FL2" s="45">
        <f t="shared" ref="FL2" si="7">FK2+1</f>
        <v>2027</v>
      </c>
      <c r="FM2" s="45">
        <f t="shared" ref="FM2" si="8">FL2+1</f>
        <v>2028</v>
      </c>
      <c r="FN2" s="45">
        <f t="shared" ref="FN2" si="9">FM2+1</f>
        <v>2029</v>
      </c>
      <c r="FO2" s="45">
        <f t="shared" ref="FO2" si="10">FN2+1</f>
        <v>2030</v>
      </c>
      <c r="FP2" s="45">
        <f t="shared" ref="FP2:FT2" si="11">FO2+1</f>
        <v>2031</v>
      </c>
      <c r="FQ2" s="45">
        <f t="shared" si="11"/>
        <v>2032</v>
      </c>
      <c r="FR2" s="45">
        <f t="shared" si="11"/>
        <v>2033</v>
      </c>
      <c r="FS2" s="45">
        <f t="shared" si="11"/>
        <v>2034</v>
      </c>
      <c r="FT2" s="45">
        <f t="shared" si="11"/>
        <v>2035</v>
      </c>
    </row>
    <row r="3" spans="1:176" s="26" customFormat="1" x14ac:dyDescent="0.2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SUM(Q22:Q69)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SUM(AX22:AX69)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SUM(BL22:BL70)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SUM(BV22:BV69)</f>
        <v>5341</v>
      </c>
      <c r="BW3" s="66">
        <f t="shared" ref="BW3:CC3" si="14">SUM(BW22:BW70)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SUM(DN9:DN69)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10085</v>
      </c>
      <c r="DZ3" s="66">
        <f t="shared" si="15"/>
        <v>10921</v>
      </c>
      <c r="EA3" s="66">
        <v>11716</v>
      </c>
      <c r="EB3" s="66">
        <v>11620</v>
      </c>
      <c r="EC3" s="66">
        <v>11914</v>
      </c>
      <c r="ED3" s="66"/>
      <c r="EE3" s="66"/>
      <c r="EF3" s="66"/>
      <c r="EG3" s="66"/>
      <c r="EH3" s="66"/>
      <c r="EI3" s="66"/>
      <c r="EJ3" s="66"/>
      <c r="EK3" s="5"/>
      <c r="EL3" s="66">
        <f t="shared" ref="EL3:ES3" si="16">SUM(EL22:EL69)</f>
        <v>14673</v>
      </c>
      <c r="EM3" s="66">
        <f t="shared" si="16"/>
        <v>14294</v>
      </c>
      <c r="EN3" s="66">
        <f t="shared" si="16"/>
        <v>15796</v>
      </c>
      <c r="EO3" s="66">
        <f t="shared" si="16"/>
        <v>16647.796737766625</v>
      </c>
      <c r="EP3" s="66">
        <f t="shared" si="16"/>
        <v>20584</v>
      </c>
      <c r="EQ3" s="66">
        <f t="shared" si="16"/>
        <v>22785.404389333649</v>
      </c>
      <c r="ER3" s="66">
        <f t="shared" si="16"/>
        <v>20074</v>
      </c>
      <c r="ES3" s="66">
        <f t="shared" si="16"/>
        <v>19186</v>
      </c>
      <c r="ET3" s="66">
        <f>SUM(ET22:ET70)</f>
        <v>39540</v>
      </c>
      <c r="EU3" s="66">
        <f>SUM(EU22:EU70)</f>
        <v>36911</v>
      </c>
      <c r="EV3" s="68">
        <f t="shared" ref="EV3:EV8" si="17">SUM(BZ3:CC3)</f>
        <v>32794</v>
      </c>
      <c r="EW3" s="66">
        <f t="shared" ref="EW3:FD3" si="18">SUM(EW22:EW70)</f>
        <v>17131</v>
      </c>
      <c r="EX3" s="66">
        <f t="shared" si="18"/>
        <v>17584</v>
      </c>
      <c r="EY3" s="66">
        <f t="shared" si="18"/>
        <v>6406.8399999999992</v>
      </c>
      <c r="EZ3" s="66">
        <f t="shared" si="18"/>
        <v>5848.4673999999995</v>
      </c>
      <c r="FA3" s="66">
        <f t="shared" si="18"/>
        <v>5613.581964</v>
      </c>
      <c r="FB3" s="66">
        <f t="shared" si="18"/>
        <v>5188.8899900900005</v>
      </c>
      <c r="FC3" s="66">
        <f t="shared" si="18"/>
        <v>4939.993442761901</v>
      </c>
      <c r="FD3" s="66">
        <f t="shared" si="18"/>
        <v>2228.9036107822703</v>
      </c>
      <c r="FE3" s="66">
        <f>SUM(FE9:FE70)</f>
        <v>44532</v>
      </c>
      <c r="FF3" s="66">
        <f>SUM(FF9:FF70)</f>
        <v>45041</v>
      </c>
      <c r="FG3" s="66">
        <f>SUM(FG9:FG70)</f>
        <v>42549</v>
      </c>
      <c r="FH3" s="66">
        <f>SUM(FH9:FH70)</f>
        <v>45711</v>
      </c>
      <c r="FI3" s="66">
        <f>SUM(FI9:FI70)</f>
        <v>47329</v>
      </c>
    </row>
    <row r="4" spans="1:176" s="26" customFormat="1" x14ac:dyDescent="0.2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17"/>
      <c r="EL4" s="27">
        <v>2866</v>
      </c>
      <c r="EM4" s="27">
        <v>3250</v>
      </c>
      <c r="EN4" s="27">
        <v>3382</v>
      </c>
      <c r="EO4" s="27">
        <v>4521</v>
      </c>
      <c r="EP4" s="27">
        <v>6614</v>
      </c>
      <c r="EQ4" s="27">
        <f>SUM(K4:L4)</f>
        <v>9125</v>
      </c>
      <c r="ER4" s="27">
        <f>SUM(M4:N4)</f>
        <v>10414</v>
      </c>
      <c r="ES4" s="27">
        <f>SUM(O4:P4)</f>
        <v>10461</v>
      </c>
      <c r="ET4" s="27">
        <f t="shared" ref="ET4:ET22" si="19">SUM(BR4:BU4)</f>
        <v>14805</v>
      </c>
      <c r="EU4" s="27">
        <f t="shared" ref="EU4:EU52" si="20">SUM(BV4:BY4)</f>
        <v>14071</v>
      </c>
      <c r="EV4" s="27">
        <f t="shared" si="17"/>
        <v>12223</v>
      </c>
      <c r="EW4" s="27"/>
      <c r="EX4" s="27"/>
      <c r="EY4" s="27"/>
      <c r="EZ4" s="27"/>
      <c r="FA4" s="27"/>
      <c r="FB4" s="27"/>
      <c r="FC4" s="27"/>
      <c r="FD4" s="27"/>
      <c r="FE4" s="27"/>
      <c r="FF4" s="46"/>
      <c r="FG4" s="16"/>
      <c r="FH4" s="54">
        <v>23259</v>
      </c>
      <c r="FI4" s="54">
        <v>24774</v>
      </c>
    </row>
    <row r="5" spans="1:176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17"/>
      <c r="EL5" s="27">
        <v>1000</v>
      </c>
      <c r="EM5" s="27">
        <v>1585</v>
      </c>
      <c r="EN5" s="27">
        <v>3156</v>
      </c>
      <c r="EO5" s="27">
        <f>SUM(AX5:BA5)</f>
        <v>3203</v>
      </c>
      <c r="EP5" s="27">
        <f>SUM(BB5:BE5)</f>
        <v>3699</v>
      </c>
      <c r="EQ5" s="27">
        <f>SUM(K5:L5)</f>
        <v>3503</v>
      </c>
      <c r="ER5" s="27">
        <f t="shared" ref="ER5:ER51" si="22">SUM(M5:N5)</f>
        <v>3399</v>
      </c>
      <c r="ES5" s="27">
        <f>SUM(O5:P5)</f>
        <v>3336</v>
      </c>
      <c r="ET5" s="27">
        <f t="shared" si="19"/>
        <v>4765</v>
      </c>
      <c r="EU5" s="27">
        <f t="shared" si="20"/>
        <v>4319</v>
      </c>
      <c r="EV5" s="27">
        <f t="shared" si="17"/>
        <v>3817</v>
      </c>
      <c r="EW5" s="27"/>
      <c r="EX5" s="27"/>
      <c r="EY5" s="27"/>
      <c r="EZ5" s="27"/>
      <c r="FA5" s="27"/>
      <c r="FB5" s="27"/>
      <c r="FC5" s="27"/>
      <c r="FD5" s="27"/>
      <c r="FE5" s="27"/>
      <c r="FF5" s="46"/>
      <c r="FG5" s="16"/>
      <c r="FH5" s="54">
        <v>3745</v>
      </c>
      <c r="FI5" s="54">
        <v>2874</v>
      </c>
    </row>
    <row r="6" spans="1:176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/>
      <c r="EE6" s="24"/>
      <c r="EF6" s="24"/>
      <c r="EG6" s="24"/>
      <c r="EH6" s="24"/>
      <c r="EI6" s="24"/>
      <c r="EJ6" s="24"/>
      <c r="EK6" s="17"/>
      <c r="EL6" s="27">
        <f>17200-EL8-EL5</f>
        <v>2866</v>
      </c>
      <c r="EM6" s="27">
        <f>17703-EM8-EM5</f>
        <v>3250</v>
      </c>
      <c r="EN6" s="27">
        <f>19781-EN5-EN8</f>
        <v>3382</v>
      </c>
      <c r="EO6" s="27">
        <f>21695-EO8-EO5</f>
        <v>4522</v>
      </c>
      <c r="EP6" s="27">
        <f>27268-EP8-EP5</f>
        <v>6614</v>
      </c>
      <c r="EQ6" s="27">
        <f>SUM(K6:L6)</f>
        <v>8747</v>
      </c>
      <c r="ER6" s="27">
        <f>SUM(M6:N6)</f>
        <v>9350</v>
      </c>
      <c r="ES6" s="27">
        <f>SUM(O6:P6)</f>
        <v>9656</v>
      </c>
      <c r="ET6" s="27">
        <f t="shared" si="19"/>
        <v>10055</v>
      </c>
      <c r="EU6" s="27">
        <f t="shared" si="20"/>
        <v>10415</v>
      </c>
      <c r="EV6" s="27">
        <f t="shared" si="17"/>
        <v>9737</v>
      </c>
      <c r="EW6" s="27"/>
      <c r="EX6" s="27"/>
      <c r="EY6" s="27"/>
      <c r="EZ6" s="27"/>
      <c r="FA6" s="27"/>
      <c r="FB6" s="27">
        <v>12079</v>
      </c>
      <c r="FC6" s="27">
        <v>12879</v>
      </c>
      <c r="FD6" s="27">
        <v>12950</v>
      </c>
      <c r="FE6" s="27">
        <v>13791</v>
      </c>
      <c r="FF6" s="27">
        <v>17760</v>
      </c>
      <c r="FG6" s="20">
        <f>SUM(DR6:DU6)</f>
        <v>17730</v>
      </c>
      <c r="FH6" s="54">
        <f>SUM(DV6:DY6)</f>
        <v>14201</v>
      </c>
      <c r="FI6" s="54">
        <v>14324</v>
      </c>
    </row>
    <row r="7" spans="1:176" s="26" customFormat="1" x14ac:dyDescent="0.2">
      <c r="B7" s="17" t="s">
        <v>693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17"/>
      <c r="EL7" s="27"/>
      <c r="EM7" s="27"/>
      <c r="EN7" s="27"/>
      <c r="EO7" s="27"/>
      <c r="EP7" s="27"/>
      <c r="EQ7" s="27"/>
      <c r="ER7" s="27"/>
      <c r="ES7" s="27"/>
      <c r="ET7" s="27">
        <f t="shared" si="19"/>
        <v>2238</v>
      </c>
      <c r="EU7" s="27">
        <f t="shared" si="20"/>
        <v>9201</v>
      </c>
      <c r="EV7" s="27">
        <f t="shared" si="17"/>
        <v>8533</v>
      </c>
      <c r="EW7" s="27"/>
      <c r="EX7" s="27"/>
      <c r="EY7" s="27"/>
      <c r="EZ7" s="27"/>
      <c r="FA7" s="27"/>
      <c r="FB7" s="27"/>
      <c r="FC7" s="27"/>
      <c r="FD7" s="27"/>
      <c r="FE7" s="27"/>
      <c r="FF7" s="46"/>
      <c r="FG7" s="16"/>
      <c r="FH7" s="54">
        <v>8955</v>
      </c>
      <c r="FI7" s="54">
        <v>9691</v>
      </c>
    </row>
    <row r="8" spans="1:176" s="26" customFormat="1" x14ac:dyDescent="0.2">
      <c r="B8" s="17" t="s">
        <v>696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17"/>
      <c r="EL8" s="27">
        <v>13334</v>
      </c>
      <c r="EM8" s="27">
        <v>12868</v>
      </c>
      <c r="EN8" s="27">
        <v>13243</v>
      </c>
      <c r="EO8" s="27">
        <f>SUM(AX8:BA8)</f>
        <v>13970</v>
      </c>
      <c r="EP8" s="27">
        <f>SUM(BB8:BE8)</f>
        <v>16955</v>
      </c>
      <c r="EQ8" s="27">
        <f t="shared" ref="EQ8:EQ47" si="23">SUM(K8:L8)</f>
        <v>20666</v>
      </c>
      <c r="ER8" s="27">
        <f t="shared" si="22"/>
        <v>22970</v>
      </c>
      <c r="ES8" s="27">
        <f>SUM(O8:P8)</f>
        <v>22164</v>
      </c>
      <c r="ET8" s="27">
        <f t="shared" si="19"/>
        <v>17188</v>
      </c>
      <c r="EU8" s="27">
        <f t="shared" si="20"/>
        <v>9467</v>
      </c>
      <c r="EV8" s="27">
        <f t="shared" si="17"/>
        <v>8221</v>
      </c>
      <c r="EW8" s="27"/>
      <c r="EX8" s="27"/>
      <c r="EY8" s="27"/>
      <c r="EZ8" s="27"/>
      <c r="FA8" s="27"/>
      <c r="FB8" s="27"/>
      <c r="FC8" s="27"/>
      <c r="FD8" s="27"/>
      <c r="FE8" s="27"/>
      <c r="FF8" s="46"/>
      <c r="FG8" s="16"/>
      <c r="FH8" s="54">
        <v>8306</v>
      </c>
      <c r="FI8" s="54">
        <v>8832</v>
      </c>
    </row>
    <row r="9" spans="1:176" s="116" customFormat="1" x14ac:dyDescent="0.2">
      <c r="B9" s="3" t="s">
        <v>792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+FI9-EB9-EA9-DZ9</f>
        <v>1688</v>
      </c>
      <c r="ED9" s="54"/>
      <c r="EE9" s="54"/>
      <c r="EF9" s="54"/>
      <c r="EG9" s="54"/>
      <c r="EH9" s="54"/>
      <c r="EI9" s="54"/>
      <c r="EJ9" s="54"/>
      <c r="EK9" s="3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>
        <v>4326</v>
      </c>
      <c r="FF9" s="54">
        <v>5055</v>
      </c>
      <c r="FG9" s="20">
        <f>SUM(DR9:DU9)</f>
        <v>6036</v>
      </c>
      <c r="FH9" s="54">
        <f t="shared" ref="FH9:FH62" si="24">SUM(DV9:DY9)</f>
        <v>6381</v>
      </c>
      <c r="FI9" s="54">
        <v>6744</v>
      </c>
    </row>
    <row r="10" spans="1:176" s="26" customFormat="1" x14ac:dyDescent="0.2">
      <c r="B10" s="3" t="s">
        <v>793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9" si="25">+FI10-EB10-EA10-DZ10</f>
        <v>1223</v>
      </c>
      <c r="ED10" s="54"/>
      <c r="EE10" s="54"/>
      <c r="EF10" s="54"/>
      <c r="EG10" s="54"/>
      <c r="EH10" s="54"/>
      <c r="EI10" s="66"/>
      <c r="EJ10" s="66"/>
      <c r="EK10" s="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>
        <v>2190</v>
      </c>
      <c r="FF10" s="54">
        <v>3022</v>
      </c>
      <c r="FG10" s="20">
        <f>SUM(DR10:DU10)</f>
        <v>3823</v>
      </c>
      <c r="FH10" s="54">
        <f t="shared" si="24"/>
        <v>4147</v>
      </c>
      <c r="FI10" s="54">
        <v>4503</v>
      </c>
    </row>
    <row r="11" spans="1:176" s="26" customFormat="1" x14ac:dyDescent="0.2">
      <c r="B11" s="3" t="s">
        <v>723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25"/>
        <v>807</v>
      </c>
      <c r="ED11" s="54"/>
      <c r="EE11" s="54"/>
      <c r="EF11" s="54"/>
      <c r="EG11" s="54"/>
      <c r="EH11" s="54"/>
      <c r="EI11" s="66"/>
      <c r="EJ11" s="66"/>
      <c r="EK11" s="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>
        <f>SUM(CD11:CG11)</f>
        <v>30</v>
      </c>
      <c r="EX11" s="25">
        <f>SUM(CH11:CK11)</f>
        <v>326</v>
      </c>
      <c r="EY11" s="25"/>
      <c r="EZ11" s="25"/>
      <c r="FA11" s="25"/>
      <c r="FB11" s="25"/>
      <c r="FC11" s="25"/>
      <c r="FD11" s="25"/>
      <c r="FE11" s="25">
        <v>3883</v>
      </c>
      <c r="FF11" s="54">
        <v>3955</v>
      </c>
      <c r="FG11" s="20">
        <f t="shared" ref="FG11:FG30" si="26">SUM(DR11:DU11)</f>
        <v>4087</v>
      </c>
      <c r="FH11" s="54">
        <f t="shared" si="24"/>
        <v>3768</v>
      </c>
      <c r="FI11" s="54">
        <v>3616</v>
      </c>
    </row>
    <row r="12" spans="1:176" s="26" customFormat="1" x14ac:dyDescent="0.2">
      <c r="B12" s="3" t="s">
        <v>794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25"/>
        <v>937</v>
      </c>
      <c r="ED12" s="54"/>
      <c r="EE12" s="54"/>
      <c r="EF12" s="54"/>
      <c r="EG12" s="54"/>
      <c r="EH12" s="54"/>
      <c r="EI12" s="66"/>
      <c r="EJ12" s="66"/>
      <c r="EK12" s="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>
        <v>2738</v>
      </c>
      <c r="FF12" s="54">
        <v>3315</v>
      </c>
      <c r="FG12" s="20">
        <f t="shared" si="26"/>
        <v>3717</v>
      </c>
      <c r="FH12" s="54">
        <f t="shared" si="24"/>
        <v>3766</v>
      </c>
      <c r="FI12" s="54">
        <v>3640</v>
      </c>
    </row>
    <row r="13" spans="1:176" s="26" customFormat="1" x14ac:dyDescent="0.2">
      <c r="B13" s="3" t="s">
        <v>802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25"/>
        <v>1048</v>
      </c>
      <c r="ED13" s="54"/>
      <c r="EE13" s="54"/>
      <c r="EF13" s="54"/>
      <c r="EG13" s="54"/>
      <c r="EH13" s="54"/>
      <c r="EI13" s="66"/>
      <c r="EJ13" s="66"/>
      <c r="EK13" s="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46"/>
      <c r="FG13" s="3">
        <v>591</v>
      </c>
      <c r="FH13" s="54">
        <f t="shared" si="24"/>
        <v>2357</v>
      </c>
      <c r="FI13" s="54">
        <v>3864</v>
      </c>
    </row>
    <row r="14" spans="1:176" s="26" customFormat="1" x14ac:dyDescent="0.2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25"/>
        <v>697</v>
      </c>
      <c r="ED14" s="54"/>
      <c r="EE14" s="54"/>
      <c r="EF14" s="54"/>
      <c r="EG14" s="54"/>
      <c r="EH14" s="54"/>
      <c r="EI14" s="66"/>
      <c r="EJ14" s="66"/>
      <c r="EK14" s="5"/>
      <c r="EL14" s="25"/>
      <c r="EM14" s="25"/>
      <c r="EN14" s="25"/>
      <c r="EO14" s="25"/>
      <c r="EP14" s="25"/>
      <c r="EQ14" s="25"/>
      <c r="ER14" s="25"/>
      <c r="ES14" s="25"/>
      <c r="ET14" s="25"/>
      <c r="EU14" s="25">
        <f>SUM(BV14:BY14)</f>
        <v>397</v>
      </c>
      <c r="EV14" s="25">
        <f>SUM(BZ14:CC14)</f>
        <v>618</v>
      </c>
      <c r="EW14" s="25">
        <f>SUM(CD14:CG14)</f>
        <v>842</v>
      </c>
      <c r="EX14" s="25">
        <f>SUM(CH14:CK14)</f>
        <v>1037</v>
      </c>
      <c r="EY14" s="25"/>
      <c r="EZ14" s="25"/>
      <c r="FA14" s="25"/>
      <c r="FB14" s="25"/>
      <c r="FC14" s="25"/>
      <c r="FD14" s="25"/>
      <c r="FE14" s="68">
        <v>2858</v>
      </c>
      <c r="FF14" s="54">
        <v>3562</v>
      </c>
      <c r="FG14" s="20">
        <f t="shared" si="26"/>
        <v>2701</v>
      </c>
      <c r="FH14" s="54">
        <f t="shared" si="24"/>
        <v>2630</v>
      </c>
      <c r="FI14" s="54">
        <v>2645</v>
      </c>
    </row>
    <row r="15" spans="1:176" s="26" customFormat="1" x14ac:dyDescent="0.2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25"/>
        <v>733</v>
      </c>
      <c r="ED15" s="54"/>
      <c r="EE15" s="54"/>
      <c r="EF15" s="54"/>
      <c r="EG15" s="54"/>
      <c r="EH15" s="54"/>
      <c r="EI15" s="66"/>
      <c r="EJ15" s="66"/>
      <c r="EK15" s="5"/>
      <c r="EL15" s="25">
        <v>0</v>
      </c>
      <c r="EM15" s="25">
        <v>0</v>
      </c>
      <c r="EN15" s="25">
        <v>33</v>
      </c>
      <c r="EO15" s="25">
        <f>SUM(AX15:BA15)</f>
        <v>234</v>
      </c>
      <c r="EP15" s="25">
        <f>SUM(BB15:BE15)</f>
        <v>408</v>
      </c>
      <c r="EQ15" s="25">
        <f>SUM(K15:L15)</f>
        <v>537</v>
      </c>
      <c r="ER15" s="25">
        <f>SUM(M15:N15)</f>
        <v>567</v>
      </c>
      <c r="ES15" s="25">
        <f>SUM(BN15:BQ15)</f>
        <v>560</v>
      </c>
      <c r="ET15" s="25">
        <f>SUM(BR15:BU15)</f>
        <v>620</v>
      </c>
      <c r="EU15" s="25">
        <f>SUM(BV15:BY15)</f>
        <v>641</v>
      </c>
      <c r="EV15" s="25">
        <f>SUM(BZ15:CC15)</f>
        <v>603</v>
      </c>
      <c r="EW15" s="25">
        <f>SUM(CD15:CG15)</f>
        <v>705</v>
      </c>
      <c r="EX15" s="25">
        <f>SUM(CH15:CK15)</f>
        <v>790</v>
      </c>
      <c r="EY15" s="25"/>
      <c r="EZ15" s="25"/>
      <c r="FA15" s="25"/>
      <c r="FB15" s="25"/>
      <c r="FC15" s="25"/>
      <c r="FD15" s="25"/>
      <c r="FE15" s="25">
        <v>1904</v>
      </c>
      <c r="FF15" s="25">
        <v>1942</v>
      </c>
      <c r="FG15" s="20">
        <f t="shared" ref="FG15:FG21" si="29">SUM(DR15:DU15)</f>
        <v>2208</v>
      </c>
      <c r="FH15" s="54">
        <f t="shared" si="24"/>
        <v>2176</v>
      </c>
      <c r="FI15" s="54">
        <v>2470</v>
      </c>
    </row>
    <row r="16" spans="1:176" s="26" customFormat="1" x14ac:dyDescent="0.2">
      <c r="B16" s="3" t="s">
        <v>757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25"/>
        <v>504</v>
      </c>
      <c r="ED16" s="54"/>
      <c r="EE16" s="54"/>
      <c r="EF16" s="54"/>
      <c r="EG16" s="54"/>
      <c r="EH16" s="54"/>
      <c r="EI16" s="66"/>
      <c r="EJ16" s="66"/>
      <c r="EK16" s="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>
        <v>1745</v>
      </c>
      <c r="FF16" s="25">
        <v>1982</v>
      </c>
      <c r="FG16" s="20">
        <f t="shared" si="29"/>
        <v>2080</v>
      </c>
      <c r="FH16" s="54">
        <f t="shared" si="24"/>
        <v>1966</v>
      </c>
      <c r="FI16" s="54">
        <v>1998</v>
      </c>
    </row>
    <row r="17" spans="2:176" s="26" customFormat="1" x14ac:dyDescent="0.2">
      <c r="B17" s="3" t="s">
        <v>799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25"/>
        <v>496</v>
      </c>
      <c r="ED17" s="54"/>
      <c r="EE17" s="54"/>
      <c r="EF17" s="54"/>
      <c r="EG17" s="54"/>
      <c r="EH17" s="54"/>
      <c r="EI17" s="66"/>
      <c r="EJ17" s="66"/>
      <c r="EK17" s="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>
        <v>23</v>
      </c>
      <c r="FF17" s="25">
        <v>340</v>
      </c>
      <c r="FG17" s="20">
        <f t="shared" si="29"/>
        <v>740</v>
      </c>
      <c r="FH17" s="54">
        <f t="shared" si="24"/>
        <v>1120</v>
      </c>
      <c r="FI17" s="54">
        <v>1740</v>
      </c>
    </row>
    <row r="18" spans="2:176" s="26" customFormat="1" x14ac:dyDescent="0.2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25"/>
        <v>318</v>
      </c>
      <c r="ED18" s="54"/>
      <c r="EE18" s="54"/>
      <c r="EF18" s="54"/>
      <c r="EG18" s="54"/>
      <c r="EH18" s="54"/>
      <c r="EI18" s="66"/>
      <c r="EJ18" s="66"/>
      <c r="EK18" s="5"/>
      <c r="EL18" s="25">
        <v>806</v>
      </c>
      <c r="EM18" s="25">
        <v>1007</v>
      </c>
      <c r="EN18" s="25">
        <v>1177</v>
      </c>
      <c r="EO18" s="25">
        <f>SUM(AX18:BA18)</f>
        <v>1434.7076596246902</v>
      </c>
      <c r="EP18" s="25">
        <f>SUM(BB18:BE18)</f>
        <v>2146</v>
      </c>
      <c r="EQ18" s="25">
        <f>SUM(K18:L18)</f>
        <v>3927</v>
      </c>
      <c r="ER18" s="25">
        <f>SUM(M18:N18)</f>
        <v>4852</v>
      </c>
      <c r="ES18" s="25">
        <f>SUM(BN18:BQ18)</f>
        <v>5092</v>
      </c>
      <c r="ET18" s="25">
        <f>SUM(BR18:BU18)</f>
        <v>5266</v>
      </c>
      <c r="EU18" s="25">
        <f>SUM(BV18:BY18)</f>
        <v>5429</v>
      </c>
      <c r="EV18" s="25">
        <f>SUM(BZ18:CC18)</f>
        <v>5253</v>
      </c>
      <c r="EW18" s="25">
        <f>SUM(CD18:CG18)</f>
        <v>5889</v>
      </c>
      <c r="EX18" s="25">
        <f>SUM(CH18:CK18)</f>
        <v>6079</v>
      </c>
      <c r="EY18" s="25"/>
      <c r="EZ18" s="25"/>
      <c r="FA18" s="25"/>
      <c r="FB18" s="25"/>
      <c r="FC18" s="25"/>
      <c r="FD18" s="25"/>
      <c r="FE18" s="25">
        <v>3732</v>
      </c>
      <c r="FF18" s="25">
        <v>2694</v>
      </c>
      <c r="FG18" s="20">
        <f t="shared" si="29"/>
        <v>2142</v>
      </c>
      <c r="FH18" s="54">
        <f t="shared" si="24"/>
        <v>1626</v>
      </c>
      <c r="FI18" s="54">
        <v>1381</v>
      </c>
      <c r="FJ18" s="54">
        <f>+FI18*0.8</f>
        <v>1104.8</v>
      </c>
      <c r="FK18" s="54">
        <f>+FJ18*0.8</f>
        <v>883.84</v>
      </c>
      <c r="FL18" s="54">
        <f t="shared" ref="FL18:FT22" si="30">+FK18*0.8</f>
        <v>707.07200000000012</v>
      </c>
      <c r="FM18" s="54">
        <f t="shared" si="30"/>
        <v>565.65760000000012</v>
      </c>
      <c r="FN18" s="54">
        <f t="shared" si="30"/>
        <v>452.52608000000009</v>
      </c>
      <c r="FO18" s="54">
        <f t="shared" si="30"/>
        <v>362.02086400000007</v>
      </c>
      <c r="FP18" s="54">
        <f t="shared" si="30"/>
        <v>289.61669120000005</v>
      </c>
      <c r="FQ18" s="54">
        <f t="shared" si="30"/>
        <v>231.69335296000006</v>
      </c>
      <c r="FR18" s="54">
        <f t="shared" si="30"/>
        <v>185.35468236800006</v>
      </c>
      <c r="FS18" s="54">
        <f t="shared" si="30"/>
        <v>148.28374589440006</v>
      </c>
      <c r="FT18" s="54">
        <f t="shared" si="30"/>
        <v>118.62699671552005</v>
      </c>
    </row>
    <row r="19" spans="2:176" s="26" customFormat="1" x14ac:dyDescent="0.2">
      <c r="B19" s="3" t="s">
        <v>798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25"/>
        <v>385</v>
      </c>
      <c r="ED19" s="54"/>
      <c r="EE19" s="54"/>
      <c r="EF19" s="54"/>
      <c r="EG19" s="54"/>
      <c r="EH19" s="54"/>
      <c r="EI19" s="66"/>
      <c r="EJ19" s="66"/>
      <c r="EK19" s="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>
        <v>55</v>
      </c>
      <c r="FF19" s="25">
        <v>602</v>
      </c>
      <c r="FG19" s="20">
        <f t="shared" si="29"/>
        <v>1119</v>
      </c>
      <c r="FH19" s="54">
        <f t="shared" si="24"/>
        <v>1419</v>
      </c>
      <c r="FI19" s="54">
        <v>1631</v>
      </c>
    </row>
    <row r="20" spans="2:176" s="26" customFormat="1" x14ac:dyDescent="0.2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25"/>
        <v>356</v>
      </c>
      <c r="ED20" s="54"/>
      <c r="EE20" s="54"/>
      <c r="EF20" s="54"/>
      <c r="EG20" s="54"/>
      <c r="EH20" s="54"/>
      <c r="EI20" s="66"/>
      <c r="EJ20" s="66"/>
      <c r="EK20" s="5"/>
      <c r="EL20" s="25">
        <v>1721</v>
      </c>
      <c r="EM20" s="25">
        <v>2402</v>
      </c>
      <c r="EN20" s="25">
        <v>2775</v>
      </c>
      <c r="EO20" s="25">
        <v>3378</v>
      </c>
      <c r="EP20" s="25">
        <v>4154</v>
      </c>
      <c r="EQ20" s="25">
        <f>SUM(K20:L20)</f>
        <v>4839</v>
      </c>
      <c r="ER20" s="25">
        <f>SUM(M20:N20)</f>
        <v>5516</v>
      </c>
      <c r="ES20" s="25">
        <f>SUM(BN20:BQ20)</f>
        <v>5923</v>
      </c>
      <c r="ET20" s="25">
        <f>SUM(BR20:BU20)</f>
        <v>6087</v>
      </c>
      <c r="EU20" s="25">
        <f>SUM(BV20:BY20)</f>
        <v>6356</v>
      </c>
      <c r="EV20" s="25">
        <f>SUM(BZ20:CC20)</f>
        <v>6005</v>
      </c>
      <c r="EW20" s="25">
        <f>SUM(CD20:CG20)</f>
        <v>6707</v>
      </c>
      <c r="EX20" s="25">
        <f>SUM(CH20:CK20)</f>
        <v>6951</v>
      </c>
      <c r="EY20" s="25"/>
      <c r="EZ20" s="25"/>
      <c r="FA20" s="25"/>
      <c r="FB20" s="25"/>
      <c r="FC20" s="25"/>
      <c r="FD20" s="25"/>
      <c r="FE20" s="25">
        <f>3206+1017</f>
        <v>4223</v>
      </c>
      <c r="FF20" s="25">
        <f>1999+566</f>
        <v>2565</v>
      </c>
      <c r="FG20" s="20">
        <f t="shared" si="29"/>
        <v>2075</v>
      </c>
      <c r="FH20" s="54">
        <f t="shared" si="24"/>
        <v>1630</v>
      </c>
      <c r="FI20" s="54">
        <v>1379</v>
      </c>
      <c r="FJ20" s="54">
        <f>+FI20*0.8</f>
        <v>1103.2</v>
      </c>
      <c r="FK20" s="54">
        <f>+FJ20*0.8</f>
        <v>882.56000000000006</v>
      </c>
      <c r="FL20" s="54">
        <f t="shared" si="30"/>
        <v>706.04800000000012</v>
      </c>
      <c r="FM20" s="54">
        <f t="shared" si="30"/>
        <v>564.83840000000009</v>
      </c>
      <c r="FN20" s="54">
        <f t="shared" si="30"/>
        <v>451.87072000000012</v>
      </c>
      <c r="FO20" s="54">
        <f t="shared" si="30"/>
        <v>361.49657600000012</v>
      </c>
      <c r="FP20" s="54">
        <f t="shared" si="30"/>
        <v>289.19726080000009</v>
      </c>
      <c r="FQ20" s="54">
        <f t="shared" si="30"/>
        <v>231.35780864000009</v>
      </c>
      <c r="FR20" s="54">
        <f t="shared" si="30"/>
        <v>185.08624691200009</v>
      </c>
      <c r="FS20" s="54">
        <f t="shared" si="30"/>
        <v>148.06899752960007</v>
      </c>
      <c r="FT20" s="54">
        <f t="shared" si="30"/>
        <v>118.45519802368005</v>
      </c>
    </row>
    <row r="21" spans="2:176" s="26" customFormat="1" x14ac:dyDescent="0.2">
      <c r="B21" s="3" t="s">
        <v>796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25"/>
        <v>397</v>
      </c>
      <c r="ED21" s="54"/>
      <c r="EE21" s="54"/>
      <c r="EF21" s="54"/>
      <c r="EG21" s="54"/>
      <c r="EH21" s="54"/>
      <c r="EI21" s="66"/>
      <c r="EJ21" s="66"/>
      <c r="EK21" s="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>
        <v>1160</v>
      </c>
      <c r="FF21" s="25">
        <v>1356</v>
      </c>
      <c r="FG21" s="20">
        <f t="shared" si="29"/>
        <v>1513</v>
      </c>
      <c r="FH21" s="54">
        <f t="shared" si="24"/>
        <v>1502</v>
      </c>
      <c r="FI21" s="54">
        <v>1548</v>
      </c>
    </row>
    <row r="22" spans="2:176" s="26" customFormat="1" x14ac:dyDescent="0.2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25"/>
        <v>290</v>
      </c>
      <c r="ED22" s="54"/>
      <c r="EE22" s="54"/>
      <c r="EF22" s="54"/>
      <c r="EG22" s="54"/>
      <c r="EH22" s="54"/>
      <c r="EI22" s="66"/>
      <c r="EJ22" s="66"/>
      <c r="EK22" s="5"/>
      <c r="EL22" s="25">
        <v>0</v>
      </c>
      <c r="EM22" s="25">
        <v>0</v>
      </c>
      <c r="EN22" s="25">
        <v>0</v>
      </c>
      <c r="EO22" s="25">
        <f>SUM(AX22:BA22)</f>
        <v>690</v>
      </c>
      <c r="EP22" s="25">
        <f>SUM(BB22:BE22)</f>
        <v>1665</v>
      </c>
      <c r="EQ22" s="25">
        <f t="shared" si="23"/>
        <v>2962</v>
      </c>
      <c r="ER22" s="25">
        <f>SUM(M22:N22)</f>
        <v>4106</v>
      </c>
      <c r="ES22" s="25">
        <f t="shared" ref="ES22:ES47" si="31">SUM(BN22:BQ22)</f>
        <v>5207</v>
      </c>
      <c r="ET22" s="25">
        <f t="shared" si="19"/>
        <v>6222</v>
      </c>
      <c r="EU22" s="25">
        <f>SUM(BV22:BY22)</f>
        <v>6461</v>
      </c>
      <c r="EV22" s="25">
        <f>SUM(BZ22:CC22)</f>
        <v>5292</v>
      </c>
      <c r="EW22" s="25">
        <f>SUM(CD22:CG22)</f>
        <v>5764</v>
      </c>
      <c r="EX22" s="25">
        <f>SUM(CH22:CK22)</f>
        <v>6254</v>
      </c>
      <c r="EY22" s="25"/>
      <c r="EZ22" s="25"/>
      <c r="FA22" s="25"/>
      <c r="FB22" s="25"/>
      <c r="FC22" s="25"/>
      <c r="FD22" s="25"/>
      <c r="FE22" s="25">
        <v>4992</v>
      </c>
      <c r="FF22" s="25">
        <v>3056</v>
      </c>
      <c r="FG22" s="20">
        <f t="shared" si="26"/>
        <v>2122</v>
      </c>
      <c r="FH22" s="54">
        <f t="shared" si="24"/>
        <v>1573</v>
      </c>
      <c r="FI22" s="54">
        <v>1233</v>
      </c>
      <c r="FJ22" s="54">
        <f>+FI22*0.8</f>
        <v>986.40000000000009</v>
      </c>
      <c r="FK22" s="54">
        <f>+FJ22*0.8</f>
        <v>789.12000000000012</v>
      </c>
      <c r="FL22" s="54">
        <f t="shared" si="30"/>
        <v>631.29600000000016</v>
      </c>
      <c r="FM22" s="54">
        <f t="shared" si="30"/>
        <v>505.03680000000014</v>
      </c>
      <c r="FN22" s="54">
        <f t="shared" si="30"/>
        <v>404.02944000000014</v>
      </c>
      <c r="FO22" s="54">
        <f t="shared" si="30"/>
        <v>323.22355200000015</v>
      </c>
      <c r="FP22" s="54">
        <f t="shared" si="30"/>
        <v>258.57884160000015</v>
      </c>
      <c r="FQ22" s="54">
        <f t="shared" si="30"/>
        <v>206.86307328000012</v>
      </c>
      <c r="FR22" s="54">
        <f t="shared" si="30"/>
        <v>165.4904586240001</v>
      </c>
      <c r="FS22" s="54">
        <f t="shared" si="30"/>
        <v>132.39236689920008</v>
      </c>
      <c r="FT22" s="54">
        <f t="shared" si="30"/>
        <v>105.91389351936007</v>
      </c>
    </row>
    <row r="23" spans="2:176" s="26" customFormat="1" x14ac:dyDescent="0.2">
      <c r="B23" s="3" t="s">
        <v>795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25"/>
        <v>0</v>
      </c>
      <c r="ED23" s="54"/>
      <c r="EE23" s="54"/>
      <c r="EF23" s="54"/>
      <c r="EG23" s="54"/>
      <c r="EH23" s="54"/>
      <c r="EI23" s="66"/>
      <c r="EJ23" s="66"/>
      <c r="EK23" s="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>
        <v>0</v>
      </c>
      <c r="FF23" s="25">
        <v>1630</v>
      </c>
      <c r="FG23" s="20">
        <f t="shared" si="26"/>
        <v>1679</v>
      </c>
      <c r="FH23" s="54">
        <f t="shared" si="24"/>
        <v>525</v>
      </c>
      <c r="FI23" s="54">
        <v>3</v>
      </c>
    </row>
    <row r="24" spans="2:176" s="26" customFormat="1" x14ac:dyDescent="0.2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32">+BY24+BX24</f>
        <v>761</v>
      </c>
      <c r="U24" s="25">
        <f t="shared" ref="U24:U54" si="33">SUM(BZ24:CA24)</f>
        <v>769</v>
      </c>
      <c r="V24" s="25">
        <f t="shared" ref="V24:V53" si="34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25"/>
        <v>0</v>
      </c>
      <c r="ED24" s="54"/>
      <c r="EE24" s="54"/>
      <c r="EF24" s="54"/>
      <c r="EG24" s="54"/>
      <c r="EH24" s="54"/>
      <c r="EI24" s="66"/>
      <c r="EJ24" s="66"/>
      <c r="EK24" s="5"/>
      <c r="EL24" s="25">
        <v>0</v>
      </c>
      <c r="EM24" s="25">
        <v>0</v>
      </c>
      <c r="EN24" s="25">
        <v>0</v>
      </c>
      <c r="EO24" s="25">
        <f>SUM(AX24:BA24)</f>
        <v>0</v>
      </c>
      <c r="EP24" s="25">
        <f>SUM(BB24:BE24)</f>
        <v>0</v>
      </c>
      <c r="EQ24" s="25">
        <f t="shared" si="23"/>
        <v>478</v>
      </c>
      <c r="ER24" s="25">
        <f>SUM(M24:N24)</f>
        <v>991</v>
      </c>
      <c r="ES24" s="25">
        <f t="shared" si="31"/>
        <v>960</v>
      </c>
      <c r="ET24" s="25">
        <f>SUM(BR24:BU24)</f>
        <v>1198</v>
      </c>
      <c r="EU24" s="25">
        <f t="shared" si="20"/>
        <v>1458</v>
      </c>
      <c r="EV24" s="25">
        <f t="shared" ref="EV24:EV54" si="35">SUM(BZ24:CC24)</f>
        <v>1523</v>
      </c>
      <c r="EW24" s="25">
        <f t="shared" ref="EW24:EW64" si="36">SUM(CD24:CG24)</f>
        <v>1481</v>
      </c>
      <c r="EX24" s="25">
        <f t="shared" ref="EX24:EX64" si="37">SUM(CH24:CK24)</f>
        <v>1689</v>
      </c>
      <c r="EY24" s="25"/>
      <c r="EZ24" s="25"/>
      <c r="FA24" s="25"/>
      <c r="FB24" s="25"/>
      <c r="FC24" s="25"/>
      <c r="FD24" s="25"/>
      <c r="FE24" s="25">
        <v>1444</v>
      </c>
      <c r="FF24" s="25">
        <v>1353</v>
      </c>
      <c r="FG24" s="20">
        <f t="shared" si="26"/>
        <v>1012</v>
      </c>
      <c r="FH24" s="54">
        <f t="shared" si="24"/>
        <v>460</v>
      </c>
      <c r="FI24" s="46"/>
    </row>
    <row r="25" spans="2:176" s="26" customFormat="1" x14ac:dyDescent="0.2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25"/>
        <v>307</v>
      </c>
      <c r="ED25" s="54"/>
      <c r="EE25" s="54"/>
      <c r="EF25" s="54"/>
      <c r="EG25" s="54"/>
      <c r="EH25" s="54"/>
      <c r="EI25" s="66"/>
      <c r="EJ25" s="66"/>
      <c r="EK25" s="5"/>
      <c r="EL25" s="25">
        <v>371</v>
      </c>
      <c r="EM25" s="25">
        <v>322</v>
      </c>
      <c r="EN25" s="25">
        <v>278</v>
      </c>
      <c r="EO25" s="25">
        <f>SUM(AX25:BA25)</f>
        <v>278</v>
      </c>
      <c r="EP25" s="25">
        <f>SUM(BB25:BE25)</f>
        <v>310</v>
      </c>
      <c r="EQ25" s="25">
        <f>SUM(K25:L25)</f>
        <v>362</v>
      </c>
      <c r="ER25" s="25">
        <f>SUM(M25:N25)</f>
        <v>382</v>
      </c>
      <c r="ES25" s="25">
        <f>SUM(BN25:BQ25)</f>
        <v>342</v>
      </c>
      <c r="ET25" s="25">
        <f>SUM(BR25:BU25)</f>
        <v>455</v>
      </c>
      <c r="EU25" s="25">
        <f>SUM(BV25:BY25)</f>
        <v>460</v>
      </c>
      <c r="EV25" s="25">
        <f>SUM(BZ25:CC25)</f>
        <v>453</v>
      </c>
      <c r="EW25" s="25">
        <f>SUM(CD25:CG25)</f>
        <v>584</v>
      </c>
      <c r="EX25" s="25">
        <f>SUM(CH25:CK25)</f>
        <v>683</v>
      </c>
      <c r="EY25" s="25"/>
      <c r="EZ25" s="25"/>
      <c r="FA25" s="25"/>
      <c r="FB25" s="25"/>
      <c r="FC25" s="25"/>
      <c r="FD25" s="25"/>
      <c r="FE25" s="25">
        <v>1321</v>
      </c>
      <c r="FF25" s="25">
        <v>1312</v>
      </c>
      <c r="FG25" s="20">
        <f t="shared" si="26"/>
        <v>1177</v>
      </c>
      <c r="FH25" s="54">
        <f t="shared" si="24"/>
        <v>1173</v>
      </c>
      <c r="FI25" s="54">
        <v>1202</v>
      </c>
    </row>
    <row r="26" spans="2:176" s="26" customFormat="1" x14ac:dyDescent="0.2">
      <c r="B26" s="3" t="s">
        <v>759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25"/>
        <v>240</v>
      </c>
      <c r="ED26" s="54"/>
      <c r="EE26" s="54"/>
      <c r="EF26" s="54"/>
      <c r="EG26" s="54"/>
      <c r="EH26" s="54"/>
      <c r="EI26" s="66"/>
      <c r="EJ26" s="66"/>
      <c r="EK26" s="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>
        <v>632</v>
      </c>
      <c r="FF26" s="25">
        <v>678</v>
      </c>
      <c r="FG26" s="20">
        <f>SUM(DR26:DU26)</f>
        <v>730</v>
      </c>
      <c r="FH26" s="54">
        <f t="shared" si="24"/>
        <v>811</v>
      </c>
      <c r="FI26" s="54">
        <v>910</v>
      </c>
    </row>
    <row r="27" spans="2:176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25"/>
        <v>126</v>
      </c>
      <c r="ED27" s="54"/>
      <c r="EE27" s="54"/>
      <c r="EF27" s="54"/>
      <c r="EG27" s="54"/>
      <c r="EH27" s="54"/>
      <c r="EI27" s="66"/>
      <c r="EJ27" s="66"/>
      <c r="EK27" s="5"/>
      <c r="EL27" s="25">
        <v>319</v>
      </c>
      <c r="EM27" s="25">
        <v>320</v>
      </c>
      <c r="EN27" s="25">
        <v>328</v>
      </c>
      <c r="EO27" s="25">
        <f>SUM(AX27:BA27)</f>
        <v>337.79673776662486</v>
      </c>
      <c r="EP27" s="25">
        <f>SUM(BB27:BE27)</f>
        <v>393</v>
      </c>
      <c r="EQ27" s="25">
        <f>SUM(K27:L27)</f>
        <v>436</v>
      </c>
      <c r="ER27" s="25">
        <f>SUM(M27:N27)</f>
        <v>483</v>
      </c>
      <c r="ES27" s="25">
        <f>SUM(BN27:BQ27)</f>
        <v>496</v>
      </c>
      <c r="ET27" s="25">
        <f>SUM(BR27:BU27)</f>
        <v>501</v>
      </c>
      <c r="EU27" s="25">
        <f>SUM(BV27:BY27)</f>
        <v>513</v>
      </c>
      <c r="EV27" s="25">
        <f>SUM(BZ27:CC27)</f>
        <v>492</v>
      </c>
      <c r="EW27" s="25">
        <f>SUM(CD27:CG27)</f>
        <v>537</v>
      </c>
      <c r="EX27" s="25">
        <f>SUM(CH27:CK27)</f>
        <v>572</v>
      </c>
      <c r="EY27" s="25"/>
      <c r="EZ27" s="25"/>
      <c r="FA27" s="25"/>
      <c r="FB27" s="25"/>
      <c r="FC27" s="25"/>
      <c r="FD27" s="25"/>
      <c r="FE27" s="25">
        <v>642</v>
      </c>
      <c r="FF27" s="25">
        <v>566</v>
      </c>
      <c r="FG27" s="20">
        <f>SUM(DR27:DU27)</f>
        <v>543</v>
      </c>
      <c r="FH27" s="54">
        <f t="shared" si="24"/>
        <v>452</v>
      </c>
      <c r="FI27" s="54">
        <v>455</v>
      </c>
    </row>
    <row r="28" spans="2:176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25"/>
        <v>116</v>
      </c>
      <c r="ED28" s="54"/>
      <c r="EE28" s="54"/>
      <c r="EF28" s="54"/>
      <c r="EG28" s="54"/>
      <c r="EH28" s="54"/>
      <c r="EI28" s="66"/>
      <c r="EJ28" s="66"/>
      <c r="EK28" s="5"/>
      <c r="EL28" s="25">
        <v>1056</v>
      </c>
      <c r="EM28" s="25">
        <v>1173</v>
      </c>
      <c r="EN28" s="25">
        <v>1335</v>
      </c>
      <c r="EO28" s="25">
        <f>SUM(AX28:BA28)</f>
        <v>1403</v>
      </c>
      <c r="EP28" s="25">
        <f>SUM(BB28:BE28)</f>
        <v>1705</v>
      </c>
      <c r="EQ28" s="25">
        <f>SUM(K28:L28)</f>
        <v>1842</v>
      </c>
      <c r="ER28" s="25">
        <f>SUM(M28:N28)</f>
        <v>2012</v>
      </c>
      <c r="ES28" s="25">
        <f>SUM(BN28:BQ28)</f>
        <v>2099</v>
      </c>
      <c r="ET28" s="25">
        <f>SUM(BR28:BU28)</f>
        <v>1576</v>
      </c>
      <c r="EU28" s="25">
        <f>SUM(BV28:BY28)</f>
        <v>1290</v>
      </c>
      <c r="EV28" s="25">
        <f>SUM(BZ28:CC28)</f>
        <v>991</v>
      </c>
      <c r="EW28" s="25">
        <f>SUM(CD28:CG28)</f>
        <v>909</v>
      </c>
      <c r="EX28" s="25">
        <f>SUM(CH28:CK28)</f>
        <v>874</v>
      </c>
      <c r="EY28" s="25"/>
      <c r="EZ28" s="25"/>
      <c r="FA28" s="25"/>
      <c r="FB28" s="25"/>
      <c r="FC28" s="25"/>
      <c r="FD28" s="25"/>
      <c r="FE28" s="25">
        <v>606</v>
      </c>
      <c r="FF28" s="25">
        <v>592</v>
      </c>
      <c r="FG28" s="20">
        <f>SUM(DR28:DU28)</f>
        <v>386</v>
      </c>
      <c r="FH28" s="54">
        <v>393</v>
      </c>
      <c r="FI28" s="54">
        <v>399</v>
      </c>
    </row>
    <row r="29" spans="2:176" s="26" customFormat="1" x14ac:dyDescent="0.2">
      <c r="B29" s="3" t="s">
        <v>800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25"/>
        <v>304</v>
      </c>
      <c r="ED29" s="54"/>
      <c r="EE29" s="54"/>
      <c r="EF29" s="54"/>
      <c r="EG29" s="54"/>
      <c r="EH29" s="54"/>
      <c r="EI29" s="66"/>
      <c r="EJ29" s="66"/>
      <c r="EK29" s="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>
        <v>169</v>
      </c>
      <c r="FF29" s="25">
        <v>247</v>
      </c>
      <c r="FG29" s="20">
        <f>SUM(DR29:DU29)</f>
        <v>228</v>
      </c>
      <c r="FH29" s="54">
        <f t="shared" si="24"/>
        <v>837</v>
      </c>
      <c r="FI29" s="54">
        <v>1121</v>
      </c>
    </row>
    <row r="30" spans="2:176" s="26" customFormat="1" x14ac:dyDescent="0.2">
      <c r="B30" s="3" t="s">
        <v>797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25"/>
        <v>0</v>
      </c>
      <c r="ED30" s="54"/>
      <c r="EE30" s="54"/>
      <c r="EF30" s="54"/>
      <c r="EG30" s="54"/>
      <c r="EH30" s="54"/>
      <c r="EI30" s="66"/>
      <c r="EJ30" s="66"/>
      <c r="EK30" s="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>
        <v>1108</v>
      </c>
      <c r="FF30" s="25">
        <v>1039</v>
      </c>
      <c r="FG30" s="20">
        <f t="shared" si="26"/>
        <v>590</v>
      </c>
      <c r="FH30" s="54">
        <v>202</v>
      </c>
      <c r="FI30" s="46"/>
    </row>
    <row r="31" spans="2:176" s="26" customFormat="1" x14ac:dyDescent="0.2">
      <c r="B31" s="3" t="s">
        <v>758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25"/>
        <v>260</v>
      </c>
      <c r="ED31" s="54"/>
      <c r="EE31" s="54"/>
      <c r="EF31" s="54"/>
      <c r="EG31" s="54"/>
      <c r="EH31" s="54"/>
      <c r="EI31" s="66"/>
      <c r="EJ31" s="66"/>
      <c r="EK31" s="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>
        <v>278</v>
      </c>
      <c r="FF31" s="25">
        <v>269</v>
      </c>
      <c r="FG31" s="20">
        <v>271</v>
      </c>
      <c r="FH31" s="54">
        <v>245</v>
      </c>
      <c r="FI31" s="54">
        <v>260</v>
      </c>
    </row>
    <row r="32" spans="2:176" s="26" customFormat="1" x14ac:dyDescent="0.2">
      <c r="B32" s="3" t="s">
        <v>801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25"/>
        <v>88</v>
      </c>
      <c r="ED32" s="54"/>
      <c r="EE32" s="54"/>
      <c r="EF32" s="54"/>
      <c r="EG32" s="54"/>
      <c r="EH32" s="54"/>
      <c r="EI32" s="66"/>
      <c r="EJ32" s="66"/>
      <c r="EK32" s="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46"/>
      <c r="FG32" s="3">
        <v>192</v>
      </c>
      <c r="FH32" s="54">
        <v>256</v>
      </c>
      <c r="FI32" s="54">
        <v>311</v>
      </c>
    </row>
    <row r="33" spans="2:165" s="26" customFormat="1" x14ac:dyDescent="0.2">
      <c r="B33" s="3" t="s">
        <v>803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25"/>
        <v>36</v>
      </c>
      <c r="ED33" s="54"/>
      <c r="EE33" s="54"/>
      <c r="EF33" s="54"/>
      <c r="EG33" s="54"/>
      <c r="EH33" s="54"/>
      <c r="EI33" s="66"/>
      <c r="EJ33" s="66"/>
      <c r="EK33" s="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46"/>
      <c r="FG33" s="16"/>
      <c r="FH33" s="54"/>
      <c r="FI33" s="54">
        <v>134</v>
      </c>
    </row>
    <row r="34" spans="2:165" s="26" customFormat="1" x14ac:dyDescent="0.2">
      <c r="B34" s="3" t="s">
        <v>804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25"/>
        <v>11</v>
      </c>
      <c r="ED34" s="54"/>
      <c r="EE34" s="54"/>
      <c r="EF34" s="54"/>
      <c r="EG34" s="54"/>
      <c r="EH34" s="54"/>
      <c r="EI34" s="66"/>
      <c r="EJ34" s="66"/>
      <c r="EK34" s="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46"/>
      <c r="FG34" s="16"/>
      <c r="FH34" s="54"/>
      <c r="FI34" s="54">
        <v>41</v>
      </c>
    </row>
    <row r="35" spans="2:165" s="26" customFormat="1" x14ac:dyDescent="0.2">
      <c r="B35" s="3" t="s">
        <v>805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25"/>
        <v>0</v>
      </c>
      <c r="ED35" s="54"/>
      <c r="EE35" s="54"/>
      <c r="EF35" s="54"/>
      <c r="EG35" s="54"/>
      <c r="EH35" s="54"/>
      <c r="EI35" s="66"/>
      <c r="EJ35" s="66"/>
      <c r="EK35" s="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46"/>
      <c r="FG35" s="16"/>
      <c r="FH35" s="54"/>
      <c r="FI35" s="46"/>
    </row>
    <row r="36" spans="2:165" s="26" customFormat="1" x14ac:dyDescent="0.2">
      <c r="B36" s="3" t="s">
        <v>806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25"/>
        <v>84</v>
      </c>
      <c r="ED36" s="54"/>
      <c r="EE36" s="54"/>
      <c r="EF36" s="54"/>
      <c r="EG36" s="54"/>
      <c r="EH36" s="54"/>
      <c r="EI36" s="66"/>
      <c r="EJ36" s="66"/>
      <c r="EK36" s="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46"/>
      <c r="FG36" s="16"/>
      <c r="FH36" s="54">
        <f>99-FG36-FF36</f>
        <v>99</v>
      </c>
      <c r="FI36" s="54">
        <v>152</v>
      </c>
    </row>
    <row r="37" spans="2:165" s="26" customFormat="1" x14ac:dyDescent="0.2">
      <c r="B37" s="3" t="s">
        <v>807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25"/>
        <v>1</v>
      </c>
      <c r="ED37" s="54"/>
      <c r="EE37" s="54"/>
      <c r="EF37" s="54"/>
      <c r="EG37" s="54"/>
      <c r="EH37" s="54"/>
      <c r="EI37" s="66"/>
      <c r="EJ37" s="66"/>
      <c r="EK37" s="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46"/>
      <c r="FG37" s="16"/>
      <c r="FH37" s="54"/>
      <c r="FI37" s="54">
        <v>4</v>
      </c>
    </row>
    <row r="38" spans="2:165" s="26" customFormat="1" x14ac:dyDescent="0.2">
      <c r="B38" s="3" t="s">
        <v>955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25"/>
        <v>17</v>
      </c>
      <c r="ED38" s="54"/>
      <c r="EE38" s="54"/>
      <c r="EF38" s="54"/>
      <c r="EG38" s="54"/>
      <c r="EH38" s="54"/>
      <c r="EI38" s="66"/>
      <c r="EJ38" s="66"/>
      <c r="EK38" s="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46"/>
      <c r="FG38" s="16"/>
      <c r="FH38" s="54"/>
      <c r="FI38" s="54">
        <v>71</v>
      </c>
    </row>
    <row r="39" spans="2:165" s="26" customFormat="1" x14ac:dyDescent="0.2">
      <c r="B39" s="3" t="s">
        <v>956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25"/>
        <v>56</v>
      </c>
      <c r="ED39" s="54"/>
      <c r="EE39" s="54"/>
      <c r="EF39" s="54"/>
      <c r="EG39" s="54"/>
      <c r="EH39" s="54"/>
      <c r="EI39" s="66"/>
      <c r="EJ39" s="66"/>
      <c r="EK39" s="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46"/>
      <c r="FG39" s="16"/>
      <c r="FH39" s="54">
        <v>28</v>
      </c>
      <c r="FI39" s="54">
        <v>172</v>
      </c>
    </row>
    <row r="40" spans="2:165" s="26" customFormat="1" x14ac:dyDescent="0.2">
      <c r="B40" s="3" t="s">
        <v>957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25"/>
        <v>52</v>
      </c>
      <c r="ED40" s="54"/>
      <c r="EE40" s="54"/>
      <c r="EF40" s="54"/>
      <c r="EG40" s="54"/>
      <c r="EH40" s="54"/>
      <c r="EI40" s="66"/>
      <c r="EJ40" s="66"/>
      <c r="EK40" s="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46"/>
      <c r="FG40" s="16"/>
      <c r="FH40" s="54">
        <v>0</v>
      </c>
      <c r="FI40" s="54">
        <v>189</v>
      </c>
    </row>
    <row r="41" spans="2:165" s="26" customFormat="1" x14ac:dyDescent="0.2">
      <c r="B41" s="3" t="s">
        <v>958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25"/>
        <v>8</v>
      </c>
      <c r="ED41" s="54"/>
      <c r="EE41" s="54"/>
      <c r="EF41" s="54"/>
      <c r="EG41" s="54"/>
      <c r="EH41" s="54"/>
      <c r="EI41" s="66"/>
      <c r="EJ41" s="66"/>
      <c r="EK41" s="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46"/>
      <c r="FG41" s="16"/>
      <c r="FH41" s="54"/>
      <c r="FI41" s="54">
        <v>16</v>
      </c>
    </row>
    <row r="42" spans="2:165" s="26" customFormat="1" x14ac:dyDescent="0.2">
      <c r="B42" s="3" t="s">
        <v>973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25"/>
        <v>8</v>
      </c>
      <c r="ED42" s="54"/>
      <c r="EE42" s="54"/>
      <c r="EF42" s="54"/>
      <c r="EG42" s="54"/>
      <c r="EH42" s="54"/>
      <c r="EI42" s="66"/>
      <c r="EJ42" s="66"/>
      <c r="EK42" s="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46"/>
      <c r="FG42" s="16"/>
      <c r="FH42" s="54"/>
      <c r="FI42" s="54">
        <v>8</v>
      </c>
    </row>
    <row r="43" spans="2:165" s="26" customFormat="1" x14ac:dyDescent="0.2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38">SUM(BP43:BQ43)</f>
        <v>882</v>
      </c>
      <c r="Q43" s="25">
        <f t="shared" ref="Q43:Q53" si="39">SUM(BR43:BS43)</f>
        <v>789</v>
      </c>
      <c r="R43" s="25">
        <f t="shared" ref="R43:R53" si="40">BT43+BU43</f>
        <v>771</v>
      </c>
      <c r="S43" s="25">
        <v>677</v>
      </c>
      <c r="T43" s="25">
        <f t="shared" si="32"/>
        <v>608</v>
      </c>
      <c r="U43" s="25">
        <f t="shared" si="33"/>
        <v>493</v>
      </c>
      <c r="V43" s="25">
        <f t="shared" si="34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41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25"/>
        <v>0</v>
      </c>
      <c r="ED43" s="54"/>
      <c r="EE43" s="54"/>
      <c r="EF43" s="54"/>
      <c r="EG43" s="54"/>
      <c r="EH43" s="54"/>
      <c r="EI43" s="66"/>
      <c r="EJ43" s="66"/>
      <c r="EK43" s="5"/>
      <c r="EL43" s="25">
        <v>746</v>
      </c>
      <c r="EM43" s="25">
        <v>1192</v>
      </c>
      <c r="EN43" s="25">
        <v>2051</v>
      </c>
      <c r="EO43" s="25">
        <f t="shared" ref="EO43:EO52" si="42">SUM(AX43:BA43)</f>
        <v>2082</v>
      </c>
      <c r="EP43" s="25">
        <f t="shared" ref="EP43:EP52" si="43">SUM(BB43:BE43)</f>
        <v>2252</v>
      </c>
      <c r="EQ43" s="25">
        <f t="shared" si="23"/>
        <v>2227</v>
      </c>
      <c r="ER43" s="25">
        <f t="shared" si="22"/>
        <v>2094</v>
      </c>
      <c r="ES43" s="25">
        <f t="shared" si="31"/>
        <v>1774</v>
      </c>
      <c r="ET43" s="25">
        <f t="shared" ref="ET43:ET53" si="44">SUM(BR43:BU43)</f>
        <v>1560</v>
      </c>
      <c r="EU43" s="25">
        <f t="shared" si="20"/>
        <v>1285</v>
      </c>
      <c r="EV43" s="25">
        <f t="shared" si="35"/>
        <v>896</v>
      </c>
      <c r="EW43" s="25">
        <f t="shared" si="36"/>
        <v>674</v>
      </c>
      <c r="EX43" s="25">
        <f t="shared" si="37"/>
        <v>520</v>
      </c>
      <c r="EY43" s="25">
        <f t="shared" ref="EY43:FD43" si="45">EX43*0.99</f>
        <v>514.79999999999995</v>
      </c>
      <c r="EZ43" s="25">
        <f t="shared" si="45"/>
        <v>509.65199999999993</v>
      </c>
      <c r="FA43" s="25">
        <f t="shared" si="45"/>
        <v>504.55547999999993</v>
      </c>
      <c r="FB43" s="25">
        <f t="shared" si="45"/>
        <v>499.50992519999994</v>
      </c>
      <c r="FC43" s="25">
        <f t="shared" si="45"/>
        <v>494.51482594799995</v>
      </c>
      <c r="FD43" s="25">
        <f t="shared" si="45"/>
        <v>489.56967768851996</v>
      </c>
      <c r="FE43" s="25"/>
      <c r="FF43" s="46"/>
      <c r="FG43" s="16"/>
      <c r="FH43" s="54"/>
      <c r="FI43" s="46"/>
    </row>
    <row r="44" spans="2:165" s="26" customFormat="1" x14ac:dyDescent="0.2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39"/>
        <v>842</v>
      </c>
      <c r="R44" s="25">
        <f t="shared" si="40"/>
        <v>813</v>
      </c>
      <c r="S44" s="25">
        <v>869</v>
      </c>
      <c r="T44" s="25">
        <f t="shared" si="32"/>
        <v>776</v>
      </c>
      <c r="U44" s="25">
        <f t="shared" si="33"/>
        <v>695</v>
      </c>
      <c r="V44" s="25">
        <f t="shared" si="34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41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25"/>
        <v>0</v>
      </c>
      <c r="ED44" s="54"/>
      <c r="EE44" s="54"/>
      <c r="EF44" s="54"/>
      <c r="EG44" s="54"/>
      <c r="EH44" s="54"/>
      <c r="EI44" s="66"/>
      <c r="EJ44" s="66"/>
      <c r="EK44" s="5"/>
      <c r="EL44" s="25">
        <v>0</v>
      </c>
      <c r="EM44" s="25">
        <v>94</v>
      </c>
      <c r="EN44" s="25">
        <v>719</v>
      </c>
      <c r="EO44" s="25">
        <f t="shared" si="42"/>
        <v>1179</v>
      </c>
      <c r="EP44" s="25">
        <f t="shared" si="43"/>
        <v>1403</v>
      </c>
      <c r="EQ44" s="25">
        <f t="shared" si="23"/>
        <v>1467</v>
      </c>
      <c r="ER44" s="25">
        <f>SUM(M44:N44)</f>
        <v>1637</v>
      </c>
      <c r="ES44" s="25">
        <f t="shared" si="31"/>
        <v>1635</v>
      </c>
      <c r="ET44" s="25">
        <f t="shared" si="44"/>
        <v>1655</v>
      </c>
      <c r="EU44" s="25">
        <f t="shared" si="20"/>
        <v>1645</v>
      </c>
      <c r="EV44" s="25">
        <f t="shared" si="35"/>
        <v>1438</v>
      </c>
      <c r="EW44" s="25">
        <f t="shared" si="36"/>
        <v>1649</v>
      </c>
      <c r="EX44" s="25">
        <f t="shared" si="37"/>
        <v>1312</v>
      </c>
      <c r="EY44" s="25">
        <f>EX44*0.8</f>
        <v>1049.6000000000001</v>
      </c>
      <c r="EZ44" s="25">
        <f>EY44*0.8</f>
        <v>839.68000000000018</v>
      </c>
      <c r="FA44" s="25">
        <f t="shared" ref="FA44:FD44" si="46">EZ44*0.8</f>
        <v>671.74400000000014</v>
      </c>
      <c r="FB44" s="25">
        <f t="shared" si="46"/>
        <v>537.39520000000016</v>
      </c>
      <c r="FC44" s="25">
        <f t="shared" si="46"/>
        <v>429.91616000000016</v>
      </c>
      <c r="FD44" s="25">
        <f t="shared" si="46"/>
        <v>343.93292800000017</v>
      </c>
      <c r="FE44" s="25"/>
      <c r="FF44" s="46"/>
      <c r="FG44" s="16"/>
      <c r="FH44" s="54"/>
      <c r="FI44" s="46"/>
    </row>
    <row r="45" spans="2:165" s="26" customFormat="1" x14ac:dyDescent="0.2">
      <c r="B45" s="3" t="s">
        <v>954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25"/>
        <v>3</v>
      </c>
      <c r="ED45" s="54"/>
      <c r="EE45" s="54"/>
      <c r="EF45" s="54"/>
      <c r="EG45" s="54"/>
      <c r="EH45" s="54"/>
      <c r="EI45" s="66"/>
      <c r="EJ45" s="66"/>
      <c r="EK45" s="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46"/>
      <c r="FG45" s="16"/>
      <c r="FH45" s="54"/>
      <c r="FI45" s="54">
        <v>18</v>
      </c>
    </row>
    <row r="46" spans="2:165" s="26" customFormat="1" x14ac:dyDescent="0.2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38"/>
        <v>638</v>
      </c>
      <c r="Q46" s="25">
        <f t="shared" si="39"/>
        <v>626</v>
      </c>
      <c r="R46" s="25">
        <f t="shared" si="40"/>
        <v>634</v>
      </c>
      <c r="S46" s="25">
        <v>732</v>
      </c>
      <c r="T46" s="25">
        <f t="shared" si="32"/>
        <v>694</v>
      </c>
      <c r="U46" s="25">
        <f t="shared" si="33"/>
        <v>668</v>
      </c>
      <c r="V46" s="25">
        <f t="shared" si="34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41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25"/>
        <v>0</v>
      </c>
      <c r="ED46" s="54"/>
      <c r="EE46" s="54"/>
      <c r="EF46" s="54"/>
      <c r="EG46" s="54"/>
      <c r="EH46" s="54"/>
      <c r="EI46" s="66"/>
      <c r="EJ46" s="66"/>
      <c r="EK46" s="5"/>
      <c r="EL46" s="25">
        <v>260</v>
      </c>
      <c r="EM46" s="25">
        <v>444</v>
      </c>
      <c r="EN46" s="25">
        <v>515</v>
      </c>
      <c r="EO46" s="25">
        <f t="shared" si="42"/>
        <v>534</v>
      </c>
      <c r="EP46" s="25">
        <f t="shared" si="43"/>
        <v>796</v>
      </c>
      <c r="EQ46" s="25">
        <f t="shared" si="23"/>
        <v>971</v>
      </c>
      <c r="ER46" s="25">
        <f t="shared" si="22"/>
        <v>1151</v>
      </c>
      <c r="ES46" s="25">
        <f t="shared" si="31"/>
        <v>1211</v>
      </c>
      <c r="ET46" s="25">
        <f t="shared" si="44"/>
        <v>1260</v>
      </c>
      <c r="EU46" s="25">
        <f t="shared" si="20"/>
        <v>1426</v>
      </c>
      <c r="EV46" s="25">
        <f t="shared" si="35"/>
        <v>1354</v>
      </c>
      <c r="EW46" s="25">
        <f t="shared" si="36"/>
        <v>1523</v>
      </c>
      <c r="EX46" s="25">
        <f t="shared" si="37"/>
        <v>1509</v>
      </c>
      <c r="EY46" s="25">
        <f>EX46*0.5</f>
        <v>754.5</v>
      </c>
      <c r="EZ46" s="25">
        <f t="shared" ref="EZ46:FD46" si="47">EY46*0.5</f>
        <v>377.25</v>
      </c>
      <c r="FA46" s="25">
        <f t="shared" si="47"/>
        <v>188.625</v>
      </c>
      <c r="FB46" s="25">
        <f t="shared" si="47"/>
        <v>94.3125</v>
      </c>
      <c r="FC46" s="25">
        <f t="shared" si="47"/>
        <v>47.15625</v>
      </c>
      <c r="FD46" s="25">
        <f t="shared" si="47"/>
        <v>23.578125</v>
      </c>
      <c r="FE46" s="25">
        <v>301</v>
      </c>
      <c r="FF46" s="25">
        <v>194</v>
      </c>
      <c r="FG46" s="16"/>
      <c r="FH46" s="54"/>
      <c r="FI46" s="46"/>
    </row>
    <row r="47" spans="2:165" s="26" customFormat="1" x14ac:dyDescent="0.2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38"/>
        <v>628</v>
      </c>
      <c r="Q47" s="25">
        <f t="shared" si="39"/>
        <v>643</v>
      </c>
      <c r="R47" s="25">
        <f t="shared" si="40"/>
        <v>661</v>
      </c>
      <c r="S47" s="25">
        <v>674</v>
      </c>
      <c r="T47" s="25">
        <f t="shared" si="32"/>
        <v>651</v>
      </c>
      <c r="U47" s="25">
        <f t="shared" si="33"/>
        <v>614</v>
      </c>
      <c r="V47" s="25">
        <f t="shared" si="34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41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25"/>
        <v>0</v>
      </c>
      <c r="ED47" s="54"/>
      <c r="EE47" s="54"/>
      <c r="EF47" s="54"/>
      <c r="EG47" s="54"/>
      <c r="EH47" s="54"/>
      <c r="EI47" s="66"/>
      <c r="EJ47" s="66"/>
      <c r="EK47" s="5"/>
      <c r="EL47" s="25">
        <v>0</v>
      </c>
      <c r="EM47" s="25">
        <v>0</v>
      </c>
      <c r="EN47" s="25">
        <v>0</v>
      </c>
      <c r="EO47" s="25">
        <f t="shared" si="42"/>
        <v>17</v>
      </c>
      <c r="EP47" s="25">
        <f t="shared" si="43"/>
        <v>387</v>
      </c>
      <c r="EQ47" s="25">
        <f t="shared" si="23"/>
        <v>813</v>
      </c>
      <c r="ER47" s="25">
        <f t="shared" si="22"/>
        <v>1062</v>
      </c>
      <c r="ES47" s="25">
        <f t="shared" si="31"/>
        <v>1215</v>
      </c>
      <c r="ET47" s="25">
        <f t="shared" si="44"/>
        <v>1304</v>
      </c>
      <c r="EU47" s="25">
        <f t="shared" si="20"/>
        <v>1325</v>
      </c>
      <c r="EV47" s="25">
        <f t="shared" si="35"/>
        <v>1251</v>
      </c>
      <c r="EW47" s="25">
        <f t="shared" si="36"/>
        <v>1314</v>
      </c>
      <c r="EX47" s="25">
        <f t="shared" si="37"/>
        <v>1339</v>
      </c>
      <c r="EY47" s="25">
        <f t="shared" ref="EY47:FC47" si="48">EX47*1.01</f>
        <v>1352.39</v>
      </c>
      <c r="EZ47" s="25">
        <f t="shared" si="48"/>
        <v>1365.9139</v>
      </c>
      <c r="FA47" s="25">
        <f t="shared" si="48"/>
        <v>1379.5730390000001</v>
      </c>
      <c r="FB47" s="25">
        <f t="shared" si="48"/>
        <v>1393.3687693900001</v>
      </c>
      <c r="FC47" s="25">
        <f t="shared" si="48"/>
        <v>1407.3024570839002</v>
      </c>
      <c r="FD47" s="25"/>
      <c r="FE47" s="25"/>
      <c r="FF47" s="46"/>
      <c r="FG47" s="16"/>
      <c r="FH47" s="54"/>
      <c r="FI47" s="46"/>
    </row>
    <row r="48" spans="2:165" s="26" customFormat="1" x14ac:dyDescent="0.2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39"/>
        <v>525</v>
      </c>
      <c r="R48" s="25">
        <f t="shared" si="40"/>
        <v>533</v>
      </c>
      <c r="S48" s="25">
        <v>544</v>
      </c>
      <c r="T48" s="25">
        <f t="shared" si="32"/>
        <v>469</v>
      </c>
      <c r="U48" s="25">
        <f t="shared" si="33"/>
        <v>394</v>
      </c>
      <c r="V48" s="25">
        <f t="shared" si="34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41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25"/>
        <v>0</v>
      </c>
      <c r="ED48" s="54"/>
      <c r="EE48" s="54"/>
      <c r="EF48" s="54"/>
      <c r="EG48" s="54"/>
      <c r="EH48" s="54"/>
      <c r="EI48" s="66"/>
      <c r="EJ48" s="66"/>
      <c r="EK48" s="5"/>
      <c r="EL48" s="25">
        <v>0</v>
      </c>
      <c r="EM48" s="25">
        <v>0</v>
      </c>
      <c r="EN48" s="25">
        <v>0</v>
      </c>
      <c r="EO48" s="25">
        <f t="shared" si="42"/>
        <v>0</v>
      </c>
      <c r="EP48" s="25">
        <f t="shared" si="43"/>
        <v>86</v>
      </c>
      <c r="EQ48" s="25">
        <f t="shared" ref="EQ48:EQ52" si="49">SUM(K48:L48)</f>
        <v>488</v>
      </c>
      <c r="ER48" s="25">
        <f>SUM(M48:N48)</f>
        <v>887</v>
      </c>
      <c r="ES48" s="25">
        <f t="shared" ref="ES48:ES53" si="50">SUM(BN48:BQ48)</f>
        <v>1108</v>
      </c>
      <c r="ET48" s="25">
        <f t="shared" si="44"/>
        <v>1058</v>
      </c>
      <c r="EU48" s="25">
        <f t="shared" si="20"/>
        <v>1013</v>
      </c>
      <c r="EV48" s="25">
        <f t="shared" si="35"/>
        <v>696</v>
      </c>
      <c r="EW48" s="25"/>
      <c r="EX48" s="25"/>
      <c r="EY48" s="25"/>
      <c r="EZ48" s="25"/>
      <c r="FA48" s="25"/>
      <c r="FB48" s="25"/>
      <c r="FC48" s="25"/>
      <c r="FD48" s="25"/>
      <c r="FE48" s="25"/>
      <c r="FF48" s="46"/>
      <c r="FG48" s="16"/>
      <c r="FH48" s="54"/>
      <c r="FI48" s="46"/>
    </row>
    <row r="49" spans="2:174" s="26" customFormat="1" x14ac:dyDescent="0.2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39"/>
        <v>1010</v>
      </c>
      <c r="R49" s="25">
        <f t="shared" si="40"/>
        <v>2190</v>
      </c>
      <c r="S49" s="25">
        <v>710</v>
      </c>
      <c r="T49" s="25">
        <f t="shared" si="32"/>
        <v>163</v>
      </c>
      <c r="U49" s="25">
        <f t="shared" si="33"/>
        <v>262</v>
      </c>
      <c r="V49" s="25">
        <f t="shared" si="34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41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25"/>
        <v>0</v>
      </c>
      <c r="ED49" s="54"/>
      <c r="EE49" s="54"/>
      <c r="EF49" s="54"/>
      <c r="EG49" s="54"/>
      <c r="EH49" s="54"/>
      <c r="EI49" s="66"/>
      <c r="EJ49" s="66"/>
      <c r="EK49" s="5"/>
      <c r="EL49" s="25">
        <v>110</v>
      </c>
      <c r="EM49" s="25">
        <v>175</v>
      </c>
      <c r="EN49" s="25">
        <v>431</v>
      </c>
      <c r="EO49" s="25">
        <f t="shared" si="42"/>
        <v>330</v>
      </c>
      <c r="EP49" s="25">
        <f t="shared" si="43"/>
        <v>1558</v>
      </c>
      <c r="EQ49" s="25">
        <f t="shared" si="49"/>
        <v>2627</v>
      </c>
      <c r="ER49" s="25">
        <f>SUM(M49:N49)</f>
        <v>2085</v>
      </c>
      <c r="ES49" s="25">
        <f t="shared" si="50"/>
        <v>609</v>
      </c>
      <c r="ET49" s="25">
        <f t="shared" si="44"/>
        <v>3200</v>
      </c>
      <c r="EU49" s="25">
        <f t="shared" si="20"/>
        <v>873</v>
      </c>
      <c r="EV49" s="25">
        <f t="shared" si="35"/>
        <v>359</v>
      </c>
      <c r="EW49" s="25">
        <f t="shared" si="36"/>
        <v>560</v>
      </c>
      <c r="EX49" s="25">
        <f t="shared" si="37"/>
        <v>635</v>
      </c>
      <c r="EY49" s="25">
        <f>EX49*1.03</f>
        <v>654.05000000000007</v>
      </c>
      <c r="EZ49" s="25">
        <f>EY49*1.03</f>
        <v>673.67150000000004</v>
      </c>
      <c r="FA49" s="25">
        <f>EZ49*1.03</f>
        <v>693.88164500000005</v>
      </c>
      <c r="FB49" s="25">
        <f>FA49*0.5</f>
        <v>346.94082250000002</v>
      </c>
      <c r="FC49" s="25">
        <f>FB49*0.5</f>
        <v>173.47041125000001</v>
      </c>
      <c r="FD49" s="25">
        <f>FC49*0.5</f>
        <v>86.735205625000006</v>
      </c>
      <c r="FE49" s="25">
        <v>272</v>
      </c>
      <c r="FF49" s="25">
        <v>58</v>
      </c>
      <c r="FG49" s="16"/>
      <c r="FH49" s="54"/>
      <c r="FI49" s="46"/>
    </row>
    <row r="50" spans="2:174" s="26" customFormat="1" x14ac:dyDescent="0.2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38"/>
        <v>292</v>
      </c>
      <c r="Q50" s="25">
        <f t="shared" si="39"/>
        <v>274</v>
      </c>
      <c r="R50" s="25">
        <f t="shared" si="40"/>
        <v>290</v>
      </c>
      <c r="S50" s="25">
        <v>296</v>
      </c>
      <c r="T50" s="25">
        <f t="shared" si="32"/>
        <v>309</v>
      </c>
      <c r="U50" s="25">
        <f t="shared" si="33"/>
        <v>282</v>
      </c>
      <c r="V50" s="25">
        <f t="shared" si="34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41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25"/>
        <v>0</v>
      </c>
      <c r="ED50" s="54"/>
      <c r="EE50" s="54"/>
      <c r="EF50" s="54"/>
      <c r="EG50" s="54"/>
      <c r="EH50" s="54"/>
      <c r="EI50" s="66"/>
      <c r="EJ50" s="66"/>
      <c r="EK50" s="5"/>
      <c r="EL50" s="25">
        <v>292</v>
      </c>
      <c r="EM50" s="25">
        <v>296</v>
      </c>
      <c r="EN50" s="25">
        <v>281</v>
      </c>
      <c r="EO50" s="25">
        <f t="shared" si="42"/>
        <v>329</v>
      </c>
      <c r="EP50" s="25">
        <f t="shared" si="43"/>
        <v>394</v>
      </c>
      <c r="EQ50" s="25">
        <f t="shared" si="49"/>
        <v>488</v>
      </c>
      <c r="ER50" s="25">
        <f t="shared" si="22"/>
        <v>542</v>
      </c>
      <c r="ES50" s="25">
        <f t="shared" si="50"/>
        <v>556</v>
      </c>
      <c r="ET50" s="25">
        <f t="shared" si="44"/>
        <v>564</v>
      </c>
      <c r="EU50" s="25">
        <f t="shared" si="20"/>
        <v>605</v>
      </c>
      <c r="EV50" s="25">
        <f t="shared" si="35"/>
        <v>569</v>
      </c>
      <c r="EW50" s="25">
        <f t="shared" si="36"/>
        <v>638</v>
      </c>
      <c r="EX50" s="25">
        <f t="shared" si="37"/>
        <v>693</v>
      </c>
      <c r="EY50" s="25">
        <f>+EX50*0.5</f>
        <v>346.5</v>
      </c>
      <c r="EZ50" s="25">
        <f t="shared" ref="EZ50:FD50" si="51">+EY50*0.5</f>
        <v>173.25</v>
      </c>
      <c r="FA50" s="25">
        <f t="shared" si="51"/>
        <v>86.625</v>
      </c>
      <c r="FB50" s="25">
        <f t="shared" si="51"/>
        <v>43.3125</v>
      </c>
      <c r="FC50" s="25">
        <f t="shared" si="51"/>
        <v>21.65625</v>
      </c>
      <c r="FD50" s="25">
        <f t="shared" si="51"/>
        <v>10.828125</v>
      </c>
      <c r="FE50" s="25"/>
      <c r="FF50" s="46"/>
      <c r="FG50" s="16"/>
      <c r="FH50" s="54"/>
      <c r="FI50" s="46"/>
    </row>
    <row r="51" spans="2:174" s="26" customFormat="1" x14ac:dyDescent="0.2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38"/>
        <v>218</v>
      </c>
      <c r="Q51" s="25">
        <f t="shared" si="39"/>
        <v>211</v>
      </c>
      <c r="R51" s="25">
        <f t="shared" si="40"/>
        <v>189</v>
      </c>
      <c r="S51" s="25">
        <v>193</v>
      </c>
      <c r="T51" s="25">
        <f t="shared" si="32"/>
        <v>212</v>
      </c>
      <c r="U51" s="25">
        <f t="shared" si="33"/>
        <v>169</v>
      </c>
      <c r="V51" s="25">
        <f t="shared" si="34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41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25"/>
        <v>0</v>
      </c>
      <c r="ED51" s="54"/>
      <c r="EE51" s="54"/>
      <c r="EF51" s="54"/>
      <c r="EG51" s="54"/>
      <c r="EH51" s="54"/>
      <c r="EI51" s="66"/>
      <c r="EJ51" s="66"/>
      <c r="EK51" s="5"/>
      <c r="EL51" s="25">
        <v>435</v>
      </c>
      <c r="EM51" s="25">
        <v>477</v>
      </c>
      <c r="EN51" s="25">
        <v>442</v>
      </c>
      <c r="EO51" s="25">
        <f t="shared" si="42"/>
        <v>449</v>
      </c>
      <c r="EP51" s="25">
        <f t="shared" si="43"/>
        <v>476</v>
      </c>
      <c r="EQ51" s="25">
        <f t="shared" si="49"/>
        <v>494</v>
      </c>
      <c r="ER51" s="25">
        <f t="shared" si="22"/>
        <v>470</v>
      </c>
      <c r="ES51" s="25">
        <f t="shared" si="50"/>
        <v>413</v>
      </c>
      <c r="ET51" s="25">
        <f t="shared" si="44"/>
        <v>400</v>
      </c>
      <c r="EU51" s="25">
        <f t="shared" si="20"/>
        <v>405</v>
      </c>
      <c r="EV51" s="25">
        <f t="shared" si="35"/>
        <v>317</v>
      </c>
      <c r="EW51" s="25">
        <f t="shared" si="36"/>
        <v>304</v>
      </c>
      <c r="EX51" s="25">
        <f t="shared" si="37"/>
        <v>274</v>
      </c>
      <c r="EY51" s="25">
        <f t="shared" ref="EY51:EY53" si="52">EX51*1.05</f>
        <v>287.7</v>
      </c>
      <c r="EZ51" s="25">
        <f t="shared" ref="EZ51:FC51" si="53">EY51*1.05</f>
        <v>302.08499999999998</v>
      </c>
      <c r="FA51" s="25">
        <f t="shared" si="53"/>
        <v>317.18925000000002</v>
      </c>
      <c r="FB51" s="25">
        <f t="shared" si="53"/>
        <v>333.04871250000002</v>
      </c>
      <c r="FC51" s="25">
        <f t="shared" si="53"/>
        <v>349.70114812500003</v>
      </c>
      <c r="FD51" s="25">
        <f>+FC51*0.9</f>
        <v>314.73103331250002</v>
      </c>
      <c r="FE51" s="25"/>
      <c r="FF51" s="46"/>
      <c r="FG51" s="16"/>
      <c r="FH51" s="54"/>
      <c r="FI51" s="46"/>
    </row>
    <row r="52" spans="2:174" s="26" customFormat="1" x14ac:dyDescent="0.2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39"/>
        <v>188</v>
      </c>
      <c r="R52" s="25">
        <f t="shared" si="40"/>
        <v>197</v>
      </c>
      <c r="S52" s="25">
        <v>167</v>
      </c>
      <c r="T52" s="25">
        <f t="shared" si="32"/>
        <v>164</v>
      </c>
      <c r="U52" s="25">
        <f t="shared" si="33"/>
        <v>135</v>
      </c>
      <c r="V52" s="25">
        <f t="shared" si="34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41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25"/>
        <v>0</v>
      </c>
      <c r="ED52" s="54"/>
      <c r="EE52" s="54"/>
      <c r="EF52" s="54"/>
      <c r="EG52" s="54"/>
      <c r="EH52" s="54"/>
      <c r="EI52" s="66"/>
      <c r="EJ52" s="66"/>
      <c r="EK52" s="5"/>
      <c r="EL52" s="25">
        <v>0</v>
      </c>
      <c r="EM52" s="25">
        <v>0</v>
      </c>
      <c r="EN52" s="25">
        <v>315</v>
      </c>
      <c r="EO52" s="25">
        <f t="shared" si="42"/>
        <v>325</v>
      </c>
      <c r="EP52" s="25">
        <f t="shared" si="43"/>
        <v>364</v>
      </c>
      <c r="EQ52" s="25">
        <f t="shared" si="49"/>
        <v>379</v>
      </c>
      <c r="ER52" s="25">
        <f>SUM(M52:N52)</f>
        <v>405</v>
      </c>
      <c r="ES52" s="25">
        <f t="shared" si="50"/>
        <v>404</v>
      </c>
      <c r="ET52" s="25">
        <f t="shared" si="44"/>
        <v>385</v>
      </c>
      <c r="EU52" s="25">
        <f t="shared" si="20"/>
        <v>331</v>
      </c>
      <c r="EV52" s="25">
        <f t="shared" si="35"/>
        <v>278</v>
      </c>
      <c r="EW52" s="25"/>
      <c r="EX52" s="25"/>
      <c r="EY52" s="25"/>
      <c r="EZ52" s="25"/>
      <c r="FA52" s="25"/>
      <c r="FB52" s="25"/>
      <c r="FC52" s="25"/>
      <c r="FD52" s="25"/>
      <c r="FE52" s="25"/>
      <c r="FF52" s="46"/>
      <c r="FG52" s="16"/>
      <c r="FH52" s="54"/>
      <c r="FI52" s="46"/>
    </row>
    <row r="53" spans="2:174" s="26" customFormat="1" x14ac:dyDescent="0.2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39"/>
        <v>140</v>
      </c>
      <c r="R53" s="25">
        <f t="shared" si="40"/>
        <v>146</v>
      </c>
      <c r="S53" s="25">
        <v>0</v>
      </c>
      <c r="T53" s="25">
        <f t="shared" si="32"/>
        <v>77</v>
      </c>
      <c r="U53" s="25">
        <f t="shared" si="33"/>
        <v>150</v>
      </c>
      <c r="V53" s="25">
        <f t="shared" si="34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25"/>
        <v>368</v>
      </c>
      <c r="ED53" s="54"/>
      <c r="EE53" s="54"/>
      <c r="EF53" s="54"/>
      <c r="EG53" s="54"/>
      <c r="EH53" s="54"/>
      <c r="EI53" s="66"/>
      <c r="EJ53" s="66"/>
      <c r="EK53" s="5"/>
      <c r="EL53" s="25"/>
      <c r="EM53" s="25"/>
      <c r="EN53" s="25"/>
      <c r="EO53" s="25"/>
      <c r="EP53" s="25"/>
      <c r="EQ53" s="25"/>
      <c r="ER53" s="25">
        <f>SUM(BJ53:BM53)</f>
        <v>311</v>
      </c>
      <c r="ES53" s="25">
        <f t="shared" si="50"/>
        <v>311</v>
      </c>
      <c r="ET53" s="25">
        <f t="shared" si="44"/>
        <v>286</v>
      </c>
      <c r="EU53" s="25"/>
      <c r="EV53" s="25">
        <f t="shared" si="35"/>
        <v>294</v>
      </c>
      <c r="EW53" s="25">
        <f t="shared" si="36"/>
        <v>310</v>
      </c>
      <c r="EX53" s="25">
        <f t="shared" si="37"/>
        <v>313</v>
      </c>
      <c r="EY53" s="25">
        <f t="shared" si="52"/>
        <v>328.65000000000003</v>
      </c>
      <c r="EZ53" s="25">
        <f t="shared" ref="EZ53:FC53" si="54">EY53*1.05</f>
        <v>345.08250000000004</v>
      </c>
      <c r="FA53" s="25">
        <f t="shared" si="54"/>
        <v>362.33662500000008</v>
      </c>
      <c r="FB53" s="25">
        <f t="shared" si="54"/>
        <v>380.4534562500001</v>
      </c>
      <c r="FC53" s="25">
        <f t="shared" si="54"/>
        <v>399.47612906250015</v>
      </c>
      <c r="FD53" s="25">
        <f>+FC53*0.9</f>
        <v>359.52851615625013</v>
      </c>
      <c r="FE53" s="25">
        <v>361</v>
      </c>
      <c r="FF53" s="25">
        <v>394</v>
      </c>
      <c r="FG53" s="25">
        <v>379</v>
      </c>
      <c r="FH53" s="54">
        <v>355</v>
      </c>
      <c r="FI53" s="54">
        <v>368</v>
      </c>
    </row>
    <row r="54" spans="2:174" s="26" customFormat="1" x14ac:dyDescent="0.2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33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25"/>
        <v>93</v>
      </c>
      <c r="ED54" s="54"/>
      <c r="EE54" s="54"/>
      <c r="EF54" s="54"/>
      <c r="EG54" s="54"/>
      <c r="EH54" s="54"/>
      <c r="EI54" s="66"/>
      <c r="EJ54" s="66"/>
      <c r="EK54" s="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>
        <f t="shared" si="35"/>
        <v>344</v>
      </c>
      <c r="EW54" s="25">
        <f t="shared" si="36"/>
        <v>384</v>
      </c>
      <c r="EX54" s="25">
        <f t="shared" si="37"/>
        <v>425</v>
      </c>
      <c r="EY54" s="25">
        <f>+EX54*1.01</f>
        <v>429.25</v>
      </c>
      <c r="EZ54" s="25">
        <f t="shared" ref="EZ54:FC54" si="55">+EY54*1.01</f>
        <v>433.54250000000002</v>
      </c>
      <c r="FA54" s="25">
        <f t="shared" si="55"/>
        <v>437.877925</v>
      </c>
      <c r="FB54" s="25">
        <f t="shared" si="55"/>
        <v>442.25670424999998</v>
      </c>
      <c r="FC54" s="25">
        <f t="shared" si="55"/>
        <v>446.6792712925</v>
      </c>
      <c r="FD54" s="25"/>
      <c r="FE54" s="25">
        <v>470</v>
      </c>
      <c r="FF54" s="25">
        <v>435</v>
      </c>
      <c r="FG54" s="3">
        <v>408</v>
      </c>
      <c r="FH54" s="54">
        <v>426</v>
      </c>
      <c r="FI54" s="54">
        <v>397</v>
      </c>
    </row>
    <row r="55" spans="2:174" s="26" customFormat="1" hidden="1" x14ac:dyDescent="0.2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25"/>
        <v>0</v>
      </c>
      <c r="ED55" s="54"/>
      <c r="EE55" s="54"/>
      <c r="EF55" s="54"/>
      <c r="EG55" s="54"/>
      <c r="EH55" s="54"/>
      <c r="EI55" s="66"/>
      <c r="EJ55" s="66"/>
      <c r="EK55" s="5"/>
      <c r="EL55" s="25">
        <v>963</v>
      </c>
      <c r="EM55" s="25">
        <v>763</v>
      </c>
      <c r="EN55" s="25">
        <v>618</v>
      </c>
      <c r="EO55" s="25">
        <f>SUM(AX55:BA55)</f>
        <v>593</v>
      </c>
      <c r="EP55" s="25">
        <f>SUM(BB55:BE55)</f>
        <v>635</v>
      </c>
      <c r="EQ55" s="25">
        <f>SUM(K55:L55)</f>
        <v>693</v>
      </c>
      <c r="ER55" s="25">
        <f>SUM(M55:N55)</f>
        <v>632</v>
      </c>
      <c r="ES55" s="25">
        <f>SUM(BN55:BQ55)</f>
        <v>502</v>
      </c>
      <c r="ET55" s="25">
        <f>SUM(BR55:BU55)</f>
        <v>397</v>
      </c>
      <c r="EU55" s="25">
        <f>SUM(BV55:BY55)</f>
        <v>337</v>
      </c>
      <c r="EV55" s="25">
        <f t="shared" ref="EV55:EV62" si="56">SUM(BZ55:CC55)</f>
        <v>0</v>
      </c>
      <c r="EW55" s="25">
        <f t="shared" si="36"/>
        <v>0</v>
      </c>
      <c r="EX55" s="25">
        <f t="shared" si="37"/>
        <v>0</v>
      </c>
      <c r="EY55" s="25"/>
      <c r="EZ55" s="25"/>
      <c r="FA55" s="25"/>
      <c r="FB55" s="25"/>
      <c r="FC55" s="25"/>
      <c r="FD55" s="25"/>
      <c r="FE55" s="25"/>
      <c r="FF55" s="46"/>
      <c r="FG55" s="16"/>
      <c r="FH55" s="54">
        <f t="shared" si="24"/>
        <v>0</v>
      </c>
      <c r="FI55" s="46"/>
    </row>
    <row r="56" spans="2:174" s="26" customFormat="1" hidden="1" x14ac:dyDescent="0.2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25"/>
        <v>0</v>
      </c>
      <c r="ED56" s="54"/>
      <c r="EE56" s="54"/>
      <c r="EF56" s="54"/>
      <c r="EG56" s="54"/>
      <c r="EH56" s="54"/>
      <c r="EI56" s="66"/>
      <c r="EJ56" s="66"/>
      <c r="EK56" s="5"/>
      <c r="EL56" s="25">
        <v>437</v>
      </c>
      <c r="EM56" s="25">
        <v>451</v>
      </c>
      <c r="EN56" s="25">
        <v>437</v>
      </c>
      <c r="EO56" s="25">
        <f t="shared" ref="EO56:EO62" si="57">SUM(AX56:BA56)</f>
        <v>457</v>
      </c>
      <c r="EP56" s="25">
        <f t="shared" ref="EP56:EP62" si="58">SUM(BB56:BE56)</f>
        <v>500</v>
      </c>
      <c r="EQ56" s="25">
        <f>SUM(K56:L56)</f>
        <v>498</v>
      </c>
      <c r="ER56" s="25">
        <f>SUM(M56:N56)</f>
        <v>425</v>
      </c>
      <c r="ES56" s="25"/>
      <c r="ET56" s="25"/>
      <c r="EV56" s="25">
        <f t="shared" si="56"/>
        <v>0</v>
      </c>
      <c r="EW56" s="25">
        <f t="shared" si="36"/>
        <v>0</v>
      </c>
      <c r="EX56" s="25">
        <f t="shared" si="37"/>
        <v>0</v>
      </c>
      <c r="FF56" s="46"/>
      <c r="FG56" s="111"/>
      <c r="FH56" s="54">
        <f t="shared" si="24"/>
        <v>0</v>
      </c>
      <c r="FI56" s="25"/>
      <c r="FJ56" s="25"/>
      <c r="FK56" s="25"/>
      <c r="FL56" s="25"/>
      <c r="FM56" s="25"/>
      <c r="FN56" s="25"/>
      <c r="FO56" s="25"/>
      <c r="FP56" s="25"/>
      <c r="FQ56" s="25"/>
      <c r="FR56" s="25"/>
    </row>
    <row r="57" spans="2:174" s="26" customFormat="1" hidden="1" x14ac:dyDescent="0.2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25"/>
        <v>0</v>
      </c>
      <c r="ED57" s="54"/>
      <c r="EE57" s="54"/>
      <c r="EF57" s="54"/>
      <c r="EG57" s="54"/>
      <c r="EH57" s="54"/>
      <c r="EI57" s="66"/>
      <c r="EJ57" s="66"/>
      <c r="EK57" s="5"/>
      <c r="EL57" s="25">
        <v>0</v>
      </c>
      <c r="EM57" s="25">
        <v>0</v>
      </c>
      <c r="EN57" s="25">
        <v>49</v>
      </c>
      <c r="EO57" s="25">
        <f t="shared" si="57"/>
        <v>168</v>
      </c>
      <c r="EP57" s="25">
        <f t="shared" si="58"/>
        <v>259</v>
      </c>
      <c r="EQ57" s="25"/>
      <c r="ER57" s="25"/>
      <c r="ES57" s="25"/>
      <c r="ET57" s="25"/>
      <c r="EU57" s="25"/>
      <c r="EV57" s="25">
        <f t="shared" si="56"/>
        <v>0</v>
      </c>
      <c r="EW57" s="25">
        <f t="shared" si="36"/>
        <v>0</v>
      </c>
      <c r="EX57" s="25">
        <f t="shared" si="37"/>
        <v>0</v>
      </c>
      <c r="EY57" s="25"/>
      <c r="EZ57" s="25"/>
      <c r="FA57" s="25"/>
      <c r="FB57" s="25"/>
      <c r="FC57" s="25"/>
      <c r="FD57" s="25"/>
      <c r="FE57" s="25"/>
      <c r="FF57" s="46"/>
      <c r="FG57" s="112"/>
      <c r="FH57" s="54">
        <f t="shared" si="24"/>
        <v>0</v>
      </c>
      <c r="FI57" s="99"/>
      <c r="FJ57" s="99"/>
      <c r="FK57" s="99"/>
      <c r="FL57" s="99"/>
      <c r="FM57" s="99"/>
      <c r="FN57" s="99"/>
      <c r="FO57" s="99"/>
      <c r="FP57" s="99"/>
      <c r="FQ57" s="99"/>
      <c r="FR57" s="99"/>
    </row>
    <row r="58" spans="2:174" s="26" customFormat="1" hidden="1" x14ac:dyDescent="0.2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25"/>
        <v>0</v>
      </c>
      <c r="ED58" s="54"/>
      <c r="EE58" s="54"/>
      <c r="EF58" s="54"/>
      <c r="EG58" s="54"/>
      <c r="EH58" s="54"/>
      <c r="EI58" s="66"/>
      <c r="EJ58" s="66"/>
      <c r="EK58" s="5"/>
      <c r="EL58" s="25">
        <v>0</v>
      </c>
      <c r="EM58" s="25">
        <v>0</v>
      </c>
      <c r="EN58" s="25">
        <v>3</v>
      </c>
      <c r="EO58" s="25">
        <f t="shared" si="57"/>
        <v>70</v>
      </c>
      <c r="EP58" s="25">
        <f t="shared" si="58"/>
        <v>117</v>
      </c>
      <c r="EQ58" s="25"/>
      <c r="ER58" s="25"/>
      <c r="ES58" s="25"/>
      <c r="ET58" s="25"/>
      <c r="EU58" s="25"/>
      <c r="EV58" s="25">
        <f t="shared" si="56"/>
        <v>0</v>
      </c>
      <c r="EW58" s="25">
        <f t="shared" si="36"/>
        <v>0</v>
      </c>
      <c r="EX58" s="25">
        <f t="shared" si="37"/>
        <v>0</v>
      </c>
      <c r="EY58" s="25"/>
      <c r="EZ58" s="25"/>
      <c r="FA58" s="25"/>
      <c r="FB58" s="25"/>
      <c r="FC58" s="25"/>
      <c r="FD58" s="25"/>
      <c r="FE58" s="25"/>
      <c r="FF58" s="46"/>
      <c r="FG58" s="16"/>
      <c r="FH58" s="54">
        <f t="shared" si="24"/>
        <v>0</v>
      </c>
      <c r="FI58" s="46"/>
    </row>
    <row r="59" spans="2:174" s="26" customFormat="1" hidden="1" x14ac:dyDescent="0.2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25"/>
        <v>0</v>
      </c>
      <c r="ED59" s="54"/>
      <c r="EE59" s="54"/>
      <c r="EF59" s="54"/>
      <c r="EG59" s="54"/>
      <c r="EH59" s="54"/>
      <c r="EI59" s="66"/>
      <c r="EJ59" s="66"/>
      <c r="EK59" s="5"/>
      <c r="EL59" s="25">
        <v>289</v>
      </c>
      <c r="EM59" s="25">
        <v>329</v>
      </c>
      <c r="EN59" s="25">
        <v>392</v>
      </c>
      <c r="EO59" s="25">
        <f t="shared" si="57"/>
        <v>361</v>
      </c>
      <c r="EP59" s="25">
        <f t="shared" si="58"/>
        <v>326</v>
      </c>
      <c r="EQ59" s="25"/>
      <c r="ER59" s="25"/>
      <c r="ES59" s="25"/>
      <c r="ET59" s="25"/>
      <c r="EU59" s="25"/>
      <c r="EV59" s="25">
        <f t="shared" si="56"/>
        <v>0</v>
      </c>
      <c r="EW59" s="25">
        <f t="shared" si="36"/>
        <v>0</v>
      </c>
      <c r="EX59" s="25">
        <f t="shared" si="37"/>
        <v>0</v>
      </c>
      <c r="EY59" s="25"/>
      <c r="EZ59" s="25"/>
      <c r="FA59" s="25"/>
      <c r="FB59" s="25"/>
      <c r="FC59" s="25"/>
      <c r="FD59" s="25"/>
      <c r="FE59" s="25"/>
      <c r="FF59" s="46"/>
      <c r="FG59" s="16"/>
      <c r="FH59" s="54">
        <f t="shared" si="24"/>
        <v>0</v>
      </c>
      <c r="FI59" s="46"/>
    </row>
    <row r="60" spans="2:174" s="26" customFormat="1" hidden="1" x14ac:dyDescent="0.2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25"/>
        <v>0</v>
      </c>
      <c r="ED60" s="54"/>
      <c r="EE60" s="54"/>
      <c r="EF60" s="54"/>
      <c r="EG60" s="54"/>
      <c r="EH60" s="54"/>
      <c r="EI60" s="66"/>
      <c r="EJ60" s="66"/>
      <c r="EK60" s="5"/>
      <c r="EL60" s="25">
        <v>0</v>
      </c>
      <c r="EM60" s="25">
        <v>0</v>
      </c>
      <c r="EN60" s="25">
        <v>0</v>
      </c>
      <c r="EO60" s="25">
        <f t="shared" si="57"/>
        <v>38</v>
      </c>
      <c r="EP60" s="25">
        <f t="shared" si="58"/>
        <v>104</v>
      </c>
      <c r="EQ60" s="25"/>
      <c r="ER60" s="25"/>
      <c r="ES60" s="25"/>
      <c r="ET60" s="25"/>
      <c r="EU60" s="25"/>
      <c r="EV60" s="25">
        <f t="shared" si="56"/>
        <v>0</v>
      </c>
      <c r="EW60" s="25">
        <f t="shared" si="36"/>
        <v>0</v>
      </c>
      <c r="EX60" s="25">
        <f t="shared" si="37"/>
        <v>0</v>
      </c>
      <c r="EY60" s="25"/>
      <c r="EZ60" s="25"/>
      <c r="FA60" s="25"/>
      <c r="FB60" s="25"/>
      <c r="FC60" s="25"/>
      <c r="FD60" s="25"/>
      <c r="FE60" s="25"/>
      <c r="FF60" s="46"/>
      <c r="FG60" s="16"/>
      <c r="FH60" s="54">
        <f t="shared" si="24"/>
        <v>0</v>
      </c>
      <c r="FI60" s="46"/>
    </row>
    <row r="61" spans="2:174" s="26" customFormat="1" hidden="1" x14ac:dyDescent="0.2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25"/>
        <v>0</v>
      </c>
      <c r="ED61" s="54"/>
      <c r="EE61" s="54"/>
      <c r="EF61" s="54"/>
      <c r="EG61" s="54"/>
      <c r="EH61" s="54"/>
      <c r="EI61" s="66"/>
      <c r="EJ61" s="66"/>
      <c r="EK61" s="5"/>
      <c r="EL61" s="25">
        <v>0</v>
      </c>
      <c r="EM61" s="25">
        <v>0</v>
      </c>
      <c r="EN61" s="25">
        <v>0</v>
      </c>
      <c r="EO61" s="25">
        <f t="shared" si="57"/>
        <v>45</v>
      </c>
      <c r="EP61" s="25">
        <f t="shared" si="58"/>
        <v>57</v>
      </c>
      <c r="EQ61" s="25"/>
      <c r="ER61" s="25"/>
      <c r="ES61" s="25"/>
      <c r="ET61" s="25"/>
      <c r="EU61" s="25"/>
      <c r="EV61" s="25">
        <f t="shared" si="56"/>
        <v>0</v>
      </c>
      <c r="EW61" s="25">
        <f t="shared" si="36"/>
        <v>0</v>
      </c>
      <c r="EX61" s="25">
        <f t="shared" si="37"/>
        <v>0</v>
      </c>
      <c r="EY61" s="25"/>
      <c r="EZ61" s="25"/>
      <c r="FA61" s="25"/>
      <c r="FB61" s="25"/>
      <c r="FC61" s="25"/>
      <c r="FD61" s="25"/>
      <c r="FE61" s="25"/>
      <c r="FF61" s="46"/>
      <c r="FG61" s="16"/>
      <c r="FH61" s="54">
        <f t="shared" si="24"/>
        <v>0</v>
      </c>
      <c r="FI61" s="46"/>
    </row>
    <row r="62" spans="2:174" s="26" customFormat="1" hidden="1" x14ac:dyDescent="0.2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25"/>
        <v>0</v>
      </c>
      <c r="ED62" s="54"/>
      <c r="EE62" s="54"/>
      <c r="EF62" s="54"/>
      <c r="EG62" s="54"/>
      <c r="EH62" s="54"/>
      <c r="EI62" s="66"/>
      <c r="EJ62" s="66"/>
      <c r="EK62" s="5"/>
      <c r="EL62" s="25">
        <v>0</v>
      </c>
      <c r="EM62" s="25">
        <v>0</v>
      </c>
      <c r="EN62" s="25">
        <v>223</v>
      </c>
      <c r="EO62" s="25">
        <f t="shared" si="57"/>
        <v>383</v>
      </c>
      <c r="EP62" s="25">
        <f t="shared" si="58"/>
        <v>407</v>
      </c>
      <c r="EQ62" s="25"/>
      <c r="ER62" s="25"/>
      <c r="ES62" s="25"/>
      <c r="ET62" s="25"/>
      <c r="EU62" s="25"/>
      <c r="EV62" s="25">
        <f t="shared" si="56"/>
        <v>0</v>
      </c>
      <c r="EW62" s="25">
        <f t="shared" si="36"/>
        <v>0</v>
      </c>
      <c r="EX62" s="25">
        <f t="shared" si="37"/>
        <v>0</v>
      </c>
      <c r="EY62" s="25"/>
      <c r="EZ62" s="25"/>
      <c r="FA62" s="25"/>
      <c r="FB62" s="25"/>
      <c r="FC62" s="25"/>
      <c r="FD62" s="25"/>
      <c r="FE62" s="25"/>
      <c r="FF62" s="46"/>
      <c r="FG62" s="16"/>
      <c r="FH62" s="54">
        <f t="shared" si="24"/>
        <v>0</v>
      </c>
      <c r="FI62" s="46"/>
    </row>
    <row r="63" spans="2:174" s="26" customFormat="1" x14ac:dyDescent="0.2">
      <c r="B63" s="3" t="s">
        <v>719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25"/>
        <v>0</v>
      </c>
      <c r="ED63" s="54"/>
      <c r="EE63" s="54"/>
      <c r="EF63" s="54"/>
      <c r="EG63" s="54"/>
      <c r="EH63" s="54"/>
      <c r="EI63" s="66"/>
      <c r="EJ63" s="66"/>
      <c r="EK63" s="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>
        <f t="shared" si="36"/>
        <v>234</v>
      </c>
      <c r="EX63" s="25">
        <f t="shared" si="37"/>
        <v>354</v>
      </c>
      <c r="EY63" s="25">
        <f>+EX63*1.1</f>
        <v>389.40000000000003</v>
      </c>
      <c r="EZ63" s="25">
        <f t="shared" ref="EZ63:FC63" si="59">+EY63*1.1</f>
        <v>428.34000000000009</v>
      </c>
      <c r="FA63" s="25">
        <f t="shared" si="59"/>
        <v>471.17400000000015</v>
      </c>
      <c r="FB63" s="25">
        <f t="shared" si="59"/>
        <v>518.29140000000018</v>
      </c>
      <c r="FC63" s="25">
        <f t="shared" si="59"/>
        <v>570.12054000000023</v>
      </c>
      <c r="FD63" s="25"/>
      <c r="FE63" s="25"/>
      <c r="FF63" s="46"/>
      <c r="FG63" s="16"/>
      <c r="FH63" s="54"/>
      <c r="FI63" s="46"/>
    </row>
    <row r="64" spans="2:174" s="26" customFormat="1" x14ac:dyDescent="0.2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25"/>
        <v>0</v>
      </c>
      <c r="ED64" s="54"/>
      <c r="EE64" s="54"/>
      <c r="EF64" s="54"/>
      <c r="EG64" s="54"/>
      <c r="EH64" s="54"/>
      <c r="EI64" s="66"/>
      <c r="EJ64" s="66"/>
      <c r="EK64" s="5"/>
      <c r="EL64" s="25">
        <v>1755</v>
      </c>
      <c r="EM64" s="25">
        <v>1548</v>
      </c>
      <c r="EN64" s="25">
        <v>1375</v>
      </c>
      <c r="EO64" s="25">
        <f>SUM(AX64:BA64)</f>
        <v>1302</v>
      </c>
      <c r="EP64" s="25">
        <f>SUM(BB64:BE64)</f>
        <v>927</v>
      </c>
      <c r="EQ64" s="25">
        <f>SUM(K64:L64)</f>
        <v>416</v>
      </c>
      <c r="ER64" s="25">
        <f>SUM(M64:N64)</f>
        <v>399</v>
      </c>
      <c r="ES64" s="25">
        <f>SUM(BN64:BQ64)</f>
        <v>344</v>
      </c>
      <c r="ET64" s="25">
        <f>SUM(BR64:BU64)</f>
        <v>307</v>
      </c>
      <c r="EU64" s="25">
        <f>SUM(BV64:BY64)</f>
        <v>311</v>
      </c>
      <c r="EV64" s="25"/>
      <c r="EW64" s="25">
        <f t="shared" si="36"/>
        <v>266</v>
      </c>
      <c r="EX64" s="25">
        <f t="shared" si="37"/>
        <v>138</v>
      </c>
      <c r="EY64" s="25"/>
      <c r="EZ64" s="25"/>
      <c r="FA64" s="25"/>
      <c r="FB64" s="25"/>
      <c r="FC64" s="25"/>
      <c r="FD64" s="25"/>
      <c r="FE64" s="25">
        <v>252</v>
      </c>
      <c r="FF64" s="25">
        <v>244</v>
      </c>
      <c r="FG64" s="16"/>
      <c r="FH64" s="54"/>
      <c r="FI64" s="46"/>
    </row>
    <row r="65" spans="2:167" s="26" customFormat="1" x14ac:dyDescent="0.2">
      <c r="B65" s="3" t="s">
        <v>1027</v>
      </c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/>
      <c r="ED65" s="54"/>
      <c r="EE65" s="54"/>
      <c r="EF65" s="54"/>
      <c r="EG65" s="54"/>
      <c r="EH65" s="54"/>
      <c r="EI65" s="66"/>
      <c r="EJ65" s="66"/>
      <c r="EK65" s="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16"/>
      <c r="FH65" s="54">
        <v>526</v>
      </c>
      <c r="FI65" s="54">
        <v>419</v>
      </c>
    </row>
    <row r="66" spans="2:167" s="26" customFormat="1" x14ac:dyDescent="0.2">
      <c r="B66" s="3" t="s">
        <v>1028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93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54"/>
      <c r="ED66" s="54"/>
      <c r="EE66" s="54"/>
      <c r="EF66" s="54"/>
      <c r="EG66" s="54"/>
      <c r="EH66" s="54"/>
      <c r="EI66" s="66"/>
      <c r="EJ66" s="66"/>
      <c r="EK66" s="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16"/>
      <c r="FH66" s="54">
        <v>58</v>
      </c>
      <c r="FI66" s="54">
        <v>87</v>
      </c>
    </row>
    <row r="67" spans="2:167" s="26" customFormat="1" x14ac:dyDescent="0.2">
      <c r="B67" s="3" t="s">
        <v>1029</v>
      </c>
      <c r="C67" s="23"/>
      <c r="D67" s="23"/>
      <c r="E67" s="23"/>
      <c r="F67" s="23"/>
      <c r="G67" s="23"/>
      <c r="H67" s="23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54"/>
      <c r="ED67" s="54"/>
      <c r="EE67" s="54"/>
      <c r="EF67" s="54"/>
      <c r="EG67" s="54"/>
      <c r="EH67" s="54"/>
      <c r="EI67" s="66"/>
      <c r="EJ67" s="66"/>
      <c r="EK67" s="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16"/>
      <c r="FH67" s="54">
        <v>34</v>
      </c>
      <c r="FI67" s="54">
        <v>24</v>
      </c>
    </row>
    <row r="68" spans="2:167" s="26" customFormat="1" x14ac:dyDescent="0.2">
      <c r="B68" s="3"/>
      <c r="C68" s="23"/>
      <c r="D68" s="23"/>
      <c r="E68" s="23"/>
      <c r="F68" s="23"/>
      <c r="G68" s="23"/>
      <c r="H68" s="23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93"/>
      <c r="AX68" s="93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54">
        <f t="shared" si="25"/>
        <v>0</v>
      </c>
      <c r="ED68" s="54"/>
      <c r="EE68" s="54"/>
      <c r="EF68" s="54"/>
      <c r="EG68" s="54"/>
      <c r="EH68" s="54"/>
      <c r="EI68" s="66"/>
      <c r="EJ68" s="66"/>
      <c r="EK68" s="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>
        <v>300</v>
      </c>
      <c r="EZ68" s="25">
        <v>400</v>
      </c>
      <c r="FA68" s="25">
        <v>500</v>
      </c>
      <c r="FB68" s="25">
        <v>600</v>
      </c>
      <c r="FC68" s="25">
        <v>600</v>
      </c>
      <c r="FD68" s="25">
        <v>600</v>
      </c>
      <c r="FE68" s="25"/>
      <c r="FF68" s="46"/>
      <c r="FG68" s="16"/>
      <c r="FH68" s="54"/>
      <c r="FI68" s="46"/>
    </row>
    <row r="69" spans="2:167" s="26" customFormat="1" x14ac:dyDescent="0.2">
      <c r="B69" s="3" t="s">
        <v>339</v>
      </c>
      <c r="C69" s="23"/>
      <c r="D69" s="23"/>
      <c r="E69" s="23"/>
      <c r="F69" s="23"/>
      <c r="G69" s="23"/>
      <c r="H69" s="23"/>
      <c r="I69" s="25"/>
      <c r="J69" s="25"/>
      <c r="K69" s="25"/>
      <c r="L69" s="25"/>
      <c r="M69" s="25"/>
      <c r="N69" s="25"/>
      <c r="O69" s="25"/>
      <c r="P69" s="25"/>
      <c r="Q69" s="68">
        <f>Q8+Q4+Q5-SUM(Q22:Q53)</f>
        <v>8792</v>
      </c>
      <c r="R69" s="68">
        <f>R8+R4+R5-SUM(R22:R53)</f>
        <v>6342</v>
      </c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93"/>
      <c r="AX69" s="66">
        <v>1354</v>
      </c>
      <c r="AY69" s="66">
        <v>1389</v>
      </c>
      <c r="AZ69" s="66">
        <v>1247</v>
      </c>
      <c r="BA69" s="66">
        <v>1287</v>
      </c>
      <c r="BB69" s="66">
        <v>1332</v>
      </c>
      <c r="BC69" s="66">
        <v>1387.7282626022334</v>
      </c>
      <c r="BD69" s="66">
        <v>1301.2717373977657</v>
      </c>
      <c r="BE69" s="66">
        <v>1442</v>
      </c>
      <c r="BF69" s="66">
        <v>1278</v>
      </c>
      <c r="BG69" s="66">
        <v>1338</v>
      </c>
      <c r="BH69" s="66">
        <v>1286.2578675886843</v>
      </c>
      <c r="BI69" s="66">
        <v>1242.1465217449652</v>
      </c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25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>
        <v>787</v>
      </c>
      <c r="DS69" s="66"/>
      <c r="DT69" s="66"/>
      <c r="DU69" s="66"/>
      <c r="DV69" s="66"/>
      <c r="DW69" s="66"/>
      <c r="DX69" s="66"/>
      <c r="DY69" s="66"/>
      <c r="DZ69" s="66">
        <v>779</v>
      </c>
      <c r="EA69" s="66"/>
      <c r="EB69" s="66"/>
      <c r="EC69" s="54">
        <f t="shared" si="25"/>
        <v>1397</v>
      </c>
      <c r="ED69" s="54"/>
      <c r="EE69" s="54"/>
      <c r="EF69" s="54"/>
      <c r="EG69" s="54"/>
      <c r="EH69" s="54"/>
      <c r="EI69" s="66"/>
      <c r="EJ69" s="66"/>
      <c r="EK69" s="5"/>
      <c r="EL69" s="25">
        <v>7640</v>
      </c>
      <c r="EM69" s="25">
        <v>6710</v>
      </c>
      <c r="EN69" s="25">
        <v>6004</v>
      </c>
      <c r="EO69" s="25">
        <f>SUM(AX69:BA69)</f>
        <v>5277</v>
      </c>
      <c r="EP69" s="25">
        <f>SUM(BB69:BE69)</f>
        <v>5462.9999999999991</v>
      </c>
      <c r="EQ69" s="25">
        <f>SUM(BF69:BI69)</f>
        <v>5144.4043893336493</v>
      </c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46"/>
      <c r="FG69" s="16"/>
      <c r="FH69" s="54">
        <v>2770</v>
      </c>
      <c r="FI69" s="54">
        <v>2176</v>
      </c>
    </row>
    <row r="70" spans="2:167" s="26" customFormat="1" x14ac:dyDescent="0.2">
      <c r="B70" s="3" t="s">
        <v>18</v>
      </c>
      <c r="C70" s="23"/>
      <c r="D70" s="23"/>
      <c r="E70" s="23"/>
      <c r="F70" s="23"/>
      <c r="G70" s="23"/>
      <c r="H70" s="23"/>
      <c r="I70" s="27">
        <f t="shared" ref="I70:P70" si="60">I8+I4+I5-SUM(I22:I53)</f>
        <v>7606</v>
      </c>
      <c r="J70" s="27">
        <f t="shared" si="60"/>
        <v>7873</v>
      </c>
      <c r="K70" s="27">
        <f t="shared" si="60"/>
        <v>8448</v>
      </c>
      <c r="L70" s="27">
        <f t="shared" si="60"/>
        <v>8812</v>
      </c>
      <c r="M70" s="27">
        <f t="shared" si="60"/>
        <v>9113</v>
      </c>
      <c r="N70" s="27">
        <f t="shared" si="60"/>
        <v>9363</v>
      </c>
      <c r="O70" s="27">
        <f t="shared" si="60"/>
        <v>8582</v>
      </c>
      <c r="P70" s="27">
        <f t="shared" si="60"/>
        <v>9042</v>
      </c>
      <c r="Q70" s="46"/>
      <c r="R70" s="27"/>
      <c r="S70" s="27">
        <f>+BV70+BW70</f>
        <v>8893</v>
      </c>
      <c r="T70" s="27">
        <f>+BY70+BX70</f>
        <v>8280</v>
      </c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25">
        <f t="shared" ref="BH70:BT70" si="61">BH4+BH5+BH8-SUM(BH22:BH53)</f>
        <v>4080.910722056241</v>
      </c>
      <c r="BI70" s="25">
        <f t="shared" si="61"/>
        <v>4365.2622756988276</v>
      </c>
      <c r="BJ70" s="25">
        <f t="shared" si="61"/>
        <v>4394</v>
      </c>
      <c r="BK70" s="25">
        <f t="shared" si="61"/>
        <v>4567</v>
      </c>
      <c r="BL70" s="25">
        <f t="shared" si="61"/>
        <v>4474</v>
      </c>
      <c r="BM70" s="25">
        <f t="shared" si="61"/>
        <v>4730</v>
      </c>
      <c r="BN70" s="25">
        <f t="shared" si="61"/>
        <v>4244</v>
      </c>
      <c r="BO70" s="25">
        <f t="shared" si="61"/>
        <v>4335</v>
      </c>
      <c r="BP70" s="25">
        <f t="shared" si="61"/>
        <v>4395</v>
      </c>
      <c r="BQ70" s="25">
        <f t="shared" si="61"/>
        <v>4647</v>
      </c>
      <c r="BR70" s="25">
        <f t="shared" si="61"/>
        <v>4259</v>
      </c>
      <c r="BS70" s="25">
        <f t="shared" si="61"/>
        <v>4533</v>
      </c>
      <c r="BT70" s="25">
        <f t="shared" si="61"/>
        <v>4303</v>
      </c>
      <c r="BU70" s="25">
        <f t="shared" ref="BU70:CC70" si="62">BU4+BU5+BU7+BU8-SUM(BU22:BU69)</f>
        <v>4117</v>
      </c>
      <c r="BV70" s="25">
        <f t="shared" si="62"/>
        <v>4386</v>
      </c>
      <c r="BW70" s="25">
        <f t="shared" si="62"/>
        <v>4507</v>
      </c>
      <c r="BX70" s="25">
        <f t="shared" si="62"/>
        <v>4237</v>
      </c>
      <c r="BY70" s="25">
        <f t="shared" si="62"/>
        <v>4043</v>
      </c>
      <c r="BZ70" s="25">
        <f t="shared" si="62"/>
        <v>4217</v>
      </c>
      <c r="CA70" s="25">
        <f t="shared" si="62"/>
        <v>4087</v>
      </c>
      <c r="CB70" s="25">
        <f t="shared" si="62"/>
        <v>3723</v>
      </c>
      <c r="CC70" s="25">
        <f t="shared" si="62"/>
        <v>4220</v>
      </c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5"/>
      <c r="EL70" s="25"/>
      <c r="EM70" s="25"/>
      <c r="EN70" s="25"/>
      <c r="EO70" s="25"/>
      <c r="EP70" s="25"/>
      <c r="EQ70" s="25">
        <f>SUM(K70:L70)</f>
        <v>17260</v>
      </c>
      <c r="ER70" s="25">
        <f>SUM(M70:N70)</f>
        <v>18476</v>
      </c>
      <c r="ES70" s="25">
        <f>SUM(BN70:BQ70)</f>
        <v>17621</v>
      </c>
      <c r="ET70" s="25">
        <f>SUM(BR70:BU70)</f>
        <v>17212</v>
      </c>
      <c r="EU70" s="25">
        <f>SUM(BV70:BY70)</f>
        <v>17173</v>
      </c>
      <c r="EV70" s="25">
        <f>SUM(BZ70:CC70)</f>
        <v>16247</v>
      </c>
      <c r="EW70" s="25"/>
      <c r="EX70" s="25"/>
      <c r="EY70" s="25">
        <f t="shared" ref="EY70:FD70" si="63">EX70*0.9</f>
        <v>0</v>
      </c>
      <c r="EZ70" s="25">
        <f t="shared" si="63"/>
        <v>0</v>
      </c>
      <c r="FA70" s="25">
        <f t="shared" si="63"/>
        <v>0</v>
      </c>
      <c r="FB70" s="25">
        <f t="shared" si="63"/>
        <v>0</v>
      </c>
      <c r="FC70" s="25">
        <f t="shared" si="63"/>
        <v>0</v>
      </c>
      <c r="FD70" s="25">
        <f t="shared" si="63"/>
        <v>0</v>
      </c>
      <c r="FE70" s="25">
        <f>464+93+195+337+1758</f>
        <v>2847</v>
      </c>
      <c r="FF70" s="25">
        <f>1576+2+294+224+106+382</f>
        <v>2584</v>
      </c>
      <c r="FG70" s="20"/>
      <c r="FH70" s="54"/>
      <c r="FI70" s="46"/>
      <c r="FK70" s="97"/>
    </row>
    <row r="71" spans="2:167" s="17" customFormat="1" x14ac:dyDescent="0.2">
      <c r="B71" s="17" t="s">
        <v>63</v>
      </c>
      <c r="C71" s="69">
        <v>12810</v>
      </c>
      <c r="D71" s="69">
        <v>14380</v>
      </c>
      <c r="E71" s="27">
        <v>14526</v>
      </c>
      <c r="F71" s="27">
        <v>14996</v>
      </c>
      <c r="G71" s="27"/>
      <c r="H71" s="27"/>
      <c r="I71" s="27">
        <f t="shared" ref="I71:Q71" si="64">+I4+I5+I6+I8</f>
        <v>16622</v>
      </c>
      <c r="J71" s="27">
        <f t="shared" si="64"/>
        <v>18889</v>
      </c>
      <c r="K71" s="27">
        <f t="shared" si="64"/>
        <v>19849</v>
      </c>
      <c r="L71" s="27">
        <f t="shared" si="64"/>
        <v>22192</v>
      </c>
      <c r="M71" s="27">
        <f t="shared" si="64"/>
        <v>22827</v>
      </c>
      <c r="N71" s="27">
        <f t="shared" si="64"/>
        <v>23306</v>
      </c>
      <c r="O71" s="27">
        <f t="shared" si="64"/>
        <v>22004</v>
      </c>
      <c r="P71" s="27">
        <f t="shared" si="64"/>
        <v>23613</v>
      </c>
      <c r="Q71" s="27">
        <f t="shared" si="64"/>
        <v>24006</v>
      </c>
      <c r="R71" s="27">
        <f>R6+R3</f>
        <v>25216</v>
      </c>
      <c r="S71" s="27">
        <f>SUM(S22:S70)+S6</f>
        <v>24636</v>
      </c>
      <c r="T71" s="27">
        <f>SUM(T22:T70)+T6</f>
        <v>22767</v>
      </c>
      <c r="U71" s="27">
        <f>SUM(U22:U70)+U6</f>
        <v>13367</v>
      </c>
      <c r="V71" s="27">
        <f>SUM(V22:V70)+V6</f>
        <v>12948</v>
      </c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8"/>
      <c r="AX71" s="48"/>
      <c r="AY71" s="24"/>
      <c r="AZ71" s="24"/>
      <c r="BA71" s="24"/>
      <c r="BB71" s="24"/>
      <c r="BC71" s="24"/>
      <c r="BD71" s="24"/>
      <c r="BE71" s="24"/>
      <c r="BF71" s="24"/>
      <c r="BG71" s="24"/>
      <c r="BH71" s="27">
        <f t="shared" ref="BH71:BU71" si="65">SUM(BH22:BH70)+BH6</f>
        <v>12262.168589644925</v>
      </c>
      <c r="BI71" s="27">
        <f t="shared" si="65"/>
        <v>13158.408797443793</v>
      </c>
      <c r="BJ71" s="27">
        <f t="shared" si="65"/>
        <v>11726</v>
      </c>
      <c r="BK71" s="27">
        <f t="shared" si="65"/>
        <v>11849</v>
      </c>
      <c r="BL71" s="27">
        <f t="shared" si="65"/>
        <v>11476</v>
      </c>
      <c r="BM71" s="27">
        <f t="shared" si="65"/>
        <v>12538</v>
      </c>
      <c r="BN71" s="27">
        <f t="shared" si="65"/>
        <v>11082</v>
      </c>
      <c r="BO71" s="27">
        <f t="shared" si="65"/>
        <v>11362</v>
      </c>
      <c r="BP71" s="27">
        <f t="shared" si="65"/>
        <v>11503</v>
      </c>
      <c r="BQ71" s="27">
        <f t="shared" si="65"/>
        <v>12516</v>
      </c>
      <c r="BR71" s="27">
        <f t="shared" si="65"/>
        <v>11757</v>
      </c>
      <c r="BS71" s="27">
        <f t="shared" si="65"/>
        <v>12622</v>
      </c>
      <c r="BT71" s="27">
        <f t="shared" si="65"/>
        <v>12564</v>
      </c>
      <c r="BU71" s="27">
        <f t="shared" si="65"/>
        <v>12652</v>
      </c>
      <c r="BV71" s="27">
        <f>SUM(BV22:BV69)+BV6</f>
        <v>7859</v>
      </c>
      <c r="BW71" s="27">
        <f t="shared" ref="BW71:CC71" si="66">SUM(BW22:BW70)+BW6</f>
        <v>12391</v>
      </c>
      <c r="BX71" s="27">
        <f t="shared" si="66"/>
        <v>11491</v>
      </c>
      <c r="BY71" s="27">
        <f t="shared" si="66"/>
        <v>11346</v>
      </c>
      <c r="BZ71" s="27">
        <f t="shared" si="66"/>
        <v>11120</v>
      </c>
      <c r="CA71" s="27">
        <f t="shared" si="66"/>
        <v>10551</v>
      </c>
      <c r="CB71" s="27">
        <f t="shared" si="66"/>
        <v>9821</v>
      </c>
      <c r="CC71" s="27">
        <f t="shared" si="66"/>
        <v>11039</v>
      </c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>
        <f>SUM(DY6:DY70)</f>
        <v>13855</v>
      </c>
      <c r="DZ71" s="27">
        <f>SUM(DZ6:DZ70)</f>
        <v>14399</v>
      </c>
      <c r="EA71" s="27">
        <f>SUM(EA6:EA70)</f>
        <v>15079</v>
      </c>
      <c r="EB71" s="27">
        <f>SUM(EB6:EB70)</f>
        <v>14594</v>
      </c>
      <c r="EC71" s="27">
        <f>SUM(EC6:EC70)</f>
        <v>17051</v>
      </c>
      <c r="ED71" s="27"/>
      <c r="EE71" s="27"/>
      <c r="EF71" s="27"/>
      <c r="EG71" s="27"/>
      <c r="EH71" s="27"/>
      <c r="EI71" s="27"/>
      <c r="EJ71" s="27"/>
      <c r="EL71" s="27"/>
      <c r="EM71" s="27">
        <v>26066</v>
      </c>
      <c r="EN71" s="27">
        <v>27190</v>
      </c>
      <c r="EO71" s="27">
        <v>29522</v>
      </c>
      <c r="EP71" s="27">
        <f>I71+J71</f>
        <v>35511</v>
      </c>
      <c r="EQ71" s="27">
        <f>L71+K71</f>
        <v>42041</v>
      </c>
      <c r="ER71" s="27">
        <f>N71+M71</f>
        <v>46133</v>
      </c>
      <c r="ES71" s="27">
        <f>SUM(ES22:ES70,ES6)</f>
        <v>46463</v>
      </c>
      <c r="ET71" s="27">
        <f>SUM(ET22:ET70,ET6)</f>
        <v>49595</v>
      </c>
      <c r="EU71" s="27">
        <f>SUM(EU22:EU70)+EU6</f>
        <v>47326</v>
      </c>
      <c r="EV71" s="27">
        <f>EV3+EV6</f>
        <v>42531</v>
      </c>
      <c r="EW71" s="27">
        <f>SUM(EW22:EW70)+EW6</f>
        <v>17131</v>
      </c>
      <c r="EX71" s="27">
        <v>46780</v>
      </c>
      <c r="EY71" s="27">
        <v>47462</v>
      </c>
      <c r="EZ71" s="27">
        <v>47581</v>
      </c>
      <c r="FA71" s="27">
        <v>48149</v>
      </c>
      <c r="FB71" s="27">
        <v>45104</v>
      </c>
      <c r="FC71" s="27">
        <v>46273</v>
      </c>
      <c r="FD71" s="27">
        <v>51837</v>
      </c>
      <c r="FE71" s="27">
        <f>SUM(FE9:FE70)+FE6</f>
        <v>58323</v>
      </c>
      <c r="FF71" s="27">
        <f>SUM(FF9:FF70)+FF6</f>
        <v>62801</v>
      </c>
      <c r="FG71" s="27">
        <f>SUM(FG9:FG70)+FG6</f>
        <v>60279</v>
      </c>
      <c r="FH71" s="27">
        <f>SUM(FH9:FH70)+FH6</f>
        <v>59912</v>
      </c>
      <c r="FI71" s="27">
        <f>SUM(FI9:FI70)+FI6</f>
        <v>61653</v>
      </c>
    </row>
    <row r="72" spans="2:167" x14ac:dyDescent="0.2">
      <c r="B72" s="15" t="s">
        <v>64</v>
      </c>
      <c r="C72" s="70"/>
      <c r="D72" s="70"/>
      <c r="E72" s="25">
        <v>790</v>
      </c>
      <c r="F72" s="25">
        <v>860</v>
      </c>
      <c r="G72" s="70">
        <v>710</v>
      </c>
      <c r="H72" s="25"/>
      <c r="I72" s="25">
        <v>710</v>
      </c>
      <c r="J72" s="25">
        <f>1447-I72</f>
        <v>737</v>
      </c>
      <c r="K72" s="25">
        <v>727</v>
      </c>
      <c r="L72" s="25">
        <f>1466-K72</f>
        <v>739</v>
      </c>
      <c r="M72" s="25">
        <f>1191-492-74-22-2</f>
        <v>601</v>
      </c>
      <c r="N72" s="25">
        <f>2243-M72-259-722-55-5</f>
        <v>601</v>
      </c>
      <c r="O72" s="25">
        <v>1136</v>
      </c>
      <c r="P72" s="25">
        <f>+O72+15</f>
        <v>1151</v>
      </c>
      <c r="Q72" s="25">
        <v>1116</v>
      </c>
      <c r="R72" s="25">
        <f>2100-Q72</f>
        <v>984</v>
      </c>
      <c r="S72" s="25">
        <v>878</v>
      </c>
      <c r="T72" s="25">
        <f>1694-S72</f>
        <v>816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L72" s="25"/>
      <c r="EM72" s="25"/>
      <c r="EN72" s="25"/>
      <c r="EO72" s="25">
        <v>1570</v>
      </c>
      <c r="EP72" s="25">
        <f>I72+J72</f>
        <v>1447</v>
      </c>
      <c r="EQ72" s="25">
        <f>L72+K72</f>
        <v>1466</v>
      </c>
      <c r="ER72" s="25">
        <f>N72+M72</f>
        <v>1202</v>
      </c>
      <c r="ES72" s="25">
        <f>SUM(O72:P72)</f>
        <v>2287</v>
      </c>
      <c r="ET72" s="25">
        <f>SUM(Q72:R72)</f>
        <v>2100</v>
      </c>
      <c r="EU72" s="25">
        <f>T72+S72</f>
        <v>1694</v>
      </c>
      <c r="EV72" s="25">
        <v>1582</v>
      </c>
      <c r="EW72" s="25">
        <f t="shared" ref="EW72:FD72" si="67">EV72</f>
        <v>1582</v>
      </c>
      <c r="EX72" s="25">
        <f t="shared" si="67"/>
        <v>1582</v>
      </c>
      <c r="EY72" s="25">
        <f t="shared" si="67"/>
        <v>1582</v>
      </c>
      <c r="EZ72" s="25">
        <f t="shared" si="67"/>
        <v>1582</v>
      </c>
      <c r="FA72" s="25">
        <f t="shared" si="67"/>
        <v>1582</v>
      </c>
      <c r="FB72" s="25">
        <f t="shared" si="67"/>
        <v>1582</v>
      </c>
      <c r="FC72" s="25">
        <f t="shared" si="67"/>
        <v>1582</v>
      </c>
      <c r="FD72" s="25">
        <f t="shared" si="67"/>
        <v>1582</v>
      </c>
      <c r="FE72" s="25">
        <v>2020</v>
      </c>
      <c r="FF72" s="23">
        <v>3049</v>
      </c>
      <c r="FH72" s="23">
        <v>1725</v>
      </c>
    </row>
    <row r="73" spans="2:167" s="17" customFormat="1" x14ac:dyDescent="0.2">
      <c r="B73" s="15" t="s">
        <v>13</v>
      </c>
      <c r="C73" s="25">
        <v>2895</v>
      </c>
      <c r="D73" s="25">
        <v>3202</v>
      </c>
      <c r="E73" s="25">
        <v>3193</v>
      </c>
      <c r="F73" s="25">
        <v>3363</v>
      </c>
      <c r="G73" s="25">
        <v>3760</v>
      </c>
      <c r="H73" s="25">
        <v>3958</v>
      </c>
      <c r="I73" s="25">
        <v>4348</v>
      </c>
      <c r="J73" s="25">
        <f>9304-I73</f>
        <v>4956</v>
      </c>
      <c r="K73" s="25">
        <v>4934</v>
      </c>
      <c r="L73" s="25">
        <f>10616-K73</f>
        <v>5682</v>
      </c>
      <c r="M73" s="25">
        <v>5629</v>
      </c>
      <c r="N73" s="71">
        <f>13743-M73</f>
        <v>8114</v>
      </c>
      <c r="O73" s="25">
        <v>6532</v>
      </c>
      <c r="P73" s="25">
        <f>O73+597</f>
        <v>7129</v>
      </c>
      <c r="Q73" s="25">
        <v>7100</v>
      </c>
      <c r="R73" s="25">
        <f>14615-Q73</f>
        <v>7515</v>
      </c>
      <c r="S73" s="25">
        <v>6870</v>
      </c>
      <c r="T73" s="25">
        <f>13293-S73</f>
        <v>6423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4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5"/>
      <c r="EL73" s="25"/>
      <c r="EM73" s="25">
        <v>5984</v>
      </c>
      <c r="EN73" s="25">
        <v>6097</v>
      </c>
      <c r="EO73" s="25">
        <v>7718</v>
      </c>
      <c r="EP73" s="25">
        <f>I73+J73</f>
        <v>9304</v>
      </c>
      <c r="EQ73" s="25">
        <f>L73+K73</f>
        <v>10616</v>
      </c>
      <c r="ER73" s="25">
        <f>N73+M73</f>
        <v>13743</v>
      </c>
      <c r="ES73" s="25">
        <f>SUM(O73:P73)</f>
        <v>13661</v>
      </c>
      <c r="ET73" s="25">
        <f>SUM(Q73:R73)</f>
        <v>14615</v>
      </c>
      <c r="EU73" s="25">
        <f>T73+S73</f>
        <v>13293</v>
      </c>
      <c r="EV73" s="25">
        <v>11942</v>
      </c>
      <c r="EW73" s="25">
        <f t="shared" ref="EW73:FD73" si="68">EW71-EW74+EW72</f>
        <v>18713</v>
      </c>
      <c r="EX73" s="25">
        <f t="shared" si="68"/>
        <v>48362</v>
      </c>
      <c r="EY73" s="25">
        <f t="shared" si="68"/>
        <v>49044</v>
      </c>
      <c r="EZ73" s="25">
        <f t="shared" si="68"/>
        <v>49163</v>
      </c>
      <c r="FA73" s="25">
        <f t="shared" si="68"/>
        <v>49731</v>
      </c>
      <c r="FB73" s="25">
        <f t="shared" si="68"/>
        <v>46686</v>
      </c>
      <c r="FC73" s="25">
        <f t="shared" si="68"/>
        <v>47855</v>
      </c>
      <c r="FD73" s="25">
        <f t="shared" si="68"/>
        <v>53419</v>
      </c>
      <c r="FE73" s="25">
        <v>14567</v>
      </c>
      <c r="FF73" s="25">
        <v>18138</v>
      </c>
      <c r="FH73" s="25">
        <v>15251</v>
      </c>
      <c r="FI73" s="48"/>
    </row>
    <row r="74" spans="2:167" s="17" customFormat="1" x14ac:dyDescent="0.2">
      <c r="B74" s="15" t="s">
        <v>0</v>
      </c>
      <c r="C74" s="25">
        <v>9915</v>
      </c>
      <c r="D74" s="25">
        <v>11178</v>
      </c>
      <c r="E74" s="25">
        <v>11333</v>
      </c>
      <c r="F74" s="25">
        <v>11633</v>
      </c>
      <c r="G74" s="25">
        <v>10766</v>
      </c>
      <c r="H74" s="25">
        <v>11038</v>
      </c>
      <c r="I74" s="25">
        <f t="shared" ref="I74:N74" si="69">I71-I73+I72</f>
        <v>12984</v>
      </c>
      <c r="J74" s="25">
        <f t="shared" si="69"/>
        <v>14670</v>
      </c>
      <c r="K74" s="25">
        <f t="shared" si="69"/>
        <v>15642</v>
      </c>
      <c r="L74" s="25">
        <f t="shared" si="69"/>
        <v>17249</v>
      </c>
      <c r="M74" s="25">
        <f>M71-M73+M72</f>
        <v>17799</v>
      </c>
      <c r="N74" s="25">
        <f t="shared" si="69"/>
        <v>15793</v>
      </c>
      <c r="O74" s="25">
        <f t="shared" ref="O74:T74" si="70">O71-O73+O72</f>
        <v>16608</v>
      </c>
      <c r="P74" s="25">
        <f t="shared" si="70"/>
        <v>17635</v>
      </c>
      <c r="Q74" s="25">
        <f t="shared" si="70"/>
        <v>18022</v>
      </c>
      <c r="R74" s="25">
        <f t="shared" si="70"/>
        <v>18685</v>
      </c>
      <c r="S74" s="25">
        <f t="shared" si="70"/>
        <v>18644</v>
      </c>
      <c r="T74" s="25">
        <f t="shared" si="70"/>
        <v>17160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5"/>
      <c r="EL74" s="25"/>
      <c r="EM74" s="25">
        <v>20082</v>
      </c>
      <c r="EN74" s="25">
        <v>21093</v>
      </c>
      <c r="EO74" s="25">
        <v>21804</v>
      </c>
      <c r="EP74" s="25">
        <f t="shared" ref="EP74:EQ74" si="71">EP71+EP72-EP73</f>
        <v>27654</v>
      </c>
      <c r="EQ74" s="25">
        <f t="shared" si="71"/>
        <v>32891</v>
      </c>
      <c r="ER74" s="25">
        <f>ER71+ER72-ER73</f>
        <v>33592</v>
      </c>
      <c r="ES74" s="25">
        <f>ES71+ES72-ES73</f>
        <v>35089</v>
      </c>
      <c r="ET74" s="25">
        <f>SUM(Q74:R74)</f>
        <v>36707</v>
      </c>
      <c r="EU74" s="25">
        <f>EU71+EU72-EU73</f>
        <v>35727</v>
      </c>
      <c r="EV74" s="25">
        <f>EV71+EV72-EV73</f>
        <v>32171</v>
      </c>
      <c r="EW74" s="25">
        <f t="shared" ref="EW74:FD74" si="72">EW71*EW93</f>
        <v>0</v>
      </c>
      <c r="EX74" s="25">
        <f t="shared" si="72"/>
        <v>0</v>
      </c>
      <c r="EY74" s="25">
        <f t="shared" si="72"/>
        <v>0</v>
      </c>
      <c r="EZ74" s="25">
        <f t="shared" si="72"/>
        <v>0</v>
      </c>
      <c r="FA74" s="25">
        <f t="shared" si="72"/>
        <v>0</v>
      </c>
      <c r="FB74" s="25">
        <f t="shared" si="72"/>
        <v>0</v>
      </c>
      <c r="FC74" s="25">
        <f t="shared" si="72"/>
        <v>0</v>
      </c>
      <c r="FD74" s="25">
        <f t="shared" si="72"/>
        <v>0</v>
      </c>
      <c r="FE74" s="25">
        <f>FE71+FE72-FE73</f>
        <v>45776</v>
      </c>
      <c r="FF74" s="25">
        <f>FF71+FF72-FF73</f>
        <v>47712</v>
      </c>
      <c r="FH74" s="25">
        <f>FH71+FH72-FH73</f>
        <v>46386</v>
      </c>
      <c r="FI74" s="48"/>
    </row>
    <row r="75" spans="2:167" x14ac:dyDescent="0.2">
      <c r="B75" s="15" t="s">
        <v>186</v>
      </c>
      <c r="C75" s="25">
        <v>3658</v>
      </c>
      <c r="D75" s="25">
        <v>4159</v>
      </c>
      <c r="E75" s="25">
        <v>3983</v>
      </c>
      <c r="F75" s="25">
        <v>4292</v>
      </c>
      <c r="G75" s="25">
        <v>4000</v>
      </c>
      <c r="H75" s="25">
        <v>4338</v>
      </c>
      <c r="I75" s="25">
        <v>4409</v>
      </c>
      <c r="J75" s="25">
        <f>9625-I75</f>
        <v>5216</v>
      </c>
      <c r="K75" s="25">
        <v>5208</v>
      </c>
      <c r="L75" s="25">
        <f>10856-K75</f>
        <v>5648</v>
      </c>
      <c r="M75" s="25">
        <v>5552</v>
      </c>
      <c r="N75" s="71">
        <f>9327-M75</f>
        <v>3775</v>
      </c>
      <c r="O75" s="25">
        <v>4371</v>
      </c>
      <c r="P75" s="25">
        <f>O75+428</f>
        <v>4799</v>
      </c>
      <c r="Q75" s="25">
        <v>4567</v>
      </c>
      <c r="R75" s="25">
        <f>9475-Q75</f>
        <v>4908</v>
      </c>
      <c r="S75" s="25">
        <v>4546</v>
      </c>
      <c r="T75" s="25">
        <f>9488-S75</f>
        <v>4942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L75" s="25"/>
      <c r="EM75" s="25">
        <v>7859</v>
      </c>
      <c r="EN75" s="25">
        <v>7817</v>
      </c>
      <c r="EO75" s="25">
        <v>8338</v>
      </c>
      <c r="EP75" s="25">
        <v>9507</v>
      </c>
      <c r="EQ75" s="25">
        <f>SUM(K75:L75)</f>
        <v>10856</v>
      </c>
      <c r="ER75" s="25">
        <f>N75+M75</f>
        <v>9327</v>
      </c>
      <c r="ES75" s="25">
        <f>SUM(O75:P75)</f>
        <v>9170</v>
      </c>
      <c r="ET75" s="25">
        <f t="shared" ref="ET75" si="73">SUM(Q75:R75)</f>
        <v>9475</v>
      </c>
      <c r="EU75" s="25">
        <f>T75+S75</f>
        <v>9488</v>
      </c>
      <c r="EV75" s="25">
        <v>8049</v>
      </c>
      <c r="EW75" s="25">
        <f t="shared" ref="EW75:FD75" si="74">EV75*0.99</f>
        <v>7968.51</v>
      </c>
      <c r="EX75" s="25">
        <f t="shared" si="74"/>
        <v>7888.8249000000005</v>
      </c>
      <c r="EY75" s="25">
        <f t="shared" si="74"/>
        <v>7809.9366510000009</v>
      </c>
      <c r="EZ75" s="25">
        <f t="shared" si="74"/>
        <v>7731.8372844900005</v>
      </c>
      <c r="FA75" s="25">
        <f t="shared" si="74"/>
        <v>7654.5189116451002</v>
      </c>
      <c r="FB75" s="25">
        <f t="shared" si="74"/>
        <v>7577.973722528649</v>
      </c>
      <c r="FC75" s="25">
        <f t="shared" si="74"/>
        <v>7502.1939853033628</v>
      </c>
      <c r="FD75" s="25">
        <f t="shared" si="74"/>
        <v>7427.1720454503293</v>
      </c>
      <c r="FE75" s="25">
        <v>9361</v>
      </c>
      <c r="FF75" s="25">
        <v>9444</v>
      </c>
      <c r="FH75" s="25"/>
    </row>
    <row r="76" spans="2:167" s="17" customFormat="1" x14ac:dyDescent="0.2">
      <c r="B76" s="15" t="s">
        <v>185</v>
      </c>
      <c r="C76" s="25">
        <v>633</v>
      </c>
      <c r="D76" s="25">
        <v>727</v>
      </c>
      <c r="E76" s="25">
        <v>677</v>
      </c>
      <c r="F76" s="25">
        <v>721</v>
      </c>
      <c r="G76" s="25">
        <v>1059</v>
      </c>
      <c r="H76" s="25">
        <v>1026</v>
      </c>
      <c r="I76" s="25">
        <v>1145</v>
      </c>
      <c r="J76" s="25">
        <f>2288-I76</f>
        <v>1143</v>
      </c>
      <c r="K76" s="25">
        <v>1072</v>
      </c>
      <c r="L76" s="25">
        <f>2542-K76</f>
        <v>1470</v>
      </c>
      <c r="M76" s="25">
        <v>1237</v>
      </c>
      <c r="N76" s="25">
        <f>2453-M76</f>
        <v>1216</v>
      </c>
      <c r="O76" s="25">
        <v>1089</v>
      </c>
      <c r="P76" s="25">
        <f>O76+154</f>
        <v>1243</v>
      </c>
      <c r="Q76" s="25">
        <v>967</v>
      </c>
      <c r="R76" s="25">
        <f>2175-Q76</f>
        <v>1208</v>
      </c>
      <c r="S76" s="25">
        <v>871</v>
      </c>
      <c r="T76" s="25">
        <f>2874-S76</f>
        <v>2003</v>
      </c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5"/>
      <c r="EL76" s="25"/>
      <c r="EM76" s="25">
        <v>1193</v>
      </c>
      <c r="EN76" s="25">
        <v>1360</v>
      </c>
      <c r="EO76" s="25">
        <v>2085</v>
      </c>
      <c r="EP76" s="25">
        <v>2309</v>
      </c>
      <c r="EQ76" s="25">
        <f>SUM(K76:L76)</f>
        <v>2542</v>
      </c>
      <c r="ER76" s="25">
        <f>N76+M76</f>
        <v>2453</v>
      </c>
      <c r="ES76" s="25">
        <f>SUM(O76:P76)</f>
        <v>2332</v>
      </c>
      <c r="ET76" s="25">
        <f t="shared" ref="ET76" si="75">SUM(Q76:R76)</f>
        <v>2175</v>
      </c>
      <c r="EU76" s="25">
        <f>T76+S76</f>
        <v>2874</v>
      </c>
      <c r="EV76" s="25">
        <v>2342</v>
      </c>
      <c r="EW76" s="25">
        <f t="shared" ref="EW76:FD76" si="76">EV76*0.99</f>
        <v>2318.58</v>
      </c>
      <c r="EX76" s="25">
        <f t="shared" si="76"/>
        <v>2295.3941999999997</v>
      </c>
      <c r="EY76" s="25">
        <f t="shared" si="76"/>
        <v>2272.4402579999996</v>
      </c>
      <c r="EZ76" s="25">
        <f t="shared" si="76"/>
        <v>2249.7158554199996</v>
      </c>
      <c r="FA76" s="25">
        <f t="shared" si="76"/>
        <v>2227.2186968657998</v>
      </c>
      <c r="FB76" s="25">
        <f t="shared" si="76"/>
        <v>2204.9465098971418</v>
      </c>
      <c r="FC76" s="25">
        <f t="shared" si="76"/>
        <v>2182.8970447981706</v>
      </c>
      <c r="FD76" s="25">
        <f t="shared" si="76"/>
        <v>2161.0680743501889</v>
      </c>
      <c r="FE76" s="25">
        <v>2726</v>
      </c>
      <c r="FF76" s="25">
        <v>2663</v>
      </c>
      <c r="FH76" s="25">
        <v>13518</v>
      </c>
      <c r="FI76" s="48"/>
    </row>
    <row r="77" spans="2:167" x14ac:dyDescent="0.2">
      <c r="B77" s="15" t="s">
        <v>1</v>
      </c>
      <c r="C77" s="25">
        <v>2173</v>
      </c>
      <c r="D77" s="25">
        <v>2451</v>
      </c>
      <c r="E77" s="25">
        <v>2333</v>
      </c>
      <c r="F77" s="25">
        <v>2720</v>
      </c>
      <c r="G77" s="25">
        <v>2361</v>
      </c>
      <c r="H77" s="25">
        <v>2793</v>
      </c>
      <c r="I77" s="25">
        <v>2559</v>
      </c>
      <c r="J77" s="25">
        <f>5705-I77</f>
        <v>3146</v>
      </c>
      <c r="K77" s="72">
        <v>3063</v>
      </c>
      <c r="L77" s="72">
        <f>6589-K77</f>
        <v>3526</v>
      </c>
      <c r="M77" s="25">
        <v>3635</v>
      </c>
      <c r="N77" s="25">
        <f>8385-M77</f>
        <v>4750</v>
      </c>
      <c r="O77" s="25">
        <v>4107</v>
      </c>
      <c r="P77" s="25">
        <f>8845-O77</f>
        <v>4738</v>
      </c>
      <c r="Q77" s="25">
        <v>4518</v>
      </c>
      <c r="R77" s="25">
        <f>9874-Q77</f>
        <v>5356</v>
      </c>
      <c r="S77" s="25">
        <v>4471</v>
      </c>
      <c r="T77" s="25">
        <f>10026-S77</f>
        <v>5555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EL77" s="25"/>
      <c r="EM77" s="25">
        <v>4132</v>
      </c>
      <c r="EN77" s="25">
        <v>4624</v>
      </c>
      <c r="EO77" s="25">
        <v>5154</v>
      </c>
      <c r="EP77" s="25">
        <f>I77+J77</f>
        <v>5705</v>
      </c>
      <c r="EQ77" s="25">
        <f>L77+K77</f>
        <v>6589</v>
      </c>
      <c r="ER77" s="25">
        <f>N77+M77</f>
        <v>8385</v>
      </c>
      <c r="ES77" s="25">
        <f>SUM(O77:P77)</f>
        <v>8845</v>
      </c>
      <c r="ET77" s="25">
        <f t="shared" ref="ET77" si="77">SUM(Q77:R77)</f>
        <v>9874</v>
      </c>
      <c r="EU77" s="25">
        <f>T77+S77</f>
        <v>10026</v>
      </c>
      <c r="EV77" s="25">
        <v>8326</v>
      </c>
      <c r="EW77" s="25"/>
      <c r="EX77" s="25"/>
      <c r="EY77" s="25"/>
      <c r="EZ77" s="25"/>
      <c r="FA77" s="25"/>
      <c r="FB77" s="25"/>
      <c r="FC77" s="25"/>
      <c r="FD77" s="25"/>
      <c r="FE77" s="25">
        <v>12153</v>
      </c>
      <c r="FF77" s="23">
        <v>13708</v>
      </c>
      <c r="FH77" s="23">
        <v>15251</v>
      </c>
    </row>
    <row r="78" spans="2:167" x14ac:dyDescent="0.2">
      <c r="B78" s="15" t="s">
        <v>183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>
        <f>736+472+2</f>
        <v>1210</v>
      </c>
      <c r="N78" s="25">
        <f>1560+976+6+58-M78</f>
        <v>1390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EL78" s="25"/>
      <c r="EM78" s="25"/>
      <c r="EN78" s="25"/>
      <c r="EO78" s="25"/>
      <c r="EP78" s="25"/>
      <c r="EQ78" s="25">
        <f>M78+L78</f>
        <v>1210</v>
      </c>
      <c r="ER78" s="25">
        <f>N78+M78</f>
        <v>2600</v>
      </c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</row>
    <row r="79" spans="2:167" x14ac:dyDescent="0.2">
      <c r="B79" s="3" t="s">
        <v>580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>
        <f t="shared" ref="M79:Q79" si="78">SUM(M75:M77)-M78</f>
        <v>9214</v>
      </c>
      <c r="N79" s="25">
        <f t="shared" si="78"/>
        <v>8351</v>
      </c>
      <c r="O79" s="25">
        <f t="shared" si="78"/>
        <v>9567</v>
      </c>
      <c r="P79" s="25">
        <f t="shared" si="78"/>
        <v>10780</v>
      </c>
      <c r="Q79" s="25">
        <f t="shared" si="78"/>
        <v>10052</v>
      </c>
      <c r="R79" s="25">
        <f>SUM(R75:R77)-R78</f>
        <v>11472</v>
      </c>
      <c r="S79" s="25">
        <f>SUM(S75:S77)-S78</f>
        <v>9888</v>
      </c>
      <c r="T79" s="25">
        <f>SUM(T75:T77)-T78</f>
        <v>12500</v>
      </c>
      <c r="U79" s="25"/>
      <c r="V79" s="25"/>
      <c r="W79" s="25"/>
      <c r="X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EL79" s="25"/>
      <c r="EM79" s="25"/>
      <c r="EN79" s="25"/>
      <c r="EO79" s="25"/>
      <c r="EP79" s="25"/>
      <c r="EQ79" s="25">
        <f t="shared" ref="EQ79:EV79" si="79">SUM(EQ75:EQ77)-EQ78</f>
        <v>18777</v>
      </c>
      <c r="ER79" s="25">
        <f t="shared" si="79"/>
        <v>17565</v>
      </c>
      <c r="ES79" s="25">
        <f t="shared" si="79"/>
        <v>20347</v>
      </c>
      <c r="ET79" s="25">
        <f t="shared" si="79"/>
        <v>21524</v>
      </c>
      <c r="EU79" s="25">
        <f t="shared" si="79"/>
        <v>22388</v>
      </c>
      <c r="EV79" s="25">
        <f t="shared" si="79"/>
        <v>18717</v>
      </c>
      <c r="EW79" s="25">
        <f t="shared" ref="EW79:FD79" si="80">SUM(EW75:EW77)-EW78</f>
        <v>10287.09</v>
      </c>
      <c r="EX79" s="25">
        <f t="shared" si="80"/>
        <v>10184.2191</v>
      </c>
      <c r="EY79" s="25">
        <f t="shared" si="80"/>
        <v>10082.376909000001</v>
      </c>
      <c r="EZ79" s="25">
        <f t="shared" si="80"/>
        <v>9981.55313991</v>
      </c>
      <c r="FA79" s="25">
        <f t="shared" si="80"/>
        <v>9881.737608510899</v>
      </c>
      <c r="FB79" s="25">
        <f t="shared" si="80"/>
        <v>9782.9202324257913</v>
      </c>
      <c r="FC79" s="25">
        <f t="shared" si="80"/>
        <v>9685.0910301015338</v>
      </c>
      <c r="FD79" s="25">
        <f t="shared" si="80"/>
        <v>9588.2401198005173</v>
      </c>
      <c r="FE79" s="23">
        <f>SUM(FE75:FE77)</f>
        <v>24240</v>
      </c>
      <c r="FF79" s="23">
        <f>SUM(FF75:FF77)</f>
        <v>25815</v>
      </c>
      <c r="FH79" s="23">
        <f>SUM(FH75:FH77)</f>
        <v>28769</v>
      </c>
    </row>
    <row r="80" spans="2:167" s="17" customFormat="1" x14ac:dyDescent="0.2">
      <c r="B80" s="17" t="s">
        <v>149</v>
      </c>
      <c r="C80" s="27">
        <v>2833</v>
      </c>
      <c r="D80" s="27">
        <v>2960</v>
      </c>
      <c r="E80" s="27">
        <v>3701</v>
      </c>
      <c r="F80" s="27">
        <v>3249</v>
      </c>
      <c r="G80" s="27">
        <v>3527</v>
      </c>
      <c r="H80" s="27">
        <v>3239</v>
      </c>
      <c r="I80" s="27">
        <f>I74-I75-I76-I77</f>
        <v>4871</v>
      </c>
      <c r="J80" s="27">
        <f>J74-J75-J76-J77</f>
        <v>5165</v>
      </c>
      <c r="K80" s="27">
        <f>K74-K75-K76-K77</f>
        <v>6299</v>
      </c>
      <c r="L80" s="27">
        <f>L74-L75-L76-L77</f>
        <v>6605</v>
      </c>
      <c r="M80" s="27">
        <f t="shared" ref="M80:Q80" si="81">M74-M79</f>
        <v>8585</v>
      </c>
      <c r="N80" s="27">
        <f t="shared" si="81"/>
        <v>7442</v>
      </c>
      <c r="O80" s="27">
        <f t="shared" si="81"/>
        <v>7041</v>
      </c>
      <c r="P80" s="27">
        <f t="shared" si="81"/>
        <v>6855</v>
      </c>
      <c r="Q80" s="27">
        <f t="shared" si="81"/>
        <v>7970</v>
      </c>
      <c r="R80" s="27">
        <f>R74-R79</f>
        <v>7213</v>
      </c>
      <c r="S80" s="27">
        <f>S74-S79</f>
        <v>8756</v>
      </c>
      <c r="T80" s="27">
        <f>T74-T79</f>
        <v>4660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5"/>
      <c r="EL80" s="27"/>
      <c r="EM80" s="27">
        <v>5223</v>
      </c>
      <c r="EN80" s="27">
        <v>5793</v>
      </c>
      <c r="EO80" s="27">
        <v>6766</v>
      </c>
      <c r="EP80" s="27">
        <f>EP74-EP75-EP76-EP77</f>
        <v>10133</v>
      </c>
      <c r="EQ80" s="27">
        <f t="shared" ref="EQ80:EV80" si="82">EQ74-EQ79</f>
        <v>14114</v>
      </c>
      <c r="ER80" s="27">
        <f t="shared" si="82"/>
        <v>16027</v>
      </c>
      <c r="ES80" s="27">
        <f t="shared" si="82"/>
        <v>14742</v>
      </c>
      <c r="ET80" s="27">
        <f t="shared" si="82"/>
        <v>15183</v>
      </c>
      <c r="EU80" s="27">
        <f t="shared" si="82"/>
        <v>13339</v>
      </c>
      <c r="EV80" s="27">
        <f t="shared" si="82"/>
        <v>13454</v>
      </c>
      <c r="EW80" s="27">
        <f t="shared" ref="EW80:FE80" si="83">EW74-EW79</f>
        <v>-10287.09</v>
      </c>
      <c r="EX80" s="27">
        <f t="shared" si="83"/>
        <v>-10184.2191</v>
      </c>
      <c r="EY80" s="27">
        <f t="shared" si="83"/>
        <v>-10082.376909000001</v>
      </c>
      <c r="EZ80" s="27">
        <f t="shared" si="83"/>
        <v>-9981.55313991</v>
      </c>
      <c r="FA80" s="27">
        <f t="shared" si="83"/>
        <v>-9881.737608510899</v>
      </c>
      <c r="FB80" s="27">
        <f t="shared" si="83"/>
        <v>-9782.9202324257913</v>
      </c>
      <c r="FC80" s="27">
        <f t="shared" si="83"/>
        <v>-9685.0910301015338</v>
      </c>
      <c r="FD80" s="27">
        <f t="shared" si="83"/>
        <v>-9588.2401198005173</v>
      </c>
      <c r="FE80" s="27">
        <f t="shared" si="83"/>
        <v>21536</v>
      </c>
      <c r="FF80" s="24">
        <f>FF74-FF79</f>
        <v>21897</v>
      </c>
      <c r="FH80" s="24">
        <f>FH74-FH79</f>
        <v>17617</v>
      </c>
      <c r="FI80" s="48"/>
    </row>
    <row r="81" spans="2:238" x14ac:dyDescent="0.2">
      <c r="B81" s="15" t="s">
        <v>2</v>
      </c>
      <c r="C81" s="23">
        <v>-75</v>
      </c>
      <c r="D81" s="23">
        <v>122</v>
      </c>
      <c r="E81" s="23">
        <v>131</v>
      </c>
      <c r="F81" s="23">
        <v>106</v>
      </c>
      <c r="G81" s="67">
        <v>213</v>
      </c>
      <c r="H81" s="67">
        <v>156</v>
      </c>
      <c r="I81" s="67">
        <v>241</v>
      </c>
      <c r="J81" s="67">
        <f>678-I81</f>
        <v>437</v>
      </c>
      <c r="K81" s="67">
        <v>902</v>
      </c>
      <c r="L81" s="67">
        <f>1829-K81</f>
        <v>927</v>
      </c>
      <c r="M81" s="67">
        <v>979</v>
      </c>
      <c r="N81" s="67">
        <f>1805-M81</f>
        <v>826</v>
      </c>
      <c r="O81" s="67">
        <v>684</v>
      </c>
      <c r="P81" s="67">
        <f>O81</f>
        <v>684</v>
      </c>
      <c r="Q81" s="67">
        <v>484</v>
      </c>
      <c r="R81" s="67">
        <f>792-Q81</f>
        <v>308</v>
      </c>
      <c r="S81" s="67">
        <v>302</v>
      </c>
      <c r="T81" s="67">
        <f>-3+557-S81</f>
        <v>252</v>
      </c>
      <c r="EL81" s="25"/>
      <c r="EM81" s="25">
        <v>2000</v>
      </c>
      <c r="EN81" s="25">
        <v>47</v>
      </c>
      <c r="EO81" s="25">
        <v>369</v>
      </c>
      <c r="EP81" s="25">
        <v>1313</v>
      </c>
      <c r="EQ81" s="25">
        <f>SUM(K81:L81)</f>
        <v>1829</v>
      </c>
      <c r="ER81" s="25">
        <f>N81+M81</f>
        <v>1805</v>
      </c>
      <c r="ES81" s="25">
        <v>1123</v>
      </c>
      <c r="ET81" s="25">
        <f t="shared" ref="ET81:ET82" si="84">SUM(Q81:R81)</f>
        <v>792</v>
      </c>
      <c r="EU81" s="25">
        <f>T81+S81</f>
        <v>554</v>
      </c>
      <c r="EV81" s="25">
        <f>-2228+647+12</f>
        <v>-1569</v>
      </c>
      <c r="EW81" s="25">
        <f t="shared" ref="EW81:FD81" si="85">EW91*$FT$93</f>
        <v>-66.900000000000006</v>
      </c>
      <c r="EX81" s="25">
        <f t="shared" si="85"/>
        <v>-460.35162000000003</v>
      </c>
      <c r="EY81" s="25">
        <f t="shared" si="85"/>
        <v>-864.84530735999999</v>
      </c>
      <c r="EZ81" s="25">
        <f t="shared" si="85"/>
        <v>-1280.83975158168</v>
      </c>
      <c r="FA81" s="25">
        <f t="shared" si="85"/>
        <v>-1708.8106814583641</v>
      </c>
      <c r="FB81" s="25">
        <f t="shared" si="85"/>
        <v>-2149.2515164771962</v>
      </c>
      <c r="FC81" s="25">
        <f t="shared" si="85"/>
        <v>-2602.67404293551</v>
      </c>
      <c r="FD81" s="25">
        <f t="shared" si="85"/>
        <v>-3069.6091157109176</v>
      </c>
      <c r="FE81" s="25">
        <f>-539-25</f>
        <v>-564</v>
      </c>
      <c r="FF81" s="44">
        <f>-412-339</f>
        <v>-751</v>
      </c>
      <c r="FH81" s="44">
        <f>805-980-320</f>
        <v>-495</v>
      </c>
    </row>
    <row r="82" spans="2:238" s="17" customFormat="1" x14ac:dyDescent="0.2">
      <c r="B82" s="15" t="s">
        <v>3</v>
      </c>
      <c r="C82" s="25">
        <v>-276</v>
      </c>
      <c r="D82" s="25">
        <v>-401</v>
      </c>
      <c r="E82" s="25">
        <v>-370</v>
      </c>
      <c r="F82" s="25">
        <v>-206</v>
      </c>
      <c r="G82" s="25">
        <v>-383</v>
      </c>
      <c r="H82" s="25">
        <v>-244</v>
      </c>
      <c r="I82" s="25">
        <v>-187</v>
      </c>
      <c r="J82" s="25">
        <f>-382-I82</f>
        <v>-195</v>
      </c>
      <c r="K82" s="25">
        <v>478</v>
      </c>
      <c r="L82" s="25">
        <f>974-K82</f>
        <v>496</v>
      </c>
      <c r="M82" s="25">
        <v>479</v>
      </c>
      <c r="N82" s="25">
        <f>971-M82</f>
        <v>492</v>
      </c>
      <c r="O82" s="67">
        <v>447</v>
      </c>
      <c r="P82" s="67">
        <f>O82</f>
        <v>447</v>
      </c>
      <c r="Q82" s="67">
        <v>1035</v>
      </c>
      <c r="R82" s="67">
        <f>2460-Q82</f>
        <v>1425</v>
      </c>
      <c r="S82" s="67">
        <v>1508</v>
      </c>
      <c r="T82" s="67">
        <f>2829-S82</f>
        <v>1321</v>
      </c>
      <c r="U82" s="67"/>
      <c r="V82" s="67"/>
      <c r="W82" s="67"/>
      <c r="X82" s="67"/>
      <c r="Y82" s="25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15"/>
      <c r="EL82" s="25"/>
      <c r="EM82" s="25">
        <v>-1165.1611044776121</v>
      </c>
      <c r="EN82" s="25">
        <v>-677</v>
      </c>
      <c r="EO82" s="25">
        <v>-627</v>
      </c>
      <c r="EP82" s="25">
        <v>985</v>
      </c>
      <c r="EQ82" s="25">
        <f>SUM(K82:L82)</f>
        <v>974</v>
      </c>
      <c r="ER82" s="25">
        <f>N82+M82</f>
        <v>971</v>
      </c>
      <c r="ES82" s="25">
        <v>887</v>
      </c>
      <c r="ET82" s="25">
        <f t="shared" si="84"/>
        <v>2460</v>
      </c>
      <c r="EU82" s="25">
        <f>T82+S82</f>
        <v>2829</v>
      </c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48"/>
      <c r="FH82" s="48"/>
      <c r="FI82" s="48"/>
    </row>
    <row r="83" spans="2:238" s="17" customFormat="1" x14ac:dyDescent="0.2">
      <c r="B83" s="17" t="s">
        <v>15</v>
      </c>
      <c r="C83" s="27">
        <v>2464</v>
      </c>
      <c r="D83" s="27">
        <v>2655</v>
      </c>
      <c r="E83" s="27">
        <v>3435</v>
      </c>
      <c r="F83" s="27">
        <v>3133</v>
      </c>
      <c r="G83" s="27">
        <v>3330</v>
      </c>
      <c r="H83" s="27">
        <v>3135</v>
      </c>
      <c r="I83" s="27">
        <f t="shared" ref="I83:S83" si="86">I80+I81-I82</f>
        <v>5299</v>
      </c>
      <c r="J83" s="27">
        <f t="shared" si="86"/>
        <v>5797</v>
      </c>
      <c r="K83" s="27">
        <f t="shared" si="86"/>
        <v>6723</v>
      </c>
      <c r="L83" s="27">
        <f t="shared" si="86"/>
        <v>7036</v>
      </c>
      <c r="M83" s="27">
        <f t="shared" si="86"/>
        <v>9085</v>
      </c>
      <c r="N83" s="27">
        <f t="shared" si="86"/>
        <v>7776</v>
      </c>
      <c r="O83" s="27">
        <f t="shared" si="86"/>
        <v>7278</v>
      </c>
      <c r="P83" s="27">
        <f t="shared" si="86"/>
        <v>7092</v>
      </c>
      <c r="Q83" s="27">
        <f t="shared" si="86"/>
        <v>7419</v>
      </c>
      <c r="R83" s="27">
        <f t="shared" si="86"/>
        <v>6096</v>
      </c>
      <c r="S83" s="27">
        <f t="shared" si="86"/>
        <v>7550</v>
      </c>
      <c r="T83" s="27">
        <f>T80+T81-T82</f>
        <v>3591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5"/>
      <c r="EL83" s="27"/>
      <c r="EM83" s="27">
        <v>6020.8388955223882</v>
      </c>
      <c r="EN83" s="27">
        <v>5119</v>
      </c>
      <c r="EO83" s="27">
        <v>6465</v>
      </c>
      <c r="EP83" s="27">
        <f t="shared" ref="EP83:FE83" si="87">EP80+EP81-EP82</f>
        <v>10461</v>
      </c>
      <c r="EQ83" s="27">
        <f t="shared" si="87"/>
        <v>14969</v>
      </c>
      <c r="ER83" s="27">
        <f t="shared" si="87"/>
        <v>16861</v>
      </c>
      <c r="ES83" s="27">
        <f t="shared" si="87"/>
        <v>14978</v>
      </c>
      <c r="ET83" s="27">
        <f t="shared" si="87"/>
        <v>13515</v>
      </c>
      <c r="EU83" s="27">
        <f>EU80+EU81-EU82</f>
        <v>11064</v>
      </c>
      <c r="EV83" s="27">
        <f t="shared" si="87"/>
        <v>11885</v>
      </c>
      <c r="EW83" s="27">
        <f t="shared" si="87"/>
        <v>-10353.99</v>
      </c>
      <c r="EX83" s="27">
        <f t="shared" si="87"/>
        <v>-10644.57072</v>
      </c>
      <c r="EY83" s="27">
        <f t="shared" si="87"/>
        <v>-10947.22221636</v>
      </c>
      <c r="EZ83" s="27">
        <f t="shared" si="87"/>
        <v>-11262.39289149168</v>
      </c>
      <c r="FA83" s="27">
        <f t="shared" si="87"/>
        <v>-11590.548289969263</v>
      </c>
      <c r="FB83" s="27">
        <f t="shared" si="87"/>
        <v>-11932.171748902987</v>
      </c>
      <c r="FC83" s="27">
        <f t="shared" si="87"/>
        <v>-12287.765073037044</v>
      </c>
      <c r="FD83" s="27">
        <f t="shared" si="87"/>
        <v>-12657.849235511436</v>
      </c>
      <c r="FE83" s="27">
        <f t="shared" si="87"/>
        <v>20972</v>
      </c>
      <c r="FF83" s="24">
        <f>FF80+FF81</f>
        <v>21146</v>
      </c>
      <c r="FG83" s="24">
        <f>FG80+FG81</f>
        <v>0</v>
      </c>
      <c r="FH83" s="24">
        <f>FH80+FH81</f>
        <v>17122</v>
      </c>
      <c r="FI83" s="48"/>
    </row>
    <row r="84" spans="2:238" x14ac:dyDescent="0.2">
      <c r="B84" s="15" t="s">
        <v>5</v>
      </c>
      <c r="C84" s="25">
        <v>-658</v>
      </c>
      <c r="D84" s="25">
        <v>-661</v>
      </c>
      <c r="E84" s="25">
        <v>-835</v>
      </c>
      <c r="F84" s="25">
        <v>-810</v>
      </c>
      <c r="G84" s="25">
        <v>-806</v>
      </c>
      <c r="H84" s="25">
        <v>-799</v>
      </c>
      <c r="I84" s="25">
        <v>1095</v>
      </c>
      <c r="J84" s="25">
        <f>2224-I84</f>
        <v>1129</v>
      </c>
      <c r="K84" s="25">
        <v>1701</v>
      </c>
      <c r="L84" s="25">
        <f>3436-K84</f>
        <v>1735</v>
      </c>
      <c r="M84" s="25">
        <v>2115</v>
      </c>
      <c r="N84" s="25">
        <f>3867-M84</f>
        <v>1752</v>
      </c>
      <c r="O84" s="25">
        <v>1861</v>
      </c>
      <c r="P84" s="25"/>
      <c r="Q84" s="25">
        <v>1678</v>
      </c>
      <c r="R84" s="25">
        <f>2870-Q84</f>
        <v>1192</v>
      </c>
      <c r="S84" s="25">
        <v>1800</v>
      </c>
      <c r="T84" s="25">
        <f>2320-S84</f>
        <v>520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EL84" s="25"/>
      <c r="EM84" s="25">
        <v>-1595</v>
      </c>
      <c r="EN84" s="25">
        <v>-1319</v>
      </c>
      <c r="EO84" s="25">
        <v>-1605</v>
      </c>
      <c r="EP84" s="25">
        <v>2284</v>
      </c>
      <c r="EQ84" s="25">
        <f>SUM(K84:L84)</f>
        <v>3436</v>
      </c>
      <c r="ER84" s="25">
        <f>N84+M84</f>
        <v>3867</v>
      </c>
      <c r="ES84" s="25">
        <v>3317</v>
      </c>
      <c r="ET84" s="25">
        <f>SUM(Q84:R84)</f>
        <v>2870</v>
      </c>
      <c r="EU84" s="25">
        <f>T84+S84</f>
        <v>2320</v>
      </c>
      <c r="EV84" s="25">
        <v>2341</v>
      </c>
      <c r="EW84" s="25">
        <f t="shared" ref="EW84:FD84" si="88">EW83*0.24</f>
        <v>-2484.9575999999997</v>
      </c>
      <c r="EX84" s="25">
        <f t="shared" si="88"/>
        <v>-2554.6969727999999</v>
      </c>
      <c r="EY84" s="25">
        <f t="shared" si="88"/>
        <v>-2627.3333319263998</v>
      </c>
      <c r="EZ84" s="25">
        <f t="shared" si="88"/>
        <v>-2702.9742939580028</v>
      </c>
      <c r="FA84" s="25">
        <f t="shared" si="88"/>
        <v>-2781.7315895926231</v>
      </c>
      <c r="FB84" s="25">
        <f t="shared" si="88"/>
        <v>-2863.7212197367166</v>
      </c>
      <c r="FC84" s="25">
        <f t="shared" si="88"/>
        <v>-2949.0636175288905</v>
      </c>
      <c r="FD84" s="25">
        <f t="shared" si="88"/>
        <v>-3037.8838165227444</v>
      </c>
      <c r="FE84" s="25">
        <v>3594</v>
      </c>
      <c r="FF84" s="23">
        <v>3075</v>
      </c>
      <c r="FG84" s="23"/>
      <c r="FH84" s="23">
        <v>2136</v>
      </c>
    </row>
    <row r="85" spans="2:238" x14ac:dyDescent="0.2">
      <c r="B85" s="15" t="s">
        <v>6</v>
      </c>
      <c r="C85" s="25">
        <v>1806</v>
      </c>
      <c r="D85" s="25">
        <v>1994</v>
      </c>
      <c r="E85" s="25">
        <v>2600</v>
      </c>
      <c r="F85" s="25">
        <v>2323</v>
      </c>
      <c r="G85" s="25">
        <v>2524</v>
      </c>
      <c r="H85" s="25">
        <v>2336</v>
      </c>
      <c r="I85" s="25">
        <f t="shared" ref="I85:N85" si="89">I83-I84</f>
        <v>4204</v>
      </c>
      <c r="J85" s="25">
        <f t="shared" si="89"/>
        <v>4668</v>
      </c>
      <c r="K85" s="25">
        <f t="shared" si="89"/>
        <v>5022</v>
      </c>
      <c r="L85" s="25">
        <f t="shared" si="89"/>
        <v>5301</v>
      </c>
      <c r="M85" s="25">
        <f t="shared" si="89"/>
        <v>6970</v>
      </c>
      <c r="N85" s="25">
        <f t="shared" si="89"/>
        <v>6024</v>
      </c>
      <c r="O85" s="25">
        <f t="shared" ref="O85:T85" si="90">O83-O84</f>
        <v>5417</v>
      </c>
      <c r="P85" s="25">
        <f t="shared" si="90"/>
        <v>7092</v>
      </c>
      <c r="Q85" s="25">
        <f t="shared" si="90"/>
        <v>5741</v>
      </c>
      <c r="R85" s="25">
        <f t="shared" si="90"/>
        <v>4904</v>
      </c>
      <c r="S85" s="25">
        <f t="shared" si="90"/>
        <v>5750</v>
      </c>
      <c r="T85" s="25">
        <f t="shared" si="90"/>
        <v>3071</v>
      </c>
      <c r="U85" s="25"/>
      <c r="V85" s="25"/>
      <c r="W85" s="25"/>
      <c r="X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EL85" s="25"/>
      <c r="EM85" s="25">
        <v>4425.8388955223882</v>
      </c>
      <c r="EN85" s="25">
        <v>3800</v>
      </c>
      <c r="EO85" s="25">
        <v>4860</v>
      </c>
      <c r="EP85" s="25">
        <f t="shared" ref="EP85:EY85" si="91">EP83-EP84</f>
        <v>8177</v>
      </c>
      <c r="EQ85" s="25">
        <f t="shared" si="91"/>
        <v>11533</v>
      </c>
      <c r="ER85" s="25">
        <f t="shared" si="91"/>
        <v>12994</v>
      </c>
      <c r="ES85" s="25">
        <f t="shared" si="91"/>
        <v>11661</v>
      </c>
      <c r="ET85" s="25">
        <f>ET83-ET84</f>
        <v>10645</v>
      </c>
      <c r="EU85" s="25">
        <f>EU83-EU84</f>
        <v>8744</v>
      </c>
      <c r="EV85" s="25">
        <f t="shared" si="91"/>
        <v>9544</v>
      </c>
      <c r="EW85" s="25">
        <f t="shared" si="91"/>
        <v>-7869.0324000000001</v>
      </c>
      <c r="EX85" s="25">
        <f t="shared" si="91"/>
        <v>-8089.8737471999993</v>
      </c>
      <c r="EY85" s="25">
        <f t="shared" si="91"/>
        <v>-8319.8888844335997</v>
      </c>
      <c r="EZ85" s="25">
        <f t="shared" ref="EZ85:FD85" si="92">EZ83-EZ84</f>
        <v>-8559.4185975336768</v>
      </c>
      <c r="FA85" s="25">
        <f t="shared" si="92"/>
        <v>-8808.8167003766393</v>
      </c>
      <c r="FB85" s="25">
        <f t="shared" si="92"/>
        <v>-9068.4505291662699</v>
      </c>
      <c r="FC85" s="25">
        <f t="shared" si="92"/>
        <v>-9338.7014555081532</v>
      </c>
      <c r="FD85" s="25">
        <f t="shared" si="92"/>
        <v>-9619.9654189886915</v>
      </c>
      <c r="FE85" s="25">
        <f>FE83-FE84</f>
        <v>17378</v>
      </c>
      <c r="FF85" s="23">
        <f>FF83-FF84</f>
        <v>18071</v>
      </c>
      <c r="FG85" s="23"/>
      <c r="FH85" s="23">
        <f>FH83-FH84</f>
        <v>14986</v>
      </c>
    </row>
    <row r="86" spans="2:238" x14ac:dyDescent="0.2">
      <c r="B86" s="15" t="s">
        <v>4</v>
      </c>
      <c r="C86" s="25">
        <v>-185.5</v>
      </c>
      <c r="D86" s="25">
        <v>-243.5</v>
      </c>
      <c r="E86" s="25">
        <v>-274</v>
      </c>
      <c r="F86" s="25">
        <v>-306</v>
      </c>
      <c r="G86" s="25">
        <v>-262</v>
      </c>
      <c r="H86" s="25">
        <v>-276</v>
      </c>
      <c r="I86" s="25">
        <v>444</v>
      </c>
      <c r="J86" s="25">
        <f>943-I86</f>
        <v>499</v>
      </c>
      <c r="K86" s="25">
        <v>572</v>
      </c>
      <c r="L86" s="25">
        <f>1291-K86</f>
        <v>719</v>
      </c>
      <c r="M86" s="25">
        <v>943</v>
      </c>
      <c r="N86" s="25">
        <f>1676-M86</f>
        <v>733</v>
      </c>
      <c r="O86" s="25">
        <v>912</v>
      </c>
      <c r="P86" s="25">
        <f>O86</f>
        <v>912</v>
      </c>
      <c r="Q86" s="25">
        <v>578</v>
      </c>
      <c r="R86" s="25">
        <f>726-Q86</f>
        <v>148</v>
      </c>
      <c r="S86" s="25">
        <v>97</v>
      </c>
      <c r="T86" s="25">
        <f>225-S86</f>
        <v>128</v>
      </c>
      <c r="U86" s="25"/>
      <c r="V86" s="25"/>
      <c r="W86" s="25"/>
      <c r="X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15"/>
      <c r="EL86" s="25"/>
      <c r="EM86" s="25">
        <v>34</v>
      </c>
      <c r="EN86" s="25">
        <v>-429</v>
      </c>
      <c r="EO86" s="25">
        <v>-538</v>
      </c>
      <c r="EP86" s="25">
        <v>943</v>
      </c>
      <c r="EQ86" s="25">
        <f>SUM(K86:L86)</f>
        <v>1291</v>
      </c>
      <c r="ER86" s="25">
        <f>N86+M86</f>
        <v>1676</v>
      </c>
      <c r="ES86" s="25">
        <v>1875</v>
      </c>
      <c r="ET86" s="25">
        <f>SUM(Q86:R86)</f>
        <v>726</v>
      </c>
      <c r="EU86" s="25">
        <f>T86+S86</f>
        <v>225</v>
      </c>
      <c r="EV86" s="25">
        <v>201</v>
      </c>
      <c r="EW86" s="25"/>
      <c r="EX86" s="25"/>
      <c r="EY86" s="25"/>
      <c r="EZ86" s="25"/>
      <c r="FA86" s="25"/>
      <c r="FB86" s="25"/>
      <c r="FC86" s="25"/>
      <c r="FD86" s="25"/>
      <c r="FE86" s="25">
        <v>801</v>
      </c>
      <c r="FF86" s="23">
        <v>1033</v>
      </c>
      <c r="FG86" s="23"/>
      <c r="FH86" s="23">
        <v>877</v>
      </c>
    </row>
    <row r="87" spans="2:238" x14ac:dyDescent="0.2">
      <c r="B87" s="15" t="s">
        <v>20</v>
      </c>
      <c r="C87" s="25">
        <v>1620.5</v>
      </c>
      <c r="D87" s="25">
        <v>1750.5</v>
      </c>
      <c r="E87" s="25">
        <v>2326</v>
      </c>
      <c r="F87" s="25">
        <v>2017</v>
      </c>
      <c r="G87" s="25">
        <v>2262</v>
      </c>
      <c r="H87" s="25">
        <v>2060</v>
      </c>
      <c r="I87" s="25">
        <f t="shared" ref="I87:N87" si="93">I85-I86</f>
        <v>3760</v>
      </c>
      <c r="J87" s="25">
        <f t="shared" si="93"/>
        <v>4169</v>
      </c>
      <c r="K87" s="25">
        <f t="shared" si="93"/>
        <v>4450</v>
      </c>
      <c r="L87" s="25">
        <f t="shared" si="93"/>
        <v>4582</v>
      </c>
      <c r="M87" s="25">
        <f t="shared" si="93"/>
        <v>6027</v>
      </c>
      <c r="N87" s="25">
        <f t="shared" si="93"/>
        <v>5291</v>
      </c>
      <c r="O87" s="25">
        <f t="shared" ref="O87:T87" si="94">O85-O86</f>
        <v>4505</v>
      </c>
      <c r="P87" s="25">
        <f t="shared" si="94"/>
        <v>6180</v>
      </c>
      <c r="Q87" s="25">
        <f t="shared" si="94"/>
        <v>5163</v>
      </c>
      <c r="R87" s="25">
        <f t="shared" si="94"/>
        <v>4756</v>
      </c>
      <c r="S87" s="25">
        <f t="shared" si="94"/>
        <v>5653</v>
      </c>
      <c r="T87" s="25">
        <f t="shared" si="94"/>
        <v>2943</v>
      </c>
      <c r="U87" s="25"/>
      <c r="V87" s="25"/>
      <c r="W87" s="25"/>
      <c r="X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15"/>
      <c r="EL87" s="25"/>
      <c r="EM87" s="25">
        <v>4459.8388955223882</v>
      </c>
      <c r="EN87" s="25">
        <v>3371</v>
      </c>
      <c r="EO87" s="25">
        <v>4322</v>
      </c>
      <c r="EP87" s="25">
        <f t="shared" ref="EP87:FE87" si="95">EP85-EP86</f>
        <v>7234</v>
      </c>
      <c r="EQ87" s="25">
        <f t="shared" si="95"/>
        <v>10242</v>
      </c>
      <c r="ER87" s="25">
        <f t="shared" si="95"/>
        <v>11318</v>
      </c>
      <c r="ES87" s="25">
        <f t="shared" si="95"/>
        <v>9786</v>
      </c>
      <c r="ET87" s="25">
        <f>ET85-ET86</f>
        <v>9919</v>
      </c>
      <c r="EU87" s="25">
        <f>EU85-EU86</f>
        <v>8519</v>
      </c>
      <c r="EV87" s="25">
        <f t="shared" si="95"/>
        <v>9343</v>
      </c>
      <c r="EW87" s="25">
        <f t="shared" si="95"/>
        <v>-7869.0324000000001</v>
      </c>
      <c r="EX87" s="25">
        <f t="shared" si="95"/>
        <v>-8089.8737471999993</v>
      </c>
      <c r="EY87" s="25">
        <f t="shared" si="95"/>
        <v>-8319.8888844335997</v>
      </c>
      <c r="EZ87" s="25">
        <f t="shared" si="95"/>
        <v>-8559.4185975336768</v>
      </c>
      <c r="FA87" s="25">
        <f t="shared" si="95"/>
        <v>-8808.8167003766393</v>
      </c>
      <c r="FB87" s="25">
        <f t="shared" si="95"/>
        <v>-9068.4505291662699</v>
      </c>
      <c r="FC87" s="25">
        <f t="shared" si="95"/>
        <v>-9338.7014555081532</v>
      </c>
      <c r="FD87" s="25">
        <f t="shared" si="95"/>
        <v>-9619.9654189886915</v>
      </c>
      <c r="FE87" s="25">
        <f t="shared" si="95"/>
        <v>16577</v>
      </c>
      <c r="FF87" s="25">
        <f>FF85-FF86</f>
        <v>17038</v>
      </c>
      <c r="FG87" s="25">
        <f>FG85-FG86</f>
        <v>0</v>
      </c>
      <c r="FH87" s="25">
        <f>FH85-FH86</f>
        <v>14109</v>
      </c>
      <c r="FI87" s="25">
        <f t="shared" ref="FI87:GN87" si="96">FH87*(1+$FT$94)</f>
        <v>14250.09</v>
      </c>
      <c r="FJ87" s="32">
        <f t="shared" si="96"/>
        <v>14392.590900000001</v>
      </c>
      <c r="FK87" s="32">
        <f t="shared" si="96"/>
        <v>14536.516809000001</v>
      </c>
      <c r="FL87" s="32">
        <f t="shared" si="96"/>
        <v>14681.881977090001</v>
      </c>
      <c r="FM87" s="32">
        <f t="shared" si="96"/>
        <v>14828.700796860901</v>
      </c>
      <c r="FN87" s="32">
        <f t="shared" si="96"/>
        <v>14976.98780482951</v>
      </c>
      <c r="FO87" s="32">
        <f t="shared" si="96"/>
        <v>15126.757682877806</v>
      </c>
      <c r="FP87" s="32">
        <f t="shared" si="96"/>
        <v>15278.025259706585</v>
      </c>
      <c r="FQ87" s="32">
        <f t="shared" si="96"/>
        <v>15430.80551230365</v>
      </c>
      <c r="FR87" s="32">
        <f t="shared" si="96"/>
        <v>15585.113567426686</v>
      </c>
      <c r="FS87" s="32">
        <f t="shared" si="96"/>
        <v>15740.964703100954</v>
      </c>
      <c r="FT87" s="32">
        <f t="shared" si="96"/>
        <v>15898.374350131964</v>
      </c>
      <c r="FU87" s="32">
        <f t="shared" si="96"/>
        <v>16057.358093633284</v>
      </c>
      <c r="FV87" s="32">
        <f t="shared" si="96"/>
        <v>16217.931674569616</v>
      </c>
      <c r="FW87" s="32">
        <f t="shared" si="96"/>
        <v>16380.110991315312</v>
      </c>
      <c r="FX87" s="32">
        <f t="shared" si="96"/>
        <v>16543.912101228467</v>
      </c>
      <c r="FY87" s="32">
        <f t="shared" si="96"/>
        <v>16709.351222240752</v>
      </c>
      <c r="FZ87" s="32">
        <f t="shared" si="96"/>
        <v>16876.444734463159</v>
      </c>
      <c r="GA87" s="32">
        <f t="shared" si="96"/>
        <v>17045.20918180779</v>
      </c>
      <c r="GB87" s="32">
        <f t="shared" si="96"/>
        <v>17215.661273625868</v>
      </c>
      <c r="GC87" s="32">
        <f t="shared" si="96"/>
        <v>17387.817886362129</v>
      </c>
      <c r="GD87" s="32">
        <f t="shared" si="96"/>
        <v>17561.696065225751</v>
      </c>
      <c r="GE87" s="32">
        <f t="shared" si="96"/>
        <v>17737.313025878007</v>
      </c>
      <c r="GF87" s="32">
        <f t="shared" si="96"/>
        <v>17914.686156136788</v>
      </c>
      <c r="GG87" s="32">
        <f t="shared" si="96"/>
        <v>18093.833017698154</v>
      </c>
      <c r="GH87" s="32">
        <f t="shared" si="96"/>
        <v>18274.771347875136</v>
      </c>
      <c r="GI87" s="32">
        <f t="shared" si="96"/>
        <v>18457.519061353887</v>
      </c>
      <c r="GJ87" s="32">
        <f t="shared" si="96"/>
        <v>18642.094251967424</v>
      </c>
      <c r="GK87" s="32">
        <f t="shared" si="96"/>
        <v>18828.5151944871</v>
      </c>
      <c r="GL87" s="32">
        <f t="shared" si="96"/>
        <v>19016.80034643197</v>
      </c>
      <c r="GM87" s="32">
        <f t="shared" si="96"/>
        <v>19206.968349896291</v>
      </c>
      <c r="GN87" s="32">
        <f t="shared" si="96"/>
        <v>19399.038033395256</v>
      </c>
      <c r="GO87" s="32">
        <f t="shared" ref="GO87:HT87" si="97">GN87*(1+$FT$94)</f>
        <v>19593.028413729207</v>
      </c>
      <c r="GP87" s="32">
        <f t="shared" si="97"/>
        <v>19788.958697866499</v>
      </c>
      <c r="GQ87" s="32">
        <f t="shared" si="97"/>
        <v>19986.848284845164</v>
      </c>
      <c r="GR87" s="32">
        <f t="shared" si="97"/>
        <v>20186.716767693615</v>
      </c>
      <c r="GS87" s="32">
        <f t="shared" si="97"/>
        <v>20388.583935370552</v>
      </c>
      <c r="GT87" s="32">
        <f t="shared" si="97"/>
        <v>20592.469774724257</v>
      </c>
      <c r="GU87" s="32">
        <f t="shared" si="97"/>
        <v>20798.3944724715</v>
      </c>
      <c r="GV87" s="32">
        <f t="shared" si="97"/>
        <v>21006.378417196214</v>
      </c>
      <c r="GW87" s="32">
        <f t="shared" si="97"/>
        <v>21216.442201368176</v>
      </c>
      <c r="GX87" s="32">
        <f t="shared" si="97"/>
        <v>21428.606623381856</v>
      </c>
      <c r="GY87" s="32">
        <f t="shared" si="97"/>
        <v>21642.892689615674</v>
      </c>
      <c r="GZ87" s="32">
        <f t="shared" si="97"/>
        <v>21859.321616511832</v>
      </c>
      <c r="HA87" s="32">
        <f t="shared" si="97"/>
        <v>22077.91483267695</v>
      </c>
      <c r="HB87" s="32">
        <f t="shared" si="97"/>
        <v>22298.693981003718</v>
      </c>
      <c r="HC87" s="32">
        <f t="shared" si="97"/>
        <v>22521.680920813757</v>
      </c>
      <c r="HD87" s="32">
        <f t="shared" si="97"/>
        <v>22746.897730021894</v>
      </c>
      <c r="HE87" s="32">
        <f t="shared" si="97"/>
        <v>22974.366707322111</v>
      </c>
      <c r="HF87" s="32">
        <f t="shared" si="97"/>
        <v>23204.110374395332</v>
      </c>
      <c r="HG87" s="32">
        <f t="shared" si="97"/>
        <v>23436.151478139287</v>
      </c>
      <c r="HH87" s="32">
        <f t="shared" si="97"/>
        <v>23670.512992920681</v>
      </c>
      <c r="HI87" s="32">
        <f t="shared" si="97"/>
        <v>23907.218122849888</v>
      </c>
      <c r="HJ87" s="32">
        <f t="shared" si="97"/>
        <v>24146.290304078386</v>
      </c>
      <c r="HK87" s="32">
        <f t="shared" si="97"/>
        <v>24387.753207119171</v>
      </c>
      <c r="HL87" s="32">
        <f t="shared" si="97"/>
        <v>24631.630739190361</v>
      </c>
      <c r="HM87" s="32">
        <f t="shared" si="97"/>
        <v>24877.947046582263</v>
      </c>
      <c r="HN87" s="32">
        <f t="shared" si="97"/>
        <v>25126.726517048086</v>
      </c>
      <c r="HO87" s="32">
        <f t="shared" si="97"/>
        <v>25377.993782218568</v>
      </c>
      <c r="HP87" s="32">
        <f t="shared" si="97"/>
        <v>25631.773720040754</v>
      </c>
      <c r="HQ87" s="32">
        <f t="shared" si="97"/>
        <v>25888.09145724116</v>
      </c>
      <c r="HR87" s="32">
        <f t="shared" si="97"/>
        <v>26146.972371813572</v>
      </c>
      <c r="HS87" s="32">
        <f t="shared" si="97"/>
        <v>26408.442095531707</v>
      </c>
      <c r="HT87" s="32">
        <f t="shared" si="97"/>
        <v>26672.526516487025</v>
      </c>
      <c r="HU87" s="32">
        <f t="shared" ref="HU87:ID87" si="98">HT87*(1+$FT$94)</f>
        <v>26939.251781651896</v>
      </c>
      <c r="HV87" s="32">
        <f t="shared" si="98"/>
        <v>27208.644299468415</v>
      </c>
      <c r="HW87" s="32">
        <f t="shared" si="98"/>
        <v>27480.7307424631</v>
      </c>
      <c r="HX87" s="32">
        <f t="shared" si="98"/>
        <v>27755.538049887731</v>
      </c>
      <c r="HY87" s="32">
        <f t="shared" si="98"/>
        <v>28033.093430386609</v>
      </c>
      <c r="HZ87" s="32">
        <f t="shared" si="98"/>
        <v>28313.424364690476</v>
      </c>
      <c r="IA87" s="32">
        <f t="shared" si="98"/>
        <v>28596.558608337382</v>
      </c>
      <c r="IB87" s="32">
        <f t="shared" si="98"/>
        <v>28882.524194420756</v>
      </c>
      <c r="IC87" s="32">
        <f t="shared" si="98"/>
        <v>29171.349436364962</v>
      </c>
      <c r="ID87" s="32">
        <f t="shared" si="98"/>
        <v>29463.062930728611</v>
      </c>
    </row>
    <row r="88" spans="2:238" s="17" customFormat="1" x14ac:dyDescent="0.2">
      <c r="B88" s="17" t="s">
        <v>21</v>
      </c>
      <c r="C88" s="49">
        <v>1.9072573266926225</v>
      </c>
      <c r="D88" s="49">
        <v>2.0566674424016758</v>
      </c>
      <c r="E88" s="49">
        <v>2.7278037383177569</v>
      </c>
      <c r="F88" s="49">
        <v>2.3449074074074074</v>
      </c>
      <c r="G88" s="49">
        <v>2.6395520047522396</v>
      </c>
      <c r="H88" s="49">
        <v>2.4104238397498516</v>
      </c>
      <c r="I88" s="49">
        <f t="shared" ref="I88:N88" si="99">I87/I89</f>
        <v>4.3591034019903718</v>
      </c>
      <c r="J88" s="49">
        <f t="shared" si="99"/>
        <v>4.8332718305579414</v>
      </c>
      <c r="K88" s="49">
        <f t="shared" si="99"/>
        <v>5.1590452496960513</v>
      </c>
      <c r="L88" s="49">
        <f t="shared" si="99"/>
        <v>5.3120776031701817</v>
      </c>
      <c r="M88" s="49">
        <f t="shared" si="99"/>
        <v>6.9873181393074386</v>
      </c>
      <c r="N88" s="49">
        <f t="shared" si="99"/>
        <v>6.1340468350880464</v>
      </c>
      <c r="O88" s="49">
        <f t="shared" ref="O88:T88" si="100">O87/O89</f>
        <v>5.2228087303102724</v>
      </c>
      <c r="P88" s="49">
        <f t="shared" si="100"/>
        <v>7.1646965490160897</v>
      </c>
      <c r="Q88" s="49">
        <f t="shared" si="100"/>
        <v>5.9856518256585876</v>
      </c>
      <c r="R88" s="49">
        <f t="shared" si="100"/>
        <v>5.5138020691133525</v>
      </c>
      <c r="S88" s="49">
        <f t="shared" si="100"/>
        <v>6.5537264711307364</v>
      </c>
      <c r="T88" s="49">
        <f t="shared" si="100"/>
        <v>3.4119258808663999</v>
      </c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5"/>
      <c r="EL88" s="49"/>
      <c r="EM88" s="49">
        <v>5.3184322359227147</v>
      </c>
      <c r="EN88" s="49">
        <v>3.9639115250291037</v>
      </c>
      <c r="EO88" s="49">
        <v>5.0502424081454445</v>
      </c>
      <c r="EP88" s="49">
        <v>6.1026426057431324</v>
      </c>
      <c r="EQ88" s="49">
        <f t="shared" ref="EQ88:EY88" si="101">EQ87/EQ89</f>
        <v>11.873919426379091</v>
      </c>
      <c r="ER88" s="49">
        <f t="shared" si="101"/>
        <v>13.121364974395485</v>
      </c>
      <c r="ES88" s="49">
        <f>ES87/ES89</f>
        <v>11.345262205286643</v>
      </c>
      <c r="ET88" s="49">
        <f>ET87/ET89</f>
        <v>11.499453894771941</v>
      </c>
      <c r="EU88" s="49">
        <f>EU87/EU89</f>
        <v>9.8763834791372265</v>
      </c>
      <c r="EV88" s="49">
        <f t="shared" si="101"/>
        <v>10.831676352339372</v>
      </c>
      <c r="EW88" s="49">
        <f t="shared" si="101"/>
        <v>-9.1228526343650156</v>
      </c>
      <c r="EX88" s="49">
        <f t="shared" si="101"/>
        <v>-9.3788819609287533</v>
      </c>
      <c r="EY88" s="49">
        <f t="shared" si="101"/>
        <v>-9.6455467926373348</v>
      </c>
      <c r="EZ88" s="49"/>
      <c r="FA88" s="49"/>
      <c r="FB88" s="49"/>
      <c r="FC88" s="49"/>
      <c r="FD88" s="49"/>
      <c r="FE88" s="49"/>
      <c r="FF88" s="48"/>
      <c r="FH88" s="48"/>
      <c r="FI88" s="48"/>
    </row>
    <row r="89" spans="2:238" s="17" customFormat="1" x14ac:dyDescent="0.2">
      <c r="B89" s="15" t="s">
        <v>42</v>
      </c>
      <c r="C89" s="25">
        <v>858.56269999999995</v>
      </c>
      <c r="D89" s="25">
        <v>859.4</v>
      </c>
      <c r="E89" s="25">
        <v>856</v>
      </c>
      <c r="F89" s="25">
        <v>864</v>
      </c>
      <c r="G89" s="25">
        <v>860.56269999999995</v>
      </c>
      <c r="H89" s="25">
        <v>858.56269999999995</v>
      </c>
      <c r="I89" s="25">
        <v>862.56269999999995</v>
      </c>
      <c r="J89" s="25">
        <v>862.56269999999995</v>
      </c>
      <c r="K89" s="25">
        <v>862.56269999999995</v>
      </c>
      <c r="L89" s="25">
        <v>862.56269999999995</v>
      </c>
      <c r="M89" s="25">
        <v>862.56269999999995</v>
      </c>
      <c r="N89" s="25">
        <v>862.56269999999995</v>
      </c>
      <c r="O89" s="25">
        <v>862.56269999999995</v>
      </c>
      <c r="P89" s="25">
        <f>O89</f>
        <v>862.56269999999995</v>
      </c>
      <c r="Q89" s="25">
        <f>P89</f>
        <v>862.56269999999995</v>
      </c>
      <c r="R89" s="25">
        <f>+Q89</f>
        <v>862.56269999999995</v>
      </c>
      <c r="S89" s="25">
        <f>+R89</f>
        <v>862.56269999999995</v>
      </c>
      <c r="T89" s="25">
        <f>+S89</f>
        <v>862.56269999999995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95"/>
      <c r="AX89" s="95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5"/>
      <c r="EL89" s="25"/>
      <c r="EM89" s="25">
        <v>838.56269999999995</v>
      </c>
      <c r="EN89" s="25">
        <v>859</v>
      </c>
      <c r="EO89" s="25">
        <v>859.56269999999995</v>
      </c>
      <c r="EP89" s="25">
        <v>858</v>
      </c>
      <c r="EQ89" s="25">
        <f>AVERAGE(M89:N89)</f>
        <v>862.56269999999995</v>
      </c>
      <c r="ER89" s="25">
        <f t="shared" ref="ER89:EY89" si="102">EQ89</f>
        <v>862.56269999999995</v>
      </c>
      <c r="ES89" s="25">
        <f t="shared" si="102"/>
        <v>862.56269999999995</v>
      </c>
      <c r="ET89" s="25">
        <f t="shared" si="102"/>
        <v>862.56269999999995</v>
      </c>
      <c r="EU89" s="25">
        <f>ET89</f>
        <v>862.56269999999995</v>
      </c>
      <c r="EV89" s="25">
        <f t="shared" si="102"/>
        <v>862.56269999999995</v>
      </c>
      <c r="EW89" s="25">
        <f t="shared" si="102"/>
        <v>862.56269999999995</v>
      </c>
      <c r="EX89" s="25">
        <f t="shared" si="102"/>
        <v>862.56269999999995</v>
      </c>
      <c r="EY89" s="25">
        <f t="shared" si="102"/>
        <v>862.56269999999995</v>
      </c>
      <c r="EZ89" s="25"/>
      <c r="FA89" s="25"/>
      <c r="FB89" s="25"/>
      <c r="FC89" s="25"/>
      <c r="FD89" s="25"/>
      <c r="FE89" s="25"/>
      <c r="FF89" s="48"/>
      <c r="FH89" s="48"/>
      <c r="FI89" s="48"/>
    </row>
    <row r="90" spans="2:238" s="17" customFormat="1" x14ac:dyDescent="0.2">
      <c r="B90" s="1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95"/>
      <c r="AX90" s="95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48"/>
      <c r="FH90" s="48"/>
      <c r="FI90" s="48"/>
    </row>
    <row r="91" spans="2:238" x14ac:dyDescent="0.2">
      <c r="B91" s="15" t="s">
        <v>182</v>
      </c>
      <c r="C91" s="50"/>
      <c r="D91" s="50"/>
      <c r="E91" s="50"/>
      <c r="F91" s="50"/>
      <c r="G91" s="50"/>
      <c r="H91" s="50"/>
      <c r="I91" s="50"/>
      <c r="J91" s="50"/>
      <c r="K91" s="50"/>
      <c r="L91" s="25">
        <v>16088</v>
      </c>
      <c r="M91" s="25">
        <v>15626</v>
      </c>
      <c r="N91" s="25">
        <v>17336</v>
      </c>
      <c r="O91" s="25">
        <v>11171</v>
      </c>
      <c r="P91" s="25"/>
      <c r="Q91" s="25">
        <v>-31000</v>
      </c>
      <c r="R91" s="25">
        <f>Q91+R87</f>
        <v>-26244</v>
      </c>
      <c r="S91" s="25">
        <v>-27520</v>
      </c>
      <c r="T91" s="25">
        <v>-19200</v>
      </c>
      <c r="U91" s="25"/>
      <c r="V91" s="25"/>
      <c r="W91" s="25"/>
      <c r="X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32"/>
      <c r="EL91" s="25"/>
      <c r="EM91" s="25"/>
      <c r="EN91" s="25"/>
      <c r="EO91" s="25"/>
      <c r="EP91" s="25"/>
      <c r="EQ91" s="25"/>
      <c r="ER91" s="25"/>
      <c r="ES91" s="25">
        <f>N91</f>
        <v>17336</v>
      </c>
      <c r="ET91" s="25">
        <f>Q91+4000</f>
        <v>-27000</v>
      </c>
      <c r="EU91" s="25">
        <f>+T91</f>
        <v>-19200</v>
      </c>
      <c r="EV91" s="25">
        <f>EU91+EU87</f>
        <v>-10681</v>
      </c>
      <c r="EW91" s="25">
        <f t="shared" ref="EW91:EX91" si="103">EV91+EV87</f>
        <v>-1338</v>
      </c>
      <c r="EX91" s="25">
        <f t="shared" si="103"/>
        <v>-9207.0324000000001</v>
      </c>
      <c r="EY91" s="25">
        <f t="shared" ref="EY91:FD91" si="104">EX91+EX87</f>
        <v>-17296.906147199999</v>
      </c>
      <c r="EZ91" s="25">
        <f t="shared" si="104"/>
        <v>-25616.795031633599</v>
      </c>
      <c r="FA91" s="25">
        <f t="shared" si="104"/>
        <v>-34176.21362916728</v>
      </c>
      <c r="FB91" s="25">
        <f t="shared" si="104"/>
        <v>-42985.030329543923</v>
      </c>
      <c r="FC91" s="25">
        <f t="shared" si="104"/>
        <v>-52053.480858710194</v>
      </c>
      <c r="FD91" s="25">
        <f t="shared" si="104"/>
        <v>-61392.182314218349</v>
      </c>
      <c r="FE91" s="25"/>
      <c r="FF91" s="25"/>
      <c r="FH91" s="15"/>
      <c r="FI91" s="15"/>
    </row>
    <row r="92" spans="2:238" x14ac:dyDescent="0.2">
      <c r="C92" s="50"/>
      <c r="D92" s="50"/>
      <c r="E92" s="50"/>
      <c r="F92" s="50"/>
      <c r="G92" s="50"/>
      <c r="H92" s="50"/>
      <c r="I92" s="50"/>
      <c r="J92" s="50"/>
      <c r="K92" s="50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32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H92" s="15"/>
      <c r="FI92" s="15"/>
    </row>
    <row r="93" spans="2:238" s="17" customFormat="1" x14ac:dyDescent="0.2">
      <c r="B93" s="17" t="s">
        <v>8</v>
      </c>
      <c r="C93" s="29">
        <v>0.77400468384074939</v>
      </c>
      <c r="D93" s="29">
        <v>0.77732962447844223</v>
      </c>
      <c r="E93" s="29">
        <v>0.7801872504474735</v>
      </c>
      <c r="F93" s="29">
        <v>0.77574019738596955</v>
      </c>
      <c r="G93" s="29">
        <v>0.74115379319840291</v>
      </c>
      <c r="H93" s="29">
        <v>0.73606295012003198</v>
      </c>
      <c r="I93" s="73">
        <v>0.73841896282035857</v>
      </c>
      <c r="J93" s="73">
        <v>0.74</v>
      </c>
      <c r="K93" s="29">
        <f t="shared" ref="K93:P93" si="105">K74/K71</f>
        <v>0.78804977580734548</v>
      </c>
      <c r="L93" s="29">
        <f t="shared" si="105"/>
        <v>0.77726207642393652</v>
      </c>
      <c r="M93" s="29">
        <f t="shared" si="105"/>
        <v>0.77973452490471806</v>
      </c>
      <c r="N93" s="29">
        <f t="shared" si="105"/>
        <v>0.6776366600875311</v>
      </c>
      <c r="O93" s="29">
        <f t="shared" si="105"/>
        <v>0.75477185966187965</v>
      </c>
      <c r="P93" s="29">
        <f t="shared" si="105"/>
        <v>0.74683437089738702</v>
      </c>
      <c r="Q93" s="29">
        <f>Q74/Q71</f>
        <v>0.75072898442056157</v>
      </c>
      <c r="R93" s="29">
        <f>R74/R71</f>
        <v>0.74099777918781728</v>
      </c>
      <c r="S93" s="29">
        <f>S74/S71</f>
        <v>0.75677869784055851</v>
      </c>
      <c r="T93" s="29">
        <f>T74/T71</f>
        <v>0.75372249308209249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L93" s="29"/>
      <c r="EM93" s="29">
        <f t="shared" ref="EM93:ES93" si="106">EM74/EM71</f>
        <v>0.77042891122535107</v>
      </c>
      <c r="EN93" s="29">
        <f t="shared" si="106"/>
        <v>0.77576314821625603</v>
      </c>
      <c r="EO93" s="29">
        <f t="shared" si="106"/>
        <v>0.73856784770679496</v>
      </c>
      <c r="EP93" s="29">
        <f t="shared" si="106"/>
        <v>0.77874461434485087</v>
      </c>
      <c r="EQ93" s="29">
        <f t="shared" si="106"/>
        <v>0.78235531980685524</v>
      </c>
      <c r="ER93" s="29">
        <f t="shared" si="106"/>
        <v>0.72815555025686607</v>
      </c>
      <c r="ES93" s="29">
        <f t="shared" si="106"/>
        <v>0.75520306480425281</v>
      </c>
      <c r="ET93" s="113">
        <v>0.75800000000000001</v>
      </c>
      <c r="EU93" s="113">
        <f>+ET93+0.25%</f>
        <v>0.76049999999999995</v>
      </c>
      <c r="EV93" s="29">
        <f t="shared" ref="EV93" si="107">EV74/EV71</f>
        <v>0.75641296936352309</v>
      </c>
      <c r="EW93" s="29"/>
      <c r="EX93" s="29"/>
      <c r="EY93" s="29"/>
      <c r="EZ93" s="29"/>
      <c r="FA93" s="29"/>
      <c r="FB93" s="29"/>
      <c r="FC93" s="29"/>
      <c r="FD93" s="29"/>
      <c r="FE93" s="29">
        <f>FE74/FE71</f>
        <v>0.78487046276769024</v>
      </c>
      <c r="FF93" s="29">
        <f t="shared" ref="FF93" si="108">FF74/FF71</f>
        <v>0.75973312526870596</v>
      </c>
      <c r="FS93" s="88" t="s">
        <v>677</v>
      </c>
      <c r="FT93" s="51">
        <v>0.05</v>
      </c>
    </row>
    <row r="94" spans="2:238" x14ac:dyDescent="0.2">
      <c r="B94" s="15" t="s">
        <v>186</v>
      </c>
      <c r="C94" s="28">
        <v>0.2855581576893052</v>
      </c>
      <c r="D94" s="28">
        <v>0.289221140472879</v>
      </c>
      <c r="E94" s="28">
        <v>0.27419798981137272</v>
      </c>
      <c r="F94" s="28">
        <v>0.28620965590824221</v>
      </c>
      <c r="G94" s="28">
        <v>0.27536830510808208</v>
      </c>
      <c r="H94" s="28">
        <v>0.28927714057081888</v>
      </c>
      <c r="I94" s="28">
        <f t="shared" ref="I94:Q94" si="109">I75/I71</f>
        <v>0.26525087233786548</v>
      </c>
      <c r="J94" s="28">
        <f t="shared" si="109"/>
        <v>0.27613955212028163</v>
      </c>
      <c r="K94" s="28">
        <f t="shared" si="109"/>
        <v>0.26238097637160562</v>
      </c>
      <c r="L94" s="28">
        <f t="shared" si="109"/>
        <v>0.25450612833453495</v>
      </c>
      <c r="M94" s="28">
        <f t="shared" si="109"/>
        <v>0.24322074736058177</v>
      </c>
      <c r="N94" s="28">
        <f t="shared" si="109"/>
        <v>0.16197545696387197</v>
      </c>
      <c r="O94" s="28">
        <f t="shared" si="109"/>
        <v>0.19864570078167607</v>
      </c>
      <c r="P94" s="28">
        <f t="shared" si="109"/>
        <v>0.20323550586541311</v>
      </c>
      <c r="Q94" s="28">
        <f t="shared" si="109"/>
        <v>0.19024410564025659</v>
      </c>
      <c r="R94" s="28">
        <f>R75/R71</f>
        <v>0.19463832487309646</v>
      </c>
      <c r="S94" s="28">
        <f>S75/S71</f>
        <v>0.1845267088813119</v>
      </c>
      <c r="T94" s="28">
        <f>T75/T71</f>
        <v>0.21706856414986603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EL94" s="28"/>
      <c r="EM94" s="28">
        <v>0.3015038747794061</v>
      </c>
      <c r="EN94" s="28">
        <v>0.2874954027215888</v>
      </c>
      <c r="EO94" s="28">
        <v>0.28243343946887067</v>
      </c>
      <c r="EP94" s="28">
        <v>0.27400024467646372</v>
      </c>
      <c r="EQ94" s="28">
        <v>0.27083787651550573</v>
      </c>
      <c r="ER94" s="28">
        <v>0.25664542132384005</v>
      </c>
      <c r="ES94" s="28">
        <f>ES75/ES71</f>
        <v>0.19736134128231064</v>
      </c>
      <c r="ET94" s="28">
        <f>ET75/ET71</f>
        <v>0.19104748462546628</v>
      </c>
      <c r="EU94" s="28">
        <f t="shared" ref="EU94:FE94" si="110">EU75/EU71</f>
        <v>0.20048176478045895</v>
      </c>
      <c r="EV94" s="28">
        <f t="shared" si="110"/>
        <v>0.18925019397615855</v>
      </c>
      <c r="EW94" s="28">
        <f t="shared" si="110"/>
        <v>0.46515147977351001</v>
      </c>
      <c r="EX94" s="28">
        <f t="shared" si="110"/>
        <v>0.16863670158187261</v>
      </c>
      <c r="EY94" s="28">
        <f t="shared" si="110"/>
        <v>0.16455136005646626</v>
      </c>
      <c r="EZ94" s="28">
        <f t="shared" si="110"/>
        <v>0.16249841921123978</v>
      </c>
      <c r="FA94" s="28">
        <f t="shared" si="110"/>
        <v>0.15897565705715799</v>
      </c>
      <c r="FB94" s="28">
        <f t="shared" si="110"/>
        <v>0.1680111236814617</v>
      </c>
      <c r="FC94" s="28">
        <f t="shared" si="110"/>
        <v>0.16212897338195845</v>
      </c>
      <c r="FD94" s="28">
        <f t="shared" si="110"/>
        <v>0.14327935732103186</v>
      </c>
      <c r="FE94" s="28">
        <f t="shared" si="110"/>
        <v>0.16050271762426488</v>
      </c>
      <c r="FF94" s="28">
        <f t="shared" ref="FF94" si="111">FF75/FF71</f>
        <v>0.1503797710227544</v>
      </c>
      <c r="FS94" s="88" t="s">
        <v>287</v>
      </c>
      <c r="FT94" s="51">
        <v>0.01</v>
      </c>
      <c r="FV94" s="103" t="s">
        <v>676</v>
      </c>
    </row>
    <row r="95" spans="2:238" s="17" customFormat="1" x14ac:dyDescent="0.2">
      <c r="B95" s="15" t="s">
        <v>185</v>
      </c>
      <c r="C95" s="28">
        <v>0.33497267759562843</v>
      </c>
      <c r="D95" s="28">
        <v>0.33977746870653686</v>
      </c>
      <c r="E95" s="28">
        <v>0.3208040754509156</v>
      </c>
      <c r="F95" s="28">
        <v>0.33428914377167246</v>
      </c>
      <c r="G95" s="28">
        <v>0.34827206388544679</v>
      </c>
      <c r="H95" s="28">
        <v>0.35769538543611629</v>
      </c>
      <c r="I95" s="28">
        <v>0.33413548309469376</v>
      </c>
      <c r="J95" s="28">
        <v>0.35242098296664276</v>
      </c>
      <c r="K95" s="28">
        <f t="shared" ref="K95:Q95" si="112">K76/K71</f>
        <v>5.40077585772583E-2</v>
      </c>
      <c r="L95" s="28">
        <f t="shared" si="112"/>
        <v>6.6240086517664026E-2</v>
      </c>
      <c r="M95" s="28">
        <f t="shared" si="112"/>
        <v>5.4190213343847202E-2</v>
      </c>
      <c r="N95" s="28">
        <f t="shared" si="112"/>
        <v>5.2175405474984983E-2</v>
      </c>
      <c r="O95" s="28">
        <f t="shared" si="112"/>
        <v>4.9491001636066172E-2</v>
      </c>
      <c r="P95" s="28">
        <f t="shared" si="112"/>
        <v>5.2640494642781518E-2</v>
      </c>
      <c r="Q95" s="28">
        <f t="shared" si="112"/>
        <v>4.0281596267599765E-2</v>
      </c>
      <c r="R95" s="28">
        <f>R76/R71</f>
        <v>4.7906091370558374E-2</v>
      </c>
      <c r="S95" s="28">
        <f>S76/S71</f>
        <v>3.5354765383990905E-2</v>
      </c>
      <c r="T95" s="28">
        <f>T76/T71</f>
        <v>8.7978214081785036E-2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5"/>
      <c r="EL95" s="28"/>
      <c r="EM95" s="28">
        <v>0.34727230875469961</v>
      </c>
      <c r="EN95" s="28">
        <v>0.33751379183523356</v>
      </c>
      <c r="EO95" s="28">
        <v>0.35305873585800418</v>
      </c>
      <c r="EP95" s="28">
        <v>0.34502251241079884</v>
      </c>
      <c r="EQ95" s="28">
        <v>0.33891166000207307</v>
      </c>
      <c r="ER95" s="28">
        <v>0.32326238327340828</v>
      </c>
      <c r="ES95" s="28">
        <f>ES76/ES71</f>
        <v>5.019047414071412E-2</v>
      </c>
      <c r="ET95" s="28">
        <f>ET76/ET71</f>
        <v>4.3855227341465873E-2</v>
      </c>
      <c r="EU95" s="28">
        <f t="shared" ref="EU95:FE95" si="113">EU76/EU71</f>
        <v>6.0727718378903776E-2</v>
      </c>
      <c r="EV95" s="28">
        <f t="shared" si="113"/>
        <v>5.5065716771296229E-2</v>
      </c>
      <c r="EW95" s="28">
        <f t="shared" si="113"/>
        <v>0.13534411301149962</v>
      </c>
      <c r="EX95" s="28">
        <f t="shared" si="113"/>
        <v>4.9067853783668229E-2</v>
      </c>
      <c r="EY95" s="28">
        <f t="shared" si="113"/>
        <v>4.787915085752812E-2</v>
      </c>
      <c r="EZ95" s="28">
        <f t="shared" si="113"/>
        <v>4.7281811130913592E-2</v>
      </c>
      <c r="FA95" s="28">
        <f t="shared" si="113"/>
        <v>4.6256800699200393E-2</v>
      </c>
      <c r="FB95" s="28">
        <f t="shared" si="113"/>
        <v>4.8885830744438225E-2</v>
      </c>
      <c r="FC95" s="28">
        <f t="shared" si="113"/>
        <v>4.7174314282587483E-2</v>
      </c>
      <c r="FD95" s="28">
        <f t="shared" si="113"/>
        <v>4.1689682550112642E-2</v>
      </c>
      <c r="FE95" s="28">
        <f t="shared" si="113"/>
        <v>4.6739708176877046E-2</v>
      </c>
      <c r="FF95" s="28">
        <f t="shared" ref="FF95" si="114">FF76/FF71</f>
        <v>4.2403783379245552E-2</v>
      </c>
      <c r="FS95" s="88" t="s">
        <v>288</v>
      </c>
      <c r="FT95" s="51">
        <v>0.11</v>
      </c>
      <c r="FV95" s="3" t="s">
        <v>672</v>
      </c>
    </row>
    <row r="96" spans="2:238" x14ac:dyDescent="0.2">
      <c r="B96" s="30" t="s">
        <v>1</v>
      </c>
      <c r="C96" s="28">
        <v>0.16963309914129587</v>
      </c>
      <c r="D96" s="28">
        <v>0.17044506258692629</v>
      </c>
      <c r="E96" s="28">
        <v>0.16060856395428885</v>
      </c>
      <c r="F96" s="28">
        <v>0.18138170178714325</v>
      </c>
      <c r="G96" s="28">
        <v>0.16253614209004544</v>
      </c>
      <c r="H96" s="28">
        <v>0.18624966657775407</v>
      </c>
      <c r="I96" s="28">
        <v>0.1539525929491036</v>
      </c>
      <c r="J96" s="28">
        <v>0.18283130835135153</v>
      </c>
      <c r="K96" s="28">
        <f t="shared" ref="K96:Q96" si="115">K77/K71</f>
        <v>0.15431507884528187</v>
      </c>
      <c r="L96" s="28">
        <f t="shared" si="115"/>
        <v>0.15888608507570295</v>
      </c>
      <c r="M96" s="28">
        <f t="shared" si="115"/>
        <v>0.15924124939764314</v>
      </c>
      <c r="N96" s="28">
        <f t="shared" si="115"/>
        <v>0.20381017763666009</v>
      </c>
      <c r="O96" s="28">
        <f t="shared" si="115"/>
        <v>0.18664788220323578</v>
      </c>
      <c r="P96" s="28">
        <f t="shared" si="115"/>
        <v>0.20065218311946809</v>
      </c>
      <c r="Q96" s="28">
        <f t="shared" si="115"/>
        <v>0.18820294926268433</v>
      </c>
      <c r="R96" s="28">
        <f>R77/R71</f>
        <v>0.21240482233502539</v>
      </c>
      <c r="S96" s="28">
        <f>S77/S71</f>
        <v>0.18148238350381554</v>
      </c>
      <c r="T96" s="28">
        <f>T77/T71</f>
        <v>0.24399349936311326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L96" s="28"/>
      <c r="EM96" s="28">
        <v>0.15852067827821684</v>
      </c>
      <c r="EN96" s="28">
        <v>0.17006252298639205</v>
      </c>
      <c r="EO96" s="28">
        <v>0.17458166790867827</v>
      </c>
      <c r="EP96" s="28">
        <v>0.16883613144566781</v>
      </c>
      <c r="EQ96" s="28">
        <v>0.17008854048286479</v>
      </c>
      <c r="ER96" s="28">
        <v>0.16445100677776556</v>
      </c>
      <c r="ES96" s="28">
        <f>ES77/ES71</f>
        <v>0.19036652820523858</v>
      </c>
      <c r="ET96" s="28">
        <f>ET77/ET71</f>
        <v>0.19909265046879726</v>
      </c>
      <c r="EU96" s="28">
        <f t="shared" ref="EU96:FE96" si="116">EU77/EU71</f>
        <v>0.21184972319655157</v>
      </c>
      <c r="EV96" s="28">
        <f t="shared" si="116"/>
        <v>0.19576309045167054</v>
      </c>
      <c r="EW96" s="28">
        <f t="shared" si="116"/>
        <v>0</v>
      </c>
      <c r="EX96" s="28">
        <f t="shared" si="116"/>
        <v>0</v>
      </c>
      <c r="EY96" s="28">
        <f t="shared" si="116"/>
        <v>0</v>
      </c>
      <c r="EZ96" s="28">
        <f t="shared" si="116"/>
        <v>0</v>
      </c>
      <c r="FA96" s="28">
        <f t="shared" si="116"/>
        <v>0</v>
      </c>
      <c r="FB96" s="28">
        <f t="shared" si="116"/>
        <v>0</v>
      </c>
      <c r="FC96" s="28">
        <f t="shared" si="116"/>
        <v>0</v>
      </c>
      <c r="FD96" s="28">
        <f t="shared" si="116"/>
        <v>0</v>
      </c>
      <c r="FE96" s="28">
        <f t="shared" si="116"/>
        <v>0.20837405483257035</v>
      </c>
      <c r="FF96" s="28">
        <f t="shared" ref="FF96" si="117">FF77/FF71</f>
        <v>0.21827677903218101</v>
      </c>
      <c r="FS96" s="114" t="s">
        <v>700</v>
      </c>
      <c r="FT96" s="25">
        <f>NPV(FT95,EX87:IG87)+Main!J5-Main!J6+EW87</f>
        <v>-2814.4145390513331</v>
      </c>
      <c r="FV96" s="3" t="s">
        <v>673</v>
      </c>
    </row>
    <row r="97" spans="2:178" s="17" customFormat="1" x14ac:dyDescent="0.2">
      <c r="B97" s="17" t="s">
        <v>149</v>
      </c>
      <c r="C97" s="29">
        <v>0.22115534738485559</v>
      </c>
      <c r="D97" s="29">
        <v>0.20584144645340752</v>
      </c>
      <c r="E97" s="29">
        <v>0.25478452430125292</v>
      </c>
      <c r="F97" s="29">
        <v>0.21665777540677514</v>
      </c>
      <c r="G97" s="29">
        <v>0.24280600302905136</v>
      </c>
      <c r="H97" s="29">
        <v>0.21599093091491064</v>
      </c>
      <c r="I97" s="29">
        <v>0.26308506798219228</v>
      </c>
      <c r="J97" s="29">
        <v>0.22392567642135672</v>
      </c>
      <c r="K97" s="29">
        <f t="shared" ref="K97:R97" si="118">K80/K71</f>
        <v>0.31734596201319965</v>
      </c>
      <c r="L97" s="29">
        <f t="shared" si="118"/>
        <v>0.29762977649603461</v>
      </c>
      <c r="M97" s="29">
        <f t="shared" si="118"/>
        <v>0.37608971831602928</v>
      </c>
      <c r="N97" s="29">
        <f t="shared" si="118"/>
        <v>0.31931691409937357</v>
      </c>
      <c r="O97" s="29">
        <f t="shared" si="118"/>
        <v>0.31998727504090163</v>
      </c>
      <c r="P97" s="29">
        <f t="shared" si="118"/>
        <v>0.29030618726972429</v>
      </c>
      <c r="Q97" s="29">
        <f t="shared" si="118"/>
        <v>0.33200033325002082</v>
      </c>
      <c r="R97" s="29">
        <f t="shared" si="118"/>
        <v>0.28604854060913704</v>
      </c>
      <c r="S97" s="29">
        <f t="shared" ref="S97:T97" si="119">S80/S71</f>
        <v>0.35541484007144014</v>
      </c>
      <c r="T97" s="29">
        <f t="shared" si="119"/>
        <v>0.20468221548732815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5"/>
      <c r="EL97" s="29"/>
      <c r="EM97" s="29">
        <v>0.20037596869485153</v>
      </c>
      <c r="EN97" s="29">
        <v>0.21305627068775285</v>
      </c>
      <c r="EO97" s="29">
        <v>0.22918501456540885</v>
      </c>
      <c r="EP97" s="29">
        <v>0.2429030652968388</v>
      </c>
      <c r="EQ97" s="29">
        <f>EQ80/EQ71</f>
        <v>0.33571989248590661</v>
      </c>
      <c r="ER97" s="29">
        <f>ER80/ER71</f>
        <v>0.34740857954175969</v>
      </c>
      <c r="ES97" s="29">
        <f>ES80/ES71</f>
        <v>0.31728472117598949</v>
      </c>
      <c r="ET97" s="29">
        <f>ET80/ET71</f>
        <v>0.30613973182780524</v>
      </c>
      <c r="EU97" s="29">
        <f t="shared" ref="EU97:FE97" si="120">EU80/EU71</f>
        <v>0.28185352660271312</v>
      </c>
      <c r="EV97" s="29">
        <f t="shared" si="120"/>
        <v>0.31633396816439774</v>
      </c>
      <c r="EW97" s="29">
        <f t="shared" si="120"/>
        <v>-0.60049559278500964</v>
      </c>
      <c r="EX97" s="29">
        <f t="shared" si="120"/>
        <v>-0.21770455536554084</v>
      </c>
      <c r="EY97" s="29">
        <f t="shared" si="120"/>
        <v>-0.21243051091399437</v>
      </c>
      <c r="EZ97" s="29">
        <f t="shared" si="120"/>
        <v>-0.20978023034215337</v>
      </c>
      <c r="FA97" s="29">
        <f t="shared" si="120"/>
        <v>-0.20523245775635837</v>
      </c>
      <c r="FB97" s="29">
        <f t="shared" si="120"/>
        <v>-0.21689695442589996</v>
      </c>
      <c r="FC97" s="29">
        <f t="shared" si="120"/>
        <v>-0.20930328766454592</v>
      </c>
      <c r="FD97" s="29">
        <f t="shared" si="120"/>
        <v>-0.18496903987114449</v>
      </c>
      <c r="FE97" s="29">
        <f t="shared" si="120"/>
        <v>0.36925398213397803</v>
      </c>
      <c r="FF97" s="29">
        <f t="shared" ref="FF97" si="121">FF80/FF71</f>
        <v>0.34867279183452493</v>
      </c>
      <c r="FS97" s="114" t="s">
        <v>701</v>
      </c>
      <c r="FT97" s="50">
        <f>FT96/Main!J3</f>
        <v>-3.5162468644561966</v>
      </c>
      <c r="FV97" s="3" t="s">
        <v>674</v>
      </c>
    </row>
    <row r="98" spans="2:178" x14ac:dyDescent="0.2">
      <c r="B98" s="15" t="s">
        <v>10</v>
      </c>
      <c r="C98" s="28">
        <v>0.1923497267759563</v>
      </c>
      <c r="D98" s="28">
        <v>0.18463143254520167</v>
      </c>
      <c r="E98" s="28">
        <v>0.23647253201156546</v>
      </c>
      <c r="F98" s="28">
        <v>0.20892237930114696</v>
      </c>
      <c r="G98" s="28">
        <v>0.22924411400247832</v>
      </c>
      <c r="H98" s="28">
        <v>0.20905574819951986</v>
      </c>
      <c r="I98" s="28">
        <v>0.26633377451570206</v>
      </c>
      <c r="J98" s="28">
        <v>0.21662116376542248</v>
      </c>
      <c r="K98" s="28"/>
      <c r="L98" s="28"/>
      <c r="M98" s="28"/>
      <c r="N98" s="28"/>
      <c r="O98" s="28"/>
      <c r="P98" s="28"/>
      <c r="Q98" s="28"/>
      <c r="R98" s="28">
        <f>R83/R71</f>
        <v>0.24175126903553298</v>
      </c>
      <c r="S98" s="28">
        <f>S83/S71</f>
        <v>0.30646208800129893</v>
      </c>
      <c r="T98" s="28">
        <f>T83/T71</f>
        <v>0.15772829094742391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L98" s="28"/>
      <c r="EM98" s="28">
        <v>0.23098438178172287</v>
      </c>
      <c r="EN98" s="28">
        <v>0.18826774549466715</v>
      </c>
      <c r="EO98" s="28">
        <v>0.2189892283720615</v>
      </c>
      <c r="EP98" s="28">
        <v>0.24071284416750166</v>
      </c>
      <c r="EQ98" s="28">
        <v>0.27114359566035856</v>
      </c>
      <c r="ER98" s="28">
        <v>0.30398791565649136</v>
      </c>
      <c r="ES98" s="28">
        <f t="shared" ref="ES98:FE98" si="122">ES83/ES71</f>
        <v>0.32236403159503263</v>
      </c>
      <c r="ET98" s="28">
        <f t="shared" si="122"/>
        <v>0.2725073092045569</v>
      </c>
      <c r="EU98" s="28">
        <f t="shared" si="122"/>
        <v>0.23378269872797194</v>
      </c>
      <c r="EV98" s="28">
        <f t="shared" si="122"/>
        <v>0.27944322964425949</v>
      </c>
      <c r="EW98" s="28">
        <f t="shared" si="122"/>
        <v>-0.60440079388243528</v>
      </c>
      <c r="EX98" s="28">
        <f t="shared" si="122"/>
        <v>-0.2275453339033775</v>
      </c>
      <c r="EY98" s="28">
        <f t="shared" si="122"/>
        <v>-0.23065235802031098</v>
      </c>
      <c r="EZ98" s="28">
        <f t="shared" si="122"/>
        <v>-0.23669937352076836</v>
      </c>
      <c r="FA98" s="28">
        <f t="shared" si="122"/>
        <v>-0.24072251323951199</v>
      </c>
      <c r="FB98" s="28">
        <f t="shared" si="122"/>
        <v>-0.26454797243931771</v>
      </c>
      <c r="FC98" s="28">
        <f t="shared" si="122"/>
        <v>-0.26554935001052543</v>
      </c>
      <c r="FD98" s="28">
        <f t="shared" si="122"/>
        <v>-0.24418560556188507</v>
      </c>
      <c r="FE98" s="28">
        <f t="shared" si="122"/>
        <v>0.35958369768358966</v>
      </c>
      <c r="FF98" s="28">
        <f t="shared" ref="FF98" si="123">FF83/FF71</f>
        <v>0.33671438352892469</v>
      </c>
      <c r="FS98" s="114" t="s">
        <v>702</v>
      </c>
      <c r="FT98" s="104">
        <f>FT97/Main!J2-1</f>
        <v>-1.0123377082963376</v>
      </c>
      <c r="FV98" s="3" t="s">
        <v>675</v>
      </c>
    </row>
    <row r="99" spans="2:178" x14ac:dyDescent="0.2">
      <c r="B99" s="15" t="s">
        <v>11</v>
      </c>
      <c r="C99" s="28">
        <v>0.26704545454545453</v>
      </c>
      <c r="D99" s="28">
        <v>0.24896421845574387</v>
      </c>
      <c r="E99" s="28">
        <v>0.2430858806404658</v>
      </c>
      <c r="F99" s="28">
        <v>0.25853814235556977</v>
      </c>
      <c r="G99" s="28">
        <v>0.24204204204204205</v>
      </c>
      <c r="H99" s="28">
        <v>0.25486443381180224</v>
      </c>
      <c r="I99" s="28">
        <v>0.24734583239213914</v>
      </c>
      <c r="J99" s="28">
        <v>0.25700000000000001</v>
      </c>
      <c r="K99" s="28">
        <f t="shared" ref="K99:R99" si="124">K84/K83</f>
        <v>0.25301204819277107</v>
      </c>
      <c r="L99" s="28">
        <f t="shared" si="124"/>
        <v>0.24658897100625354</v>
      </c>
      <c r="M99" s="28">
        <f t="shared" si="124"/>
        <v>0.23280132085855806</v>
      </c>
      <c r="N99" s="28">
        <f t="shared" si="124"/>
        <v>0.22530864197530864</v>
      </c>
      <c r="O99" s="28">
        <f t="shared" si="124"/>
        <v>0.25570211596592468</v>
      </c>
      <c r="P99" s="28">
        <f t="shared" si="124"/>
        <v>0</v>
      </c>
      <c r="Q99" s="28">
        <f t="shared" si="124"/>
        <v>0.2261760345059981</v>
      </c>
      <c r="R99" s="28">
        <f t="shared" si="124"/>
        <v>0.19553805774278216</v>
      </c>
      <c r="S99" s="28">
        <f t="shared" ref="S99:T99" si="125">S84/S83</f>
        <v>0.23841059602649006</v>
      </c>
      <c r="T99" s="28">
        <f t="shared" si="125"/>
        <v>0.14480646059593427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EL99" s="28"/>
      <c r="EM99" s="28">
        <v>0.2649132500765265</v>
      </c>
      <c r="EN99" s="28">
        <v>0.25766751318616915</v>
      </c>
      <c r="EO99" s="28">
        <v>0.24825986078886311</v>
      </c>
      <c r="EP99" s="28">
        <v>0.25182342708389949</v>
      </c>
      <c r="EQ99" s="28">
        <v>0.27200000000000002</v>
      </c>
      <c r="ER99" s="28">
        <v>0.28000000000000003</v>
      </c>
      <c r="ES99" s="28">
        <f>ES84/ES83</f>
        <v>0.22145813860328481</v>
      </c>
      <c r="ET99" s="28">
        <f>ET84/ET83</f>
        <v>0.21235664076951535</v>
      </c>
      <c r="EU99" s="28">
        <f>EU84/EU83</f>
        <v>0.2096890817064353</v>
      </c>
      <c r="EV99" s="28">
        <f t="shared" ref="EV99:FD99" si="126">EV84/EV83</f>
        <v>0.19697097181320994</v>
      </c>
      <c r="EW99" s="28">
        <f t="shared" si="126"/>
        <v>0.24</v>
      </c>
      <c r="EX99" s="28">
        <f t="shared" si="126"/>
        <v>0.24</v>
      </c>
      <c r="EY99" s="28">
        <f t="shared" si="126"/>
        <v>0.24</v>
      </c>
      <c r="EZ99" s="28">
        <f t="shared" si="126"/>
        <v>0.23999999999999996</v>
      </c>
      <c r="FA99" s="28">
        <f t="shared" si="126"/>
        <v>0.24</v>
      </c>
      <c r="FB99" s="28">
        <f t="shared" si="126"/>
        <v>0.24</v>
      </c>
      <c r="FC99" s="28">
        <f t="shared" si="126"/>
        <v>0.24</v>
      </c>
      <c r="FD99" s="28">
        <f t="shared" si="126"/>
        <v>0.24</v>
      </c>
      <c r="FE99" s="28">
        <f>FE84/FE83</f>
        <v>0.17137135227922945</v>
      </c>
      <c r="FF99" s="28">
        <f t="shared" ref="FF99" si="127">FF84/FF83</f>
        <v>0.14541757306346353</v>
      </c>
      <c r="FN99" s="44"/>
      <c r="FO99" s="44"/>
    </row>
    <row r="100" spans="2:178" s="17" customFormat="1" x14ac:dyDescent="0.2">
      <c r="B100" s="17" t="s">
        <v>20</v>
      </c>
      <c r="C100" s="29">
        <v>0.12782982045277128</v>
      </c>
      <c r="D100" s="29">
        <v>0.12291376912378303</v>
      </c>
      <c r="E100" s="29">
        <v>0.1607462481068429</v>
      </c>
      <c r="F100" s="29">
        <v>0.13510269405174713</v>
      </c>
      <c r="G100" s="29">
        <v>0.15637477626325211</v>
      </c>
      <c r="H100" s="29">
        <v>0.1380034675913577</v>
      </c>
      <c r="I100" s="29">
        <v>0.17350499338226447</v>
      </c>
      <c r="J100" s="29">
        <v>0.1330572899949157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5"/>
      <c r="EL100" s="29"/>
      <c r="EM100" s="29">
        <v>0.17109793967322903</v>
      </c>
      <c r="EN100" s="29">
        <v>0.12522986392055904</v>
      </c>
      <c r="EO100" s="29">
        <v>0.14704288327349097</v>
      </c>
      <c r="EP100" s="29">
        <v>0.15265901938106788</v>
      </c>
      <c r="EQ100" s="29">
        <v>0.16483039249577047</v>
      </c>
      <c r="ER100" s="29">
        <v>0.17561949193815188</v>
      </c>
      <c r="ES100" s="29">
        <f t="shared" ref="ES100:FD100" si="128">ES87/ES71</f>
        <v>0.2106192023760842</v>
      </c>
      <c r="ET100" s="29">
        <f t="shared" si="128"/>
        <v>0.2</v>
      </c>
      <c r="EU100" s="29">
        <f t="shared" si="128"/>
        <v>0.1800067616109538</v>
      </c>
      <c r="EV100" s="29">
        <f t="shared" si="128"/>
        <v>0.21967506054407374</v>
      </c>
      <c r="EW100" s="29">
        <f t="shared" si="128"/>
        <v>-0.45934460335065086</v>
      </c>
      <c r="EX100" s="29">
        <f t="shared" si="128"/>
        <v>-0.17293445376656688</v>
      </c>
      <c r="EY100" s="29">
        <f t="shared" si="128"/>
        <v>-0.17529579209543633</v>
      </c>
      <c r="EZ100" s="29">
        <f t="shared" si="128"/>
        <v>-0.17989152387578397</v>
      </c>
      <c r="FA100" s="29">
        <f t="shared" si="128"/>
        <v>-0.1829491100620291</v>
      </c>
      <c r="FB100" s="29">
        <f t="shared" si="128"/>
        <v>-0.20105645905388148</v>
      </c>
      <c r="FC100" s="29">
        <f t="shared" si="128"/>
        <v>-0.20181750600799933</v>
      </c>
      <c r="FD100" s="29">
        <f t="shared" si="128"/>
        <v>-0.18558106022703266</v>
      </c>
      <c r="FE100" s="29">
        <f>FE87/FE71</f>
        <v>0.28422749172710593</v>
      </c>
      <c r="FF100" s="29">
        <f>FF87/FF71</f>
        <v>0.27130141239789174</v>
      </c>
      <c r="FH100" s="48"/>
      <c r="FI100" s="48"/>
    </row>
    <row r="101" spans="2:178" x14ac:dyDescent="0.2">
      <c r="B101" s="15" t="s">
        <v>7</v>
      </c>
      <c r="C101" s="28">
        <v>0.11280249804839969</v>
      </c>
      <c r="D101" s="28">
        <v>0.11328233657858136</v>
      </c>
      <c r="E101" s="28">
        <v>0.19454770755885997</v>
      </c>
      <c r="F101" s="28">
        <v>0.10089357161909843</v>
      </c>
      <c r="G101" s="28">
        <v>0.18718160539721879</v>
      </c>
      <c r="H101" s="28">
        <v>9.8826353694318483E-2</v>
      </c>
      <c r="I101" s="28">
        <v>0.16827096618938756</v>
      </c>
      <c r="J101" s="28">
        <v>0.13251987160344253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EL101" s="28"/>
      <c r="EM101" s="28">
        <v>-4.0346087028221136E-2</v>
      </c>
      <c r="EN101" s="28">
        <v>0.11305627068775286</v>
      </c>
      <c r="EO101" s="28">
        <v>0.14230065713705034</v>
      </c>
      <c r="EP101" s="28">
        <v>0.15410220583112316</v>
      </c>
      <c r="EQ101" s="28">
        <v>0.16469033218166365</v>
      </c>
      <c r="ER101" s="28">
        <v>0.17550225150897455</v>
      </c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</row>
    <row r="102" spans="2:178" x14ac:dyDescent="0.2">
      <c r="G102" s="23"/>
      <c r="H102" s="23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2:178" s="17" customFormat="1" x14ac:dyDescent="0.2">
      <c r="B103" s="17" t="s">
        <v>184</v>
      </c>
      <c r="C103" s="75" t="s">
        <v>12</v>
      </c>
      <c r="D103" s="75" t="s">
        <v>12</v>
      </c>
      <c r="E103" s="29">
        <v>0.13395784543325528</v>
      </c>
      <c r="F103" s="29">
        <v>4.2837273991655156E-2</v>
      </c>
      <c r="G103" s="75" t="s">
        <v>12</v>
      </c>
      <c r="H103" s="75" t="s">
        <v>12</v>
      </c>
      <c r="I103" s="29">
        <v>0.14429299187663491</v>
      </c>
      <c r="J103" s="29">
        <v>7.3267007224671055E-2</v>
      </c>
      <c r="K103" s="29">
        <f t="shared" ref="K103:T103" si="129">K71/I71-1</f>
        <v>0.19414029599326188</v>
      </c>
      <c r="L103" s="29">
        <f t="shared" si="129"/>
        <v>0.17486367727248653</v>
      </c>
      <c r="M103" s="29">
        <f t="shared" si="129"/>
        <v>0.1500327472416747</v>
      </c>
      <c r="N103" s="29">
        <f t="shared" si="129"/>
        <v>5.0198269646719584E-2</v>
      </c>
      <c r="O103" s="29">
        <f t="shared" si="129"/>
        <v>-3.6053795943400413E-2</v>
      </c>
      <c r="P103" s="29">
        <f t="shared" si="129"/>
        <v>1.3172573586200942E-2</v>
      </c>
      <c r="Q103" s="29">
        <f t="shared" si="129"/>
        <v>9.0983457553172054E-2</v>
      </c>
      <c r="R103" s="29">
        <f t="shared" si="129"/>
        <v>6.7886333799178411E-2</v>
      </c>
      <c r="S103" s="29">
        <f t="shared" si="129"/>
        <v>2.6243439140214875E-2</v>
      </c>
      <c r="T103" s="29">
        <f t="shared" si="129"/>
        <v>-9.7120875634517767E-2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>
        <f t="shared" ref="BP103:BQ103" si="130">BP71/BL71-1</f>
        <v>2.3527361449982021E-3</v>
      </c>
      <c r="BQ103" s="79">
        <f t="shared" si="130"/>
        <v>-1.7546658159196538E-3</v>
      </c>
      <c r="BR103" s="79">
        <f t="shared" ref="BR103:BW103" si="131">BR71/BN71-1</f>
        <v>6.0909583107742193E-2</v>
      </c>
      <c r="BS103" s="79">
        <f t="shared" si="131"/>
        <v>0.1108959690195388</v>
      </c>
      <c r="BT103" s="79">
        <f t="shared" si="131"/>
        <v>9.2236807789272346E-2</v>
      </c>
      <c r="BU103" s="79">
        <f t="shared" si="131"/>
        <v>1.0866091403004097E-2</v>
      </c>
      <c r="BV103" s="79">
        <f t="shared" si="131"/>
        <v>-0.33154716339202173</v>
      </c>
      <c r="BW103" s="79">
        <f t="shared" si="131"/>
        <v>-1.8301378545396929E-2</v>
      </c>
      <c r="BX103" s="79">
        <f t="shared" ref="BX103" si="132">BX71/BT71-1</f>
        <v>-8.5402737981534527E-2</v>
      </c>
      <c r="BY103" s="79">
        <f t="shared" ref="BY103" si="133">BY71/BU71-1</f>
        <v>-0.10322478659500478</v>
      </c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L103" s="29"/>
      <c r="EM103" s="29"/>
      <c r="EN103" s="29">
        <v>4.3121307450318502E-2</v>
      </c>
      <c r="EO103" s="29"/>
      <c r="EP103" s="29">
        <f t="shared" ref="EP103:EQ103" si="134">EP71/EO71-1</f>
        <v>0.20286565950816349</v>
      </c>
      <c r="EQ103" s="29">
        <f t="shared" si="134"/>
        <v>0.18388668299963395</v>
      </c>
      <c r="ER103" s="29">
        <f>ER71/EQ71-1</f>
        <v>9.733355533883592E-2</v>
      </c>
      <c r="ES103" s="29">
        <f>ES71/ER71-1</f>
        <v>7.1532308759456598E-3</v>
      </c>
      <c r="ET103" s="29">
        <f>ET71/ES71-1</f>
        <v>6.7408475561199221E-2</v>
      </c>
      <c r="EU103" s="29">
        <f>EU71/ET71-1</f>
        <v>-4.5750579695533866E-2</v>
      </c>
      <c r="EV103" s="29">
        <f t="shared" ref="EV103:EX103" si="135">EV71/EU71-1</f>
        <v>-0.10131851413599291</v>
      </c>
      <c r="EW103" s="29">
        <f t="shared" si="135"/>
        <v>-0.59721144576896856</v>
      </c>
      <c r="EX103" s="29">
        <f t="shared" si="135"/>
        <v>1.7307220827739185</v>
      </c>
      <c r="EY103" s="29">
        <f t="shared" ref="EY103" si="136">EY71/EX71-1</f>
        <v>1.4578879863189398E-2</v>
      </c>
      <c r="EZ103" s="29">
        <f t="shared" ref="EZ103" si="137">EZ71/EY71-1</f>
        <v>2.5072689730731845E-3</v>
      </c>
      <c r="FA103" s="29">
        <f t="shared" ref="FA103" si="138">FA71/EZ71-1</f>
        <v>1.1937538092936295E-2</v>
      </c>
      <c r="FB103" s="29">
        <f t="shared" ref="FB103" si="139">FB71/FA71-1</f>
        <v>-6.3241188809736393E-2</v>
      </c>
      <c r="FC103" s="29">
        <f t="shared" ref="FC103" si="140">FC71/FB71-1</f>
        <v>2.5917878680383089E-2</v>
      </c>
      <c r="FD103" s="29">
        <f t="shared" ref="FD103" si="141">FD71/FC71-1</f>
        <v>0.12024290623041511</v>
      </c>
      <c r="FE103" s="29">
        <f t="shared" ref="FE103" si="142">FE71/FD71-1</f>
        <v>0.12512298165403091</v>
      </c>
      <c r="FF103" s="29">
        <f t="shared" ref="FF103:FI103" si="143">FF71/FE71-1</f>
        <v>7.6779315192976982E-2</v>
      </c>
      <c r="FG103" s="29">
        <f t="shared" si="143"/>
        <v>-4.0158596200697394E-2</v>
      </c>
      <c r="FH103" s="29">
        <f t="shared" si="143"/>
        <v>-6.0883558121401782E-3</v>
      </c>
      <c r="FI103" s="29">
        <f t="shared" si="143"/>
        <v>2.9059286954199459E-2</v>
      </c>
    </row>
    <row r="104" spans="2:178" s="17" customFormat="1" x14ac:dyDescent="0.2">
      <c r="B104" s="17" t="s">
        <v>336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>
        <v>0.1</v>
      </c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>
        <v>0.14000000000000001</v>
      </c>
      <c r="BU104" s="48"/>
      <c r="BV104" s="79">
        <v>0.09</v>
      </c>
      <c r="BW104" s="79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L104" s="29"/>
      <c r="EM104" s="29"/>
      <c r="EN104" s="29"/>
      <c r="EO104" s="29"/>
      <c r="EP104" s="29"/>
      <c r="EQ104" s="29">
        <v>0.17399999999999999</v>
      </c>
      <c r="ER104" s="29">
        <v>0.10199999999999999</v>
      </c>
      <c r="ES104" s="29">
        <v>5.8999999999999997E-2</v>
      </c>
      <c r="ET104" s="29">
        <v>0.1</v>
      </c>
      <c r="EU104" s="29">
        <v>0</v>
      </c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48"/>
      <c r="FH104" s="29">
        <v>0.01</v>
      </c>
      <c r="FI104" s="29">
        <v>7.0000000000000007E-2</v>
      </c>
    </row>
    <row r="105" spans="2:178" s="17" customFormat="1" x14ac:dyDescent="0.2">
      <c r="B105" s="17" t="s">
        <v>337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>
        <v>0.15</v>
      </c>
      <c r="BU105" s="48"/>
      <c r="BV105" s="79">
        <v>0.1</v>
      </c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79">
        <v>0.02</v>
      </c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L105" s="29"/>
      <c r="EM105" s="29"/>
      <c r="EN105" s="29"/>
      <c r="EO105" s="29"/>
      <c r="EP105" s="29"/>
      <c r="EQ105" s="29"/>
      <c r="ER105" s="29">
        <v>0.114</v>
      </c>
      <c r="ES105" s="29">
        <v>4.7E-2</v>
      </c>
      <c r="ET105" s="29">
        <v>0.11</v>
      </c>
      <c r="EU105" s="29">
        <v>-0.02</v>
      </c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48"/>
      <c r="FH105" s="48"/>
      <c r="FI105" s="79">
        <v>0.08</v>
      </c>
    </row>
    <row r="106" spans="2:178" s="17" customFormat="1" x14ac:dyDescent="0.2">
      <c r="B106" s="17" t="s">
        <v>720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79">
        <v>0.1</v>
      </c>
      <c r="BZ106" s="79">
        <v>7.0000000000000007E-2</v>
      </c>
      <c r="CA106" s="79">
        <v>0.06</v>
      </c>
      <c r="CB106" s="79">
        <v>7.0000000000000007E-2</v>
      </c>
      <c r="CC106" s="79">
        <v>0.1</v>
      </c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48"/>
      <c r="FH106" s="48"/>
      <c r="FI106" s="48"/>
    </row>
    <row r="107" spans="2:178" s="17" customFormat="1" x14ac:dyDescent="0.2">
      <c r="B107" s="17" t="s">
        <v>721</v>
      </c>
      <c r="C107" s="75"/>
      <c r="D107" s="75"/>
      <c r="E107" s="29"/>
      <c r="F107" s="29"/>
      <c r="G107" s="75"/>
      <c r="H107" s="7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79"/>
      <c r="BS107" s="48"/>
      <c r="BT107" s="79"/>
      <c r="BU107" s="48"/>
      <c r="BV107" s="79"/>
      <c r="BW107" s="48"/>
      <c r="BX107" s="48"/>
      <c r="BY107" s="79">
        <v>0.02</v>
      </c>
      <c r="BZ107" s="79">
        <v>-0.06</v>
      </c>
      <c r="CA107" s="79">
        <v>-0.09</v>
      </c>
      <c r="CB107" s="79">
        <v>-0.1</v>
      </c>
      <c r="CC107" s="79">
        <v>-0.02</v>
      </c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48"/>
      <c r="FH107" s="48"/>
      <c r="FI107" s="48"/>
    </row>
    <row r="108" spans="2:178" s="17" customFormat="1" x14ac:dyDescent="0.2">
      <c r="B108" s="17" t="s">
        <v>722</v>
      </c>
      <c r="C108" s="75"/>
      <c r="D108" s="75"/>
      <c r="E108" s="29"/>
      <c r="F108" s="29"/>
      <c r="G108" s="75"/>
      <c r="H108" s="7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79"/>
      <c r="BS108" s="48"/>
      <c r="BT108" s="79"/>
      <c r="BU108" s="48"/>
      <c r="BV108" s="79"/>
      <c r="BW108" s="48"/>
      <c r="BX108" s="48"/>
      <c r="BY108" s="79">
        <v>0.05</v>
      </c>
      <c r="BZ108" s="79">
        <v>0.08</v>
      </c>
      <c r="CA108" s="79">
        <v>0.12</v>
      </c>
      <c r="CB108" s="79">
        <v>0.04</v>
      </c>
      <c r="CC108" s="79">
        <v>0.14000000000000001</v>
      </c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48"/>
      <c r="FH108" s="48"/>
      <c r="FI108" s="48"/>
    </row>
    <row r="109" spans="2:178" s="17" customFormat="1" x14ac:dyDescent="0.2">
      <c r="B109" s="3" t="s">
        <v>697</v>
      </c>
      <c r="C109" s="75"/>
      <c r="D109" s="75"/>
      <c r="E109" s="29"/>
      <c r="F109" s="29"/>
      <c r="G109" s="75"/>
      <c r="H109" s="7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79"/>
      <c r="BS109" s="48"/>
      <c r="BT109" s="79"/>
      <c r="BU109" s="48"/>
      <c r="BV109" s="79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L109" s="29"/>
      <c r="EM109" s="29"/>
      <c r="EN109" s="29"/>
      <c r="EO109" s="29"/>
      <c r="EP109" s="29"/>
      <c r="EQ109" s="29"/>
      <c r="ER109" s="81">
        <f t="shared" ref="ER109:FF109" si="144">ER6/EQ6-1</f>
        <v>6.8937921573110739E-2</v>
      </c>
      <c r="ES109" s="81">
        <f t="shared" si="144"/>
        <v>3.2727272727272716E-2</v>
      </c>
      <c r="ET109" s="81">
        <f t="shared" si="144"/>
        <v>4.1321458160729074E-2</v>
      </c>
      <c r="EU109" s="81">
        <f t="shared" si="144"/>
        <v>3.5803083043262074E-2</v>
      </c>
      <c r="EV109" s="81">
        <f t="shared" si="144"/>
        <v>-6.5098415746519422E-2</v>
      </c>
      <c r="EW109" s="81">
        <f t="shared" si="144"/>
        <v>-1</v>
      </c>
      <c r="EX109" s="81" t="e">
        <f t="shared" si="144"/>
        <v>#DIV/0!</v>
      </c>
      <c r="EY109" s="81" t="e">
        <f t="shared" si="144"/>
        <v>#DIV/0!</v>
      </c>
      <c r="EZ109" s="81" t="e">
        <f t="shared" si="144"/>
        <v>#DIV/0!</v>
      </c>
      <c r="FA109" s="81" t="e">
        <f t="shared" si="144"/>
        <v>#DIV/0!</v>
      </c>
      <c r="FB109" s="81" t="e">
        <f t="shared" si="144"/>
        <v>#DIV/0!</v>
      </c>
      <c r="FC109" s="81">
        <f t="shared" si="144"/>
        <v>6.6230648232469491E-2</v>
      </c>
      <c r="FD109" s="81">
        <f t="shared" si="144"/>
        <v>5.5128503765820014E-3</v>
      </c>
      <c r="FE109" s="81">
        <f t="shared" si="144"/>
        <v>6.4942084942084977E-2</v>
      </c>
      <c r="FF109" s="81">
        <f t="shared" si="144"/>
        <v>0.2877963889493147</v>
      </c>
      <c r="FH109" s="48"/>
      <c r="FI109" s="48"/>
    </row>
    <row r="110" spans="2:178" s="3" customFormat="1" x14ac:dyDescent="0.2">
      <c r="B110" s="3" t="s">
        <v>338</v>
      </c>
      <c r="C110" s="80"/>
      <c r="D110" s="80"/>
      <c r="E110" s="81"/>
      <c r="F110" s="81"/>
      <c r="G110" s="80"/>
      <c r="H110" s="80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82"/>
      <c r="BS110" s="52"/>
      <c r="BT110" s="82">
        <v>0.1</v>
      </c>
      <c r="BU110" s="52"/>
      <c r="BV110" s="82">
        <v>0.09</v>
      </c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L110" s="81"/>
      <c r="EM110" s="81"/>
      <c r="EN110" s="81"/>
      <c r="EO110" s="81"/>
      <c r="EP110" s="81"/>
      <c r="EQ110" s="81"/>
      <c r="ER110" s="81">
        <v>5.6000000000000001E-2</v>
      </c>
      <c r="ES110" s="81">
        <v>0.105</v>
      </c>
      <c r="ET110" s="81">
        <v>0.09</v>
      </c>
      <c r="EU110" s="81">
        <v>0.08</v>
      </c>
      <c r="EV110" s="81"/>
      <c r="EW110" s="81"/>
      <c r="EX110" s="81"/>
      <c r="EY110" s="81"/>
      <c r="EZ110" s="81"/>
      <c r="FA110" s="81"/>
      <c r="FB110" s="81"/>
      <c r="FC110" s="81"/>
      <c r="FD110" s="81"/>
      <c r="FE110" s="81"/>
      <c r="FF110" s="52"/>
      <c r="FH110" s="52"/>
      <c r="FI110" s="52"/>
    </row>
    <row r="111" spans="2:178" x14ac:dyDescent="0.2">
      <c r="B111" s="15" t="s">
        <v>187</v>
      </c>
      <c r="C111" s="74" t="s">
        <v>12</v>
      </c>
      <c r="D111" s="74" t="s">
        <v>12</v>
      </c>
      <c r="E111" s="28">
        <v>8.8846364133406297E-2</v>
      </c>
      <c r="F111" s="28">
        <v>3.1978841067564323E-2</v>
      </c>
      <c r="G111" s="74" t="s">
        <v>12</v>
      </c>
      <c r="H111" s="74" t="s">
        <v>12</v>
      </c>
      <c r="I111" s="28">
        <v>0.10224999999999995</v>
      </c>
      <c r="J111" s="28">
        <v>6.1689216876127606E-2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L111" s="28"/>
      <c r="EM111" s="28"/>
      <c r="EN111" s="28">
        <v>-5.3441913729481705E-3</v>
      </c>
      <c r="EO111" s="28"/>
      <c r="EP111" s="28">
        <f t="shared" ref="EP111:ER113" si="145">EP75/EO75-1</f>
        <v>0.14020148716718639</v>
      </c>
      <c r="EQ111" s="28">
        <f t="shared" si="145"/>
        <v>0.14189544546123911</v>
      </c>
      <c r="ER111" s="28">
        <f t="shared" si="145"/>
        <v>-0.14084377302873985</v>
      </c>
      <c r="ES111" s="28">
        <v>0.10866670124251376</v>
      </c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</row>
    <row r="112" spans="2:178" s="17" customFormat="1" x14ac:dyDescent="0.2">
      <c r="B112" s="15" t="s">
        <v>188</v>
      </c>
      <c r="C112" s="75" t="s">
        <v>12</v>
      </c>
      <c r="D112" s="75" t="s">
        <v>12</v>
      </c>
      <c r="E112" s="29">
        <v>8.599394080633882E-2</v>
      </c>
      <c r="F112" s="29">
        <v>2.5992632009824046E-2</v>
      </c>
      <c r="G112" s="75" t="s">
        <v>12</v>
      </c>
      <c r="H112" s="75" t="s">
        <v>12</v>
      </c>
      <c r="I112" s="29">
        <v>9.7845423996837377E-2</v>
      </c>
      <c r="J112" s="29">
        <v>5.8237668615354954E-2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5"/>
      <c r="EL112" s="28"/>
      <c r="EM112" s="28"/>
      <c r="EN112" s="28">
        <v>1.3809102960671726E-2</v>
      </c>
      <c r="EO112" s="28"/>
      <c r="EP112" s="28">
        <f t="shared" si="145"/>
        <v>0.10743405275779372</v>
      </c>
      <c r="EQ112" s="28">
        <f t="shared" si="145"/>
        <v>0.10090948462537885</v>
      </c>
      <c r="ER112" s="28">
        <f t="shared" si="145"/>
        <v>-3.5011801730920555E-2</v>
      </c>
      <c r="ES112" s="29">
        <v>0.11175549765689508</v>
      </c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48"/>
      <c r="FH112" s="48"/>
      <c r="FI112" s="48"/>
    </row>
    <row r="113" spans="2:165" s="17" customFormat="1" x14ac:dyDescent="0.2">
      <c r="B113" s="30" t="s">
        <v>189</v>
      </c>
      <c r="C113" s="75" t="s">
        <v>12</v>
      </c>
      <c r="D113" s="75" t="s">
        <v>12</v>
      </c>
      <c r="E113" s="29">
        <v>7.3630924988495217E-2</v>
      </c>
      <c r="F113" s="29">
        <v>0.1097511219910241</v>
      </c>
      <c r="G113" s="75" t="s">
        <v>12</v>
      </c>
      <c r="H113" s="75" t="s">
        <v>12</v>
      </c>
      <c r="I113" s="29">
        <v>8.3862770012706589E-2</v>
      </c>
      <c r="J113" s="29">
        <v>5.0101322750746524E-2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5"/>
      <c r="EL113" s="28"/>
      <c r="EM113" s="28"/>
      <c r="EN113" s="28">
        <v>0.11907066795740562</v>
      </c>
      <c r="EO113" s="28"/>
      <c r="EP113" s="28">
        <f t="shared" si="145"/>
        <v>0.10690725649980592</v>
      </c>
      <c r="EQ113" s="28">
        <f t="shared" si="145"/>
        <v>0.15495179666958814</v>
      </c>
      <c r="ER113" s="28">
        <f t="shared" si="145"/>
        <v>0.2725755046289271</v>
      </c>
      <c r="ES113" s="29">
        <v>0.11157806678724591</v>
      </c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48"/>
      <c r="FH113" s="48"/>
      <c r="FI113" s="48"/>
    </row>
    <row r="114" spans="2:165" s="17" customFormat="1" x14ac:dyDescent="0.2">
      <c r="B114" s="17" t="s">
        <v>149</v>
      </c>
      <c r="C114" s="74" t="s">
        <v>12</v>
      </c>
      <c r="D114" s="74" t="s">
        <v>12</v>
      </c>
      <c r="E114" s="29">
        <v>0.3063889869396399</v>
      </c>
      <c r="F114" s="29">
        <v>9.763513513513522E-2</v>
      </c>
      <c r="G114" s="74" t="s">
        <v>12</v>
      </c>
      <c r="H114" s="74" t="s">
        <v>12</v>
      </c>
      <c r="I114" s="29">
        <v>0.23986390700311877</v>
      </c>
      <c r="J114" s="29">
        <v>0.10487106107533983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5"/>
      <c r="EL114" s="29"/>
      <c r="EM114" s="29"/>
      <c r="EN114" s="29">
        <v>0.10913268236645601</v>
      </c>
      <c r="EO114" s="29"/>
      <c r="EP114" s="29">
        <f>EP80/EP71</f>
        <v>0.28534820196558813</v>
      </c>
      <c r="EQ114" s="29"/>
      <c r="ER114" s="29"/>
      <c r="ES114" s="29">
        <f>ES80/ER80-1</f>
        <v>-8.0177200973357454E-2</v>
      </c>
      <c r="ET114" s="29">
        <f>ET80/ES80-1</f>
        <v>2.9914529914529808E-2</v>
      </c>
      <c r="EU114" s="29">
        <f>EU80/ET80-1</f>
        <v>-0.12145162352631234</v>
      </c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48"/>
      <c r="FH114" s="48"/>
      <c r="FI114" s="48"/>
    </row>
    <row r="115" spans="2:165" x14ac:dyDescent="0.2">
      <c r="B115" s="15" t="s">
        <v>194</v>
      </c>
      <c r="C115" s="74" t="s">
        <v>12</v>
      </c>
      <c r="D115" s="74" t="s">
        <v>12</v>
      </c>
      <c r="E115" s="28">
        <v>0.5</v>
      </c>
      <c r="F115" s="28">
        <v>-0.38461538461538458</v>
      </c>
      <c r="G115" s="74" t="s">
        <v>12</v>
      </c>
      <c r="H115" s="74" t="s">
        <v>12</v>
      </c>
      <c r="I115" s="28" t="s">
        <v>22</v>
      </c>
      <c r="J115" s="28">
        <v>0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L115" s="28"/>
      <c r="EM115" s="28"/>
      <c r="EN115" s="28">
        <v>0.18918918918918926</v>
      </c>
      <c r="EO115" s="28"/>
      <c r="EP115" s="28">
        <v>-0.62790697674418605</v>
      </c>
      <c r="EQ115" s="28">
        <v>0</v>
      </c>
      <c r="ER115" s="28">
        <v>0</v>
      </c>
      <c r="ES115" s="28">
        <v>0</v>
      </c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</row>
    <row r="116" spans="2:165" x14ac:dyDescent="0.2">
      <c r="B116" s="15" t="s">
        <v>14</v>
      </c>
      <c r="C116" s="74" t="s">
        <v>12</v>
      </c>
      <c r="D116" s="74" t="s">
        <v>12</v>
      </c>
      <c r="E116" s="28">
        <v>-0.31908831908831914</v>
      </c>
      <c r="F116" s="28">
        <v>-0.64157706093189959</v>
      </c>
      <c r="G116" s="74" t="s">
        <v>12</v>
      </c>
      <c r="H116" s="74" t="s">
        <v>12</v>
      </c>
      <c r="I116" s="28" t="s">
        <v>12</v>
      </c>
      <c r="J116" s="28">
        <v>-0.58432078257659692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EL116" s="28"/>
      <c r="EM116" s="28"/>
      <c r="EN116" s="28">
        <v>-1.7546366171712531</v>
      </c>
      <c r="EO116" s="28"/>
      <c r="EP116" s="28">
        <v>-0.77084256183093414</v>
      </c>
      <c r="EQ116" s="28">
        <v>-0.74361496486317979</v>
      </c>
      <c r="ER116" s="28">
        <v>-2.1573365350255624</v>
      </c>
      <c r="ES116" s="28">
        <v>1.8537461678109746</v>
      </c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</row>
    <row r="117" spans="2:165" x14ac:dyDescent="0.2">
      <c r="B117" s="15" t="s">
        <v>15</v>
      </c>
      <c r="C117" s="74" t="s">
        <v>12</v>
      </c>
      <c r="D117" s="74" t="s">
        <v>12</v>
      </c>
      <c r="E117" s="28">
        <v>0.39407467532467533</v>
      </c>
      <c r="F117" s="28">
        <v>0.18003766478342742</v>
      </c>
      <c r="G117" s="74" t="s">
        <v>12</v>
      </c>
      <c r="H117" s="74" t="s">
        <v>12</v>
      </c>
      <c r="I117" s="28">
        <v>0.32942942942942932</v>
      </c>
      <c r="J117" s="28">
        <v>0.13307229097301021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L117" s="28"/>
      <c r="EM117" s="28"/>
      <c r="EN117" s="28">
        <v>-0.1497862525757121</v>
      </c>
      <c r="EO117" s="28"/>
      <c r="EP117" s="28">
        <v>0.27706643758613492</v>
      </c>
      <c r="EQ117" s="28">
        <v>0.2896293957283107</v>
      </c>
      <c r="ER117" s="28">
        <v>0.33935179791748182</v>
      </c>
      <c r="ES117" s="28">
        <v>0.22525526811705765</v>
      </c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</row>
    <row r="118" spans="2:165" x14ac:dyDescent="0.2">
      <c r="B118" s="15" t="s">
        <v>4</v>
      </c>
      <c r="C118" s="74" t="s">
        <v>12</v>
      </c>
      <c r="D118" s="74" t="s">
        <v>12</v>
      </c>
      <c r="E118" s="28">
        <v>0.47708894878706198</v>
      </c>
      <c r="F118" s="28">
        <v>0.25667351129363447</v>
      </c>
      <c r="G118" s="74" t="s">
        <v>12</v>
      </c>
      <c r="H118" s="74" t="s">
        <v>12</v>
      </c>
      <c r="I118" s="28">
        <v>0.69465648854961826</v>
      </c>
      <c r="J118" s="28">
        <v>-0.10639136046998865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EL118" s="28"/>
      <c r="EM118" s="28"/>
      <c r="EN118" s="28">
        <v>-13.617647058823529</v>
      </c>
      <c r="EO118" s="28"/>
      <c r="EP118" s="28">
        <v>0.75939385108773849</v>
      </c>
      <c r="EQ118" s="28">
        <v>0.35668583556657008</v>
      </c>
      <c r="ER118" s="28">
        <v>0.5843113747061166</v>
      </c>
      <c r="ES118" s="28">
        <v>0.29449709369533661</v>
      </c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</row>
    <row r="119" spans="2:165" s="17" customFormat="1" x14ac:dyDescent="0.2">
      <c r="B119" s="17" t="s">
        <v>20</v>
      </c>
      <c r="C119" s="74" t="s">
        <v>12</v>
      </c>
      <c r="D119" s="74" t="s">
        <v>12</v>
      </c>
      <c r="E119" s="29">
        <v>0.42595419847328242</v>
      </c>
      <c r="F119" s="29">
        <v>0.14625176803394635</v>
      </c>
      <c r="G119" s="74" t="s">
        <v>12</v>
      </c>
      <c r="H119" s="74" t="s">
        <v>12</v>
      </c>
      <c r="I119" s="29">
        <v>0.26964560862865938</v>
      </c>
      <c r="J119" s="29">
        <v>0.14267721422019086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5"/>
      <c r="EL119" s="29"/>
      <c r="EM119" s="29"/>
      <c r="EN119" s="29">
        <v>-0.23651950669819721</v>
      </c>
      <c r="EO119" s="29"/>
      <c r="EP119" s="29">
        <v>0.20618920887528391</v>
      </c>
      <c r="EQ119" s="29">
        <v>0.23617416138624936</v>
      </c>
      <c r="ER119" s="29">
        <v>0.27283796353628231</v>
      </c>
      <c r="ES119" s="29">
        <v>0.19103888723838436</v>
      </c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48"/>
      <c r="FH119" s="48"/>
      <c r="FI119" s="48"/>
    </row>
    <row r="120" spans="2:165" x14ac:dyDescent="0.2">
      <c r="B120" s="15" t="s">
        <v>16</v>
      </c>
      <c r="C120" s="74" t="s">
        <v>12</v>
      </c>
      <c r="D120" s="74" t="s">
        <v>12</v>
      </c>
      <c r="E120" s="28">
        <v>0.95570934256055362</v>
      </c>
      <c r="F120" s="28">
        <v>-7.1209330877839205E-2</v>
      </c>
      <c r="G120" s="74" t="s">
        <v>12</v>
      </c>
      <c r="H120" s="74" t="s">
        <v>12</v>
      </c>
      <c r="I120" s="28">
        <v>2.8687017285766725E-2</v>
      </c>
      <c r="J120" s="28">
        <v>0.15407772178764811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L120" s="28"/>
      <c r="EM120" s="28"/>
      <c r="EN120" s="28">
        <v>-3.9229948572900177</v>
      </c>
      <c r="EO120" s="28"/>
      <c r="EP120" s="28">
        <v>0.25816885401752154</v>
      </c>
      <c r="EQ120" s="28">
        <v>0.22355666613924408</v>
      </c>
      <c r="ER120" s="28">
        <v>0.27306999762332884</v>
      </c>
      <c r="ES120" s="28">
        <v>0.19116650657623802</v>
      </c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</row>
    <row r="121" spans="2:165" s="17" customFormat="1" x14ac:dyDescent="0.2">
      <c r="B121" s="17" t="s">
        <v>21</v>
      </c>
      <c r="C121" s="74" t="s">
        <v>12</v>
      </c>
      <c r="D121" s="74" t="s">
        <v>12</v>
      </c>
      <c r="E121" s="29">
        <v>0.43022323214667901</v>
      </c>
      <c r="F121" s="29">
        <v>0.14014903871339501</v>
      </c>
      <c r="G121" s="74" t="s">
        <v>12</v>
      </c>
      <c r="H121" s="74" t="s">
        <v>12</v>
      </c>
      <c r="I121" s="29">
        <v>0.27343782401471151</v>
      </c>
      <c r="J121" s="29">
        <v>0.14267721422019086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5"/>
      <c r="EL121" s="29"/>
      <c r="EM121" s="29"/>
      <c r="EN121" s="29">
        <v>-0.25468420970839167</v>
      </c>
      <c r="EO121" s="29"/>
      <c r="EP121" s="29">
        <v>0.20838607586445579</v>
      </c>
      <c r="EQ121" s="29">
        <v>0.23617416138624936</v>
      </c>
      <c r="ER121" s="29">
        <v>0.27283796353628231</v>
      </c>
      <c r="ES121" s="29">
        <f>ES88/ER88-1</f>
        <v>-0.13535960417034809</v>
      </c>
      <c r="ET121" s="29">
        <f>ET88/ES88-1</f>
        <v>1.3590844062947083E-2</v>
      </c>
      <c r="EU121" s="29">
        <f>EU88/ET88-1</f>
        <v>-0.14114326040931557</v>
      </c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48"/>
      <c r="FH121" s="48"/>
      <c r="FI121" s="48"/>
    </row>
    <row r="122" spans="2:165" x14ac:dyDescent="0.2">
      <c r="B122" s="15" t="s">
        <v>42</v>
      </c>
      <c r="C122" s="74" t="s">
        <v>12</v>
      </c>
      <c r="D122" s="74" t="s">
        <v>12</v>
      </c>
      <c r="E122" s="28"/>
      <c r="F122" s="28"/>
      <c r="G122" s="74" t="s">
        <v>12</v>
      </c>
      <c r="H122" s="74" t="s">
        <v>12</v>
      </c>
      <c r="I122" s="28">
        <v>0.30643115658155562</v>
      </c>
      <c r="J122" s="28">
        <v>0.17124789823043063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EL122" s="28"/>
      <c r="EM122" s="28"/>
      <c r="EN122" s="28"/>
      <c r="EO122" s="28"/>
      <c r="EP122" s="28">
        <v>0.24010160092268173</v>
      </c>
      <c r="EQ122" s="28">
        <v>0.22959823690009884</v>
      </c>
      <c r="ER122" s="28">
        <v>0.26006430673578218</v>
      </c>
      <c r="ES122" s="28">
        <v>0.18389813893782847</v>
      </c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</row>
    <row r="123" spans="2:165" x14ac:dyDescent="0.2">
      <c r="B123" s="15" t="s">
        <v>17</v>
      </c>
      <c r="C123" s="74" t="s">
        <v>12</v>
      </c>
      <c r="D123" s="74" t="s">
        <v>12</v>
      </c>
      <c r="E123" s="28">
        <v>0.94492985420368969</v>
      </c>
      <c r="F123" s="28">
        <v>-8.0257132892308958E-2</v>
      </c>
      <c r="G123" s="74" t="s">
        <v>12</v>
      </c>
      <c r="H123" s="74" t="s">
        <v>12</v>
      </c>
      <c r="I123" s="28">
        <v>2.6696798876403083E-2</v>
      </c>
      <c r="J123" s="28">
        <v>0.15339148720865947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EL123" s="28"/>
      <c r="EM123" s="28"/>
      <c r="EN123" s="28">
        <v>-3.885011675710488</v>
      </c>
      <c r="EO123" s="28"/>
      <c r="EP123" s="28">
        <v>0.25609102568827624</v>
      </c>
      <c r="EQ123" s="28">
        <v>0.22332428171071594</v>
      </c>
      <c r="ER123" s="28">
        <v>0.27283796353628231</v>
      </c>
      <c r="ES123" s="28">
        <v>0.19103888723838436</v>
      </c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</row>
    <row r="124" spans="2:165" x14ac:dyDescent="0.2">
      <c r="C124" s="44"/>
      <c r="D124" s="44"/>
      <c r="E124" s="44"/>
      <c r="F124" s="4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</row>
    <row r="125" spans="2:165" x14ac:dyDescent="0.2">
      <c r="B125" s="3" t="s">
        <v>483</v>
      </c>
      <c r="E125" s="44"/>
      <c r="F125" s="44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</row>
    <row r="126" spans="2:165" s="26" customFormat="1" x14ac:dyDescent="0.2">
      <c r="B126" s="17" t="s">
        <v>138</v>
      </c>
      <c r="C126" s="24"/>
      <c r="D126" s="24"/>
      <c r="E126" s="24"/>
      <c r="F126" s="24"/>
      <c r="G126" s="24"/>
      <c r="H126" s="2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8"/>
      <c r="AX126" s="48"/>
      <c r="AY126" s="48"/>
      <c r="AZ126" s="48"/>
      <c r="BA126" s="48"/>
      <c r="BB126" s="79">
        <f t="shared" ref="BB126:CC126" si="146">BB20/AX20-1</f>
        <v>0.18797953964194369</v>
      </c>
      <c r="BC126" s="79">
        <f t="shared" si="146"/>
        <v>0.20546318289786214</v>
      </c>
      <c r="BD126" s="79">
        <f t="shared" si="146"/>
        <v>0.20113636363636367</v>
      </c>
      <c r="BE126" s="79">
        <f t="shared" si="146"/>
        <v>0.31922196796338675</v>
      </c>
      <c r="BF126" s="79">
        <f t="shared" si="146"/>
        <v>0.23358449946178683</v>
      </c>
      <c r="BG126" s="79">
        <f t="shared" si="146"/>
        <v>0.18423645320197046</v>
      </c>
      <c r="BH126" s="79">
        <f t="shared" si="146"/>
        <v>0.11352885525070966</v>
      </c>
      <c r="BI126" s="79">
        <f t="shared" si="146"/>
        <v>0.1396357328707718</v>
      </c>
      <c r="BJ126" s="79">
        <f t="shared" si="146"/>
        <v>0.14223385689354284</v>
      </c>
      <c r="BK126" s="79">
        <f t="shared" si="146"/>
        <v>0.16056572379367728</v>
      </c>
      <c r="BL126" s="79">
        <f t="shared" si="146"/>
        <v>0.1724723874256584</v>
      </c>
      <c r="BM126" s="79">
        <f t="shared" si="146"/>
        <v>8.9802130898021248E-2</v>
      </c>
      <c r="BN126" s="79">
        <f t="shared" si="146"/>
        <v>7.4866310160427885E-2</v>
      </c>
      <c r="BO126" s="79">
        <f t="shared" si="146"/>
        <v>4.6594982078853153E-2</v>
      </c>
      <c r="BP126" s="79">
        <f t="shared" si="146"/>
        <v>6.6666666666666652E-2</v>
      </c>
      <c r="BQ126" s="79">
        <f t="shared" si="146"/>
        <v>0.1061452513966481</v>
      </c>
      <c r="BR126" s="79">
        <f t="shared" si="146"/>
        <v>5.2594171997156991E-2</v>
      </c>
      <c r="BS126" s="79">
        <f t="shared" si="146"/>
        <v>0.10753424657534238</v>
      </c>
      <c r="BT126" s="79">
        <f t="shared" si="146"/>
        <v>2.4456521739130377E-2</v>
      </c>
      <c r="BU126" s="79">
        <f t="shared" si="146"/>
        <v>-6.5025252525252486E-2</v>
      </c>
      <c r="BV126" s="79">
        <f t="shared" si="146"/>
        <v>8.4402430790006644E-2</v>
      </c>
      <c r="BW126" s="79">
        <f t="shared" si="146"/>
        <v>4.8237476808905333E-2</v>
      </c>
      <c r="BX126" s="79">
        <f t="shared" si="146"/>
        <v>7.9575596816976457E-3</v>
      </c>
      <c r="BY126" s="79">
        <f t="shared" si="146"/>
        <v>3.6461850101283E-2</v>
      </c>
      <c r="BZ126" s="79">
        <f t="shared" si="146"/>
        <v>-3.1133250311332517E-2</v>
      </c>
      <c r="CA126" s="79">
        <f t="shared" si="146"/>
        <v>-0.11504424778761058</v>
      </c>
      <c r="CB126" s="79">
        <f t="shared" si="146"/>
        <v>-0.10460526315789476</v>
      </c>
      <c r="CC126" s="79">
        <f t="shared" si="146"/>
        <v>3.4527687296416865E-2</v>
      </c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1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6"/>
      <c r="FG126" s="16"/>
      <c r="FH126" s="46"/>
      <c r="FI126" s="46"/>
    </row>
    <row r="127" spans="2:165" s="26" customFormat="1" x14ac:dyDescent="0.2">
      <c r="B127" s="17" t="s">
        <v>24</v>
      </c>
      <c r="C127" s="24"/>
      <c r="D127" s="24"/>
      <c r="E127" s="24"/>
      <c r="F127" s="24"/>
      <c r="G127" s="24"/>
      <c r="H127" s="2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8"/>
      <c r="AX127" s="48"/>
      <c r="AY127" s="48"/>
      <c r="AZ127" s="48"/>
      <c r="BA127" s="48"/>
      <c r="BB127" s="79">
        <f t="shared" ref="BB127:CC127" si="147">BB18/AX18-1</f>
        <v>0.19207317073170738</v>
      </c>
      <c r="BC127" s="79">
        <f t="shared" si="147"/>
        <v>0.2921348314606742</v>
      </c>
      <c r="BD127" s="79">
        <f t="shared" si="147"/>
        <v>0.58445040214477206</v>
      </c>
      <c r="BE127" s="79">
        <f t="shared" si="147"/>
        <v>0.86387535984716535</v>
      </c>
      <c r="BF127" s="79">
        <f t="shared" si="147"/>
        <v>1.2020460358056266</v>
      </c>
      <c r="BG127" s="79">
        <f t="shared" si="147"/>
        <v>1.0695652173913044</v>
      </c>
      <c r="BH127" s="79">
        <f t="shared" si="147"/>
        <v>0.7072758037225042</v>
      </c>
      <c r="BI127" s="79">
        <f t="shared" si="147"/>
        <v>0.56960227272727271</v>
      </c>
      <c r="BJ127" s="79">
        <f t="shared" si="147"/>
        <v>0.35656213704994189</v>
      </c>
      <c r="BK127" s="79">
        <f t="shared" si="147"/>
        <v>0.27521008403361336</v>
      </c>
      <c r="BL127" s="79">
        <f t="shared" si="147"/>
        <v>0.19821605550049548</v>
      </c>
      <c r="BM127" s="79">
        <f t="shared" si="147"/>
        <v>0.14117647058823524</v>
      </c>
      <c r="BN127" s="79">
        <f t="shared" si="147"/>
        <v>4.8801369863013644E-2</v>
      </c>
      <c r="BO127" s="79">
        <f t="shared" si="147"/>
        <v>2.883031301482708E-2</v>
      </c>
      <c r="BP127" s="79">
        <f t="shared" si="147"/>
        <v>7.1133167907361461E-2</v>
      </c>
      <c r="BQ127" s="79">
        <f t="shared" si="147"/>
        <v>4.9167327517843029E-2</v>
      </c>
      <c r="BR127" s="79">
        <f t="shared" si="147"/>
        <v>6.6938775510203996E-2</v>
      </c>
      <c r="BS127" s="79">
        <f t="shared" si="147"/>
        <v>7.125700560448367E-2</v>
      </c>
      <c r="BT127" s="79">
        <f t="shared" si="147"/>
        <v>2.4710424710424617E-2</v>
      </c>
      <c r="BU127" s="79">
        <f t="shared" si="147"/>
        <v>-2.1919879062736181E-2</v>
      </c>
      <c r="BV127" s="79">
        <f t="shared" si="147"/>
        <v>8.4162203519510426E-2</v>
      </c>
      <c r="BW127" s="79">
        <f t="shared" si="147"/>
        <v>3.811659192825112E-2</v>
      </c>
      <c r="BX127" s="79">
        <f t="shared" si="147"/>
        <v>2.2607385079125741E-2</v>
      </c>
      <c r="BY127" s="79">
        <f t="shared" si="147"/>
        <v>-2.1638330757341562E-2</v>
      </c>
      <c r="BZ127" s="79">
        <f t="shared" si="147"/>
        <v>-2.1877205363443841E-2</v>
      </c>
      <c r="CA127" s="79">
        <f t="shared" si="147"/>
        <v>-4.2476601871850206E-2</v>
      </c>
      <c r="CB127" s="79">
        <f t="shared" si="147"/>
        <v>-0.12380250552689753</v>
      </c>
      <c r="CC127" s="79">
        <f t="shared" si="147"/>
        <v>6.4770932069510234E-2</v>
      </c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1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6"/>
      <c r="FG127" s="16"/>
      <c r="FH127" s="46"/>
      <c r="FI127" s="46"/>
    </row>
    <row r="128" spans="2:165" s="26" customFormat="1" x14ac:dyDescent="0.2">
      <c r="B128" s="17" t="s">
        <v>23</v>
      </c>
      <c r="C128" s="24"/>
      <c r="D128" s="24"/>
      <c r="E128" s="24"/>
      <c r="F128" s="24"/>
      <c r="G128" s="24"/>
      <c r="H128" s="2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8"/>
      <c r="AX128" s="48"/>
      <c r="AY128" s="48"/>
      <c r="AZ128" s="48"/>
      <c r="BA128" s="48"/>
      <c r="BB128" s="79">
        <f t="shared" ref="BB128:CC128" si="148">BB22/AX22-1</f>
        <v>4.416666666666667</v>
      </c>
      <c r="BC128" s="79">
        <f t="shared" si="148"/>
        <v>1.0532544378698225</v>
      </c>
      <c r="BD128" s="79">
        <f t="shared" si="148"/>
        <v>1.0680851063829788</v>
      </c>
      <c r="BE128" s="79">
        <f t="shared" si="148"/>
        <v>1.403361344537815</v>
      </c>
      <c r="BF128" s="79">
        <f t="shared" si="148"/>
        <v>1.6</v>
      </c>
      <c r="BG128" s="79">
        <f t="shared" si="148"/>
        <v>1.0547550432276656</v>
      </c>
      <c r="BH128" s="79">
        <f t="shared" si="148"/>
        <v>0.52469135802469147</v>
      </c>
      <c r="BI128" s="79">
        <f t="shared" si="148"/>
        <v>0.45454545454545459</v>
      </c>
      <c r="BJ128" s="79">
        <f t="shared" si="148"/>
        <v>0.36538461538461542</v>
      </c>
      <c r="BK128" s="79">
        <f t="shared" si="148"/>
        <v>0.38288920056100983</v>
      </c>
      <c r="BL128" s="79">
        <f t="shared" si="148"/>
        <v>0.4331983805668016</v>
      </c>
      <c r="BM128" s="79">
        <f t="shared" si="148"/>
        <v>0.36418269230769229</v>
      </c>
      <c r="BN128" s="79">
        <f t="shared" si="148"/>
        <v>0.22535211267605626</v>
      </c>
      <c r="BO128" s="79">
        <f t="shared" si="148"/>
        <v>0.23732251521298164</v>
      </c>
      <c r="BP128" s="79">
        <f t="shared" si="148"/>
        <v>0.27212806026365355</v>
      </c>
      <c r="BQ128" s="79">
        <f t="shared" si="148"/>
        <v>0.32599118942731287</v>
      </c>
      <c r="BR128" s="79">
        <f t="shared" si="148"/>
        <v>0.31299734748010599</v>
      </c>
      <c r="BS128" s="79">
        <f t="shared" si="148"/>
        <v>0.31557377049180335</v>
      </c>
      <c r="BT128" s="79">
        <f t="shared" si="148"/>
        <v>0.17986676535899337</v>
      </c>
      <c r="BU128" s="79">
        <f t="shared" si="148"/>
        <v>2.1926910299003399E-2</v>
      </c>
      <c r="BV128" s="79">
        <f t="shared" si="148"/>
        <v>0.12188552188552193</v>
      </c>
      <c r="BW128" s="79">
        <f t="shared" si="148"/>
        <v>7.6012461059190128E-2</v>
      </c>
      <c r="BX128" s="79">
        <f t="shared" si="148"/>
        <v>8.7829360100375453E-3</v>
      </c>
      <c r="BY128" s="79">
        <f t="shared" si="148"/>
        <v>-5.0715214564369338E-2</v>
      </c>
      <c r="BZ128" s="79">
        <f t="shared" si="148"/>
        <v>-0.1494597839135654</v>
      </c>
      <c r="CA128" s="79">
        <f t="shared" si="148"/>
        <v>-0.2420382165605095</v>
      </c>
      <c r="CB128" s="79">
        <f t="shared" si="148"/>
        <v>-0.24378109452736318</v>
      </c>
      <c r="CC128" s="79">
        <f t="shared" si="148"/>
        <v>-7.5342465753424626E-2</v>
      </c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1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6"/>
      <c r="FG128" s="16"/>
      <c r="FH128" s="46"/>
      <c r="FI128" s="46"/>
    </row>
    <row r="129" spans="2:165" s="26" customFormat="1" x14ac:dyDescent="0.2">
      <c r="B129" s="15" t="s">
        <v>139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49">BB43/AX43-1</f>
        <v>5.5214723926380271E-2</v>
      </c>
      <c r="BC129" s="94">
        <f t="shared" si="149"/>
        <v>7.344632768361592E-2</v>
      </c>
      <c r="BD129" s="94">
        <f t="shared" si="149"/>
        <v>6.8181818181818121E-2</v>
      </c>
      <c r="BE129" s="94">
        <f t="shared" si="149"/>
        <v>0.12734082397003754</v>
      </c>
      <c r="BF129" s="94">
        <f t="shared" si="149"/>
        <v>3.6821705426356655E-2</v>
      </c>
      <c r="BG129" s="94">
        <f t="shared" si="149"/>
        <v>-8.7719298245614308E-3</v>
      </c>
      <c r="BH129" s="94">
        <f t="shared" si="149"/>
        <v>-5.1418439716312103E-2</v>
      </c>
      <c r="BI129" s="94">
        <f t="shared" si="149"/>
        <v>-1.6611295681063121E-2</v>
      </c>
      <c r="BJ129" s="94">
        <f t="shared" si="149"/>
        <v>-2.4299065420560706E-2</v>
      </c>
      <c r="BK129" s="94">
        <f t="shared" si="149"/>
        <v>-3.7168141592920367E-2</v>
      </c>
      <c r="BL129" s="94">
        <f t="shared" si="149"/>
        <v>-3.1775700934579487E-2</v>
      </c>
      <c r="BM129" s="94">
        <f t="shared" si="149"/>
        <v>-0.13851351351351349</v>
      </c>
      <c r="BN129" s="94">
        <f t="shared" si="149"/>
        <v>-0.15325670498084287</v>
      </c>
      <c r="BO129" s="94">
        <f t="shared" si="149"/>
        <v>-0.17279411764705888</v>
      </c>
      <c r="BP129" s="94">
        <f t="shared" si="149"/>
        <v>-0.17567567567567566</v>
      </c>
      <c r="BQ129" s="94">
        <f t="shared" si="149"/>
        <v>-0.10784313725490191</v>
      </c>
      <c r="BR129" s="94">
        <f t="shared" si="149"/>
        <v>-0.14479638009049778</v>
      </c>
      <c r="BS129" s="94">
        <f t="shared" si="149"/>
        <v>-8.666666666666667E-2</v>
      </c>
      <c r="BT129" s="94">
        <f t="shared" si="149"/>
        <v>-8.4309133489461341E-2</v>
      </c>
      <c r="BU129" s="94">
        <f t="shared" si="149"/>
        <v>-0.1648351648351648</v>
      </c>
      <c r="BV129" s="94">
        <f t="shared" si="149"/>
        <v>-0.10317460317460314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5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6"/>
      <c r="FG129" s="16"/>
      <c r="FH129" s="46"/>
      <c r="FI129" s="46"/>
    </row>
    <row r="130" spans="2:165" s="26" customFormat="1" x14ac:dyDescent="0.2">
      <c r="B130" s="15" t="s">
        <v>33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V130" si="150">BB49/AX49-1</f>
        <v>2.925925925925926</v>
      </c>
      <c r="BC130" s="94">
        <f t="shared" si="150"/>
        <v>7.2105263157894743</v>
      </c>
      <c r="BD130" s="94">
        <f t="shared" si="150"/>
        <v>1.5363636363636362</v>
      </c>
      <c r="BE130" s="94">
        <f t="shared" si="150"/>
        <v>6.5161290322580649</v>
      </c>
      <c r="BF130" s="94">
        <f t="shared" si="150"/>
        <v>0.41745283018867929</v>
      </c>
      <c r="BG130" s="94">
        <f t="shared" si="150"/>
        <v>1.3076923076923075</v>
      </c>
      <c r="BH130" s="94">
        <f t="shared" si="150"/>
        <v>1.3978494623655915</v>
      </c>
      <c r="BI130" s="94">
        <f t="shared" si="150"/>
        <v>0.42632331902718179</v>
      </c>
      <c r="BJ130" s="94">
        <f t="shared" si="150"/>
        <v>0.43926788685524132</v>
      </c>
      <c r="BK130" s="94">
        <f t="shared" si="150"/>
        <v>0.25277777777777777</v>
      </c>
      <c r="BL130" s="94">
        <f t="shared" si="150"/>
        <v>-0.61584454409566525</v>
      </c>
      <c r="BM130" s="94">
        <f t="shared" si="150"/>
        <v>-0.48645937813440321</v>
      </c>
      <c r="BN130" s="94">
        <f t="shared" si="150"/>
        <v>-0.67861271676300583</v>
      </c>
      <c r="BO130" s="94">
        <f t="shared" si="150"/>
        <v>-0.89135254988913526</v>
      </c>
      <c r="BP130" s="94">
        <f t="shared" si="150"/>
        <v>-0.60700389105058372</v>
      </c>
      <c r="BQ130" s="94">
        <f t="shared" si="150"/>
        <v>-0.646484375</v>
      </c>
      <c r="BR130" s="94">
        <f t="shared" si="150"/>
        <v>0.44244604316546754</v>
      </c>
      <c r="BS130" s="94">
        <f t="shared" si="150"/>
        <v>11.428571428571429</v>
      </c>
      <c r="BT130" s="94">
        <f t="shared" si="150"/>
        <v>8.8415841584158414</v>
      </c>
      <c r="BU130" s="94">
        <f t="shared" si="150"/>
        <v>5.6077348066298338</v>
      </c>
      <c r="BV130" s="94">
        <f t="shared" si="150"/>
        <v>0.28927680798004984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5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6"/>
      <c r="FG130" s="16"/>
      <c r="FH130" s="46"/>
      <c r="FI130" s="46"/>
    </row>
    <row r="131" spans="2:165" s="26" customFormat="1" x14ac:dyDescent="0.2">
      <c r="B131" s="15" t="s">
        <v>40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ref="BB131:BV131" si="151">BB28/AX28-1</f>
        <v>2.7100271002709064E-3</v>
      </c>
      <c r="BC131" s="94">
        <f t="shared" si="151"/>
        <v>0.22857142857142865</v>
      </c>
      <c r="BD131" s="94">
        <f t="shared" si="151"/>
        <v>0.3086053412462908</v>
      </c>
      <c r="BE131" s="94">
        <f t="shared" si="151"/>
        <v>0.33717579250720453</v>
      </c>
      <c r="BF131" s="94">
        <f t="shared" si="151"/>
        <v>0.22702702702702693</v>
      </c>
      <c r="BG131" s="94">
        <f t="shared" si="151"/>
        <v>1.6279069767441756E-2</v>
      </c>
      <c r="BH131" s="94">
        <f t="shared" si="151"/>
        <v>5.6689342403628107E-2</v>
      </c>
      <c r="BI131" s="94">
        <f t="shared" si="151"/>
        <v>4.5258620689655249E-2</v>
      </c>
      <c r="BJ131" s="94">
        <f t="shared" si="151"/>
        <v>4.8458149779735615E-2</v>
      </c>
      <c r="BK131" s="94">
        <f t="shared" si="151"/>
        <v>0.15102974828375282</v>
      </c>
      <c r="BL131" s="94">
        <f t="shared" si="151"/>
        <v>4.0772532188841248E-2</v>
      </c>
      <c r="BM131" s="94">
        <f t="shared" si="151"/>
        <v>0.12989690721649483</v>
      </c>
      <c r="BN131" s="94">
        <f t="shared" si="151"/>
        <v>2.3109243697478909E-2</v>
      </c>
      <c r="BO131" s="94">
        <f t="shared" si="151"/>
        <v>3.9761431411530879E-2</v>
      </c>
      <c r="BP131" s="94">
        <f t="shared" si="151"/>
        <v>5.7731958762886615E-2</v>
      </c>
      <c r="BQ131" s="94">
        <f t="shared" si="151"/>
        <v>5.1094890510948954E-2</v>
      </c>
      <c r="BR131" s="94">
        <f t="shared" si="151"/>
        <v>6.1601642710472193E-2</v>
      </c>
      <c r="BS131" s="94">
        <f t="shared" si="151"/>
        <v>-0.21606118546845121</v>
      </c>
      <c r="BT131" s="94">
        <f t="shared" si="151"/>
        <v>-0.29434697855750491</v>
      </c>
      <c r="BU131" s="94">
        <f t="shared" si="151"/>
        <v>-0.50173611111111116</v>
      </c>
      <c r="BV131" s="94">
        <f t="shared" si="151"/>
        <v>-0.30947775628626695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5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6"/>
      <c r="FG131" s="16"/>
      <c r="FH131" s="46"/>
      <c r="FI131" s="46"/>
    </row>
    <row r="132" spans="2:165" s="26" customFormat="1" x14ac:dyDescent="0.2">
      <c r="B132" s="15" t="s">
        <v>34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52">BB44/AX44-1</f>
        <v>0.12456747404844282</v>
      </c>
      <c r="BC132" s="94">
        <f t="shared" si="152"/>
        <v>0.20338983050847448</v>
      </c>
      <c r="BD132" s="94">
        <f t="shared" si="152"/>
        <v>0.18243243243243246</v>
      </c>
      <c r="BE132" s="94">
        <f t="shared" si="152"/>
        <v>0.24749163879598668</v>
      </c>
      <c r="BF132" s="94">
        <f t="shared" si="152"/>
        <v>7.6923076923076872E-2</v>
      </c>
      <c r="BG132" s="94">
        <f t="shared" si="152"/>
        <v>5.3521126760563309E-2</v>
      </c>
      <c r="BH132" s="94">
        <f t="shared" si="152"/>
        <v>0</v>
      </c>
      <c r="BI132" s="94">
        <f t="shared" si="152"/>
        <v>5.3619302949061698E-2</v>
      </c>
      <c r="BJ132" s="94">
        <f t="shared" si="152"/>
        <v>0.14285714285714279</v>
      </c>
      <c r="BK132" s="94">
        <f t="shared" si="152"/>
        <v>8.8235294117646967E-2</v>
      </c>
      <c r="BL132" s="94">
        <f t="shared" si="152"/>
        <v>9.4285714285714306E-2</v>
      </c>
      <c r="BM132" s="94">
        <f t="shared" si="152"/>
        <v>0.13740458015267176</v>
      </c>
      <c r="BN132" s="94">
        <f t="shared" si="152"/>
        <v>-7.7500000000000013E-2</v>
      </c>
      <c r="BO132" s="94">
        <f t="shared" si="152"/>
        <v>2.2113022113022129E-2</v>
      </c>
      <c r="BP132" s="94">
        <f t="shared" si="152"/>
        <v>5.7441253263707637E-2</v>
      </c>
      <c r="BQ132" s="94">
        <f t="shared" si="152"/>
        <v>-4.4742729306487261E-3</v>
      </c>
      <c r="BR132" s="94">
        <f t="shared" si="152"/>
        <v>6.5040650406503975E-2</v>
      </c>
      <c r="BS132" s="94">
        <f t="shared" si="152"/>
        <v>7.9326923076923128E-2</v>
      </c>
      <c r="BT132" s="94">
        <f t="shared" si="152"/>
        <v>8.1481481481481488E-2</v>
      </c>
      <c r="BU132" s="94">
        <f t="shared" si="152"/>
        <v>-0.15730337078651691</v>
      </c>
      <c r="BV132" s="94">
        <f t="shared" si="152"/>
        <v>0.12213740458015265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5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6"/>
      <c r="FG132" s="16"/>
      <c r="FH132" s="46"/>
      <c r="FI132" s="46"/>
    </row>
    <row r="133" spans="2:165" s="26" customFormat="1" x14ac:dyDescent="0.2">
      <c r="B133" s="15" t="s">
        <v>31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>
        <f t="shared" ref="BB133:BK133" si="153">BB46/AX46-1</f>
        <v>0.43478260869565211</v>
      </c>
      <c r="BC133" s="94">
        <f t="shared" si="153"/>
        <v>0.484375</v>
      </c>
      <c r="BD133" s="94">
        <f t="shared" si="153"/>
        <v>0.46896551724137936</v>
      </c>
      <c r="BE133" s="94">
        <f t="shared" si="153"/>
        <v>0.56164383561643838</v>
      </c>
      <c r="BF133" s="94">
        <f t="shared" si="153"/>
        <v>0.44242424242424239</v>
      </c>
      <c r="BG133" s="94">
        <f t="shared" si="153"/>
        <v>0.23157894736842111</v>
      </c>
      <c r="BH133" s="94">
        <f t="shared" si="153"/>
        <v>0.1220657276995305</v>
      </c>
      <c r="BI133" s="94">
        <f t="shared" si="153"/>
        <v>0.14035087719298245</v>
      </c>
      <c r="BJ133" s="94">
        <f t="shared" si="153"/>
        <v>0.12184873949579833</v>
      </c>
      <c r="BK133" s="94">
        <f t="shared" si="153"/>
        <v>0.20512820512820507</v>
      </c>
      <c r="BL133" s="94">
        <f t="shared" ref="BL133:BU133" si="154">BL46/BH46-1</f>
        <v>0.21338912133891208</v>
      </c>
      <c r="BM133" s="94">
        <f t="shared" si="154"/>
        <v>0.19999999999999996</v>
      </c>
      <c r="BN133" s="94">
        <f t="shared" si="154"/>
        <v>5.2434456928838857E-2</v>
      </c>
      <c r="BO133" s="94">
        <f t="shared" si="154"/>
        <v>3.5460992907801359E-2</v>
      </c>
      <c r="BP133" s="94">
        <f t="shared" si="154"/>
        <v>5.862068965517242E-2</v>
      </c>
      <c r="BQ133" s="94">
        <f t="shared" si="154"/>
        <v>6.0897435897435903E-2</v>
      </c>
      <c r="BR133" s="94">
        <f t="shared" si="154"/>
        <v>5.3380782918149405E-2</v>
      </c>
      <c r="BS133" s="94">
        <f t="shared" si="154"/>
        <v>0.13013698630136994</v>
      </c>
      <c r="BT133" s="94">
        <f t="shared" si="154"/>
        <v>6.1889250814332275E-2</v>
      </c>
      <c r="BU133" s="94">
        <f t="shared" si="154"/>
        <v>-6.9486404833836835E-2</v>
      </c>
      <c r="BV133" s="94">
        <f t="shared" ref="BV133" si="155">BV46/BR46-1</f>
        <v>0.18918918918918926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5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6"/>
      <c r="FG133" s="16"/>
      <c r="FH133" s="46"/>
      <c r="FI133" s="46"/>
    </row>
    <row r="134" spans="2:165" s="26" customFormat="1" x14ac:dyDescent="0.2">
      <c r="B134" s="15" t="s">
        <v>25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/>
      <c r="BC134" s="94"/>
      <c r="BD134" s="94"/>
      <c r="BE134" s="94">
        <f t="shared" ref="BE134:BV134" si="156">BE47/BA47-1</f>
        <v>7.2941176470588243</v>
      </c>
      <c r="BF134" s="94">
        <f t="shared" si="156"/>
        <v>2.0175438596491229</v>
      </c>
      <c r="BG134" s="94">
        <f t="shared" si="156"/>
        <v>1.2159090909090908</v>
      </c>
      <c r="BH134" s="94">
        <f t="shared" si="156"/>
        <v>1.0891089108910892</v>
      </c>
      <c r="BI134" s="94">
        <f t="shared" si="156"/>
        <v>0.66666666666666674</v>
      </c>
      <c r="BJ134" s="94">
        <f t="shared" si="156"/>
        <v>0.41279069767441867</v>
      </c>
      <c r="BK134" s="94">
        <f t="shared" si="156"/>
        <v>0.33333333333333326</v>
      </c>
      <c r="BL134" s="94">
        <f t="shared" si="156"/>
        <v>0.28436018957345977</v>
      </c>
      <c r="BM134" s="94">
        <f t="shared" si="156"/>
        <v>0.22553191489361701</v>
      </c>
      <c r="BN134" s="94">
        <f t="shared" si="156"/>
        <v>0.17695473251028804</v>
      </c>
      <c r="BO134" s="94">
        <f t="shared" si="156"/>
        <v>0.1576923076923078</v>
      </c>
      <c r="BP134" s="94">
        <f t="shared" si="156"/>
        <v>9.9630996309963082E-2</v>
      </c>
      <c r="BQ134" s="94">
        <f t="shared" si="156"/>
        <v>0.14583333333333326</v>
      </c>
      <c r="BR134" s="94">
        <f t="shared" si="156"/>
        <v>0.11888111888111896</v>
      </c>
      <c r="BS134" s="94">
        <f t="shared" si="156"/>
        <v>7.3089700996677776E-2</v>
      </c>
      <c r="BT134" s="94">
        <f t="shared" si="156"/>
        <v>7.0469798657718075E-2</v>
      </c>
      <c r="BU134" s="94">
        <f t="shared" si="156"/>
        <v>3.6363636363636376E-2</v>
      </c>
      <c r="BV134" s="94">
        <f t="shared" si="156"/>
        <v>1.8750000000000044E-2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94"/>
      <c r="EG134" s="94"/>
      <c r="EH134" s="94"/>
      <c r="EI134" s="94"/>
      <c r="EJ134" s="94"/>
      <c r="EK134" s="5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6"/>
      <c r="FG134" s="16"/>
      <c r="FH134" s="46"/>
      <c r="FI134" s="46"/>
    </row>
    <row r="135" spans="2:165" s="26" customFormat="1" x14ac:dyDescent="0.2">
      <c r="B135" s="15" t="s">
        <v>29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4">
        <f t="shared" ref="BL135:BV135" si="157">BL24/BH24-1</f>
        <v>0.24479166666666674</v>
      </c>
      <c r="BM135" s="94">
        <f t="shared" si="157"/>
        <v>-0.1648351648351648</v>
      </c>
      <c r="BN135" s="94">
        <f t="shared" si="157"/>
        <v>-0.18250950570342206</v>
      </c>
      <c r="BO135" s="94">
        <f t="shared" si="157"/>
        <v>-0.13793103448275867</v>
      </c>
      <c r="BP135" s="94">
        <f t="shared" si="157"/>
        <v>2.9288702928870203E-2</v>
      </c>
      <c r="BQ135" s="94">
        <f t="shared" si="157"/>
        <v>0.20175438596491224</v>
      </c>
      <c r="BR135" s="94">
        <f t="shared" si="157"/>
        <v>0.29767441860465116</v>
      </c>
      <c r="BS135" s="94">
        <f t="shared" si="157"/>
        <v>0.30666666666666664</v>
      </c>
      <c r="BT135" s="94">
        <f t="shared" si="157"/>
        <v>0.20325203252032531</v>
      </c>
      <c r="BU135" s="94">
        <f t="shared" si="157"/>
        <v>0.2007299270072993</v>
      </c>
      <c r="BV135" s="94">
        <f t="shared" si="157"/>
        <v>0.17204301075268824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94"/>
      <c r="EG135" s="94"/>
      <c r="EH135" s="94"/>
      <c r="EI135" s="94"/>
      <c r="EJ135" s="94"/>
      <c r="EK135" s="5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6"/>
      <c r="FG135" s="16"/>
      <c r="FH135" s="46"/>
      <c r="FI135" s="46"/>
    </row>
    <row r="136" spans="2:165" s="26" customFormat="1" x14ac:dyDescent="0.2">
      <c r="B136" s="15" t="s">
        <v>140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/>
      <c r="BC136" s="94"/>
      <c r="BD136" s="94"/>
      <c r="BE136" s="94"/>
      <c r="BF136" s="94"/>
      <c r="BG136" s="94">
        <f t="shared" ref="BG136:BV136" si="158">BG48/BC48-1</f>
        <v>3.3809523809523814</v>
      </c>
      <c r="BH136" s="94">
        <f t="shared" si="158"/>
        <v>9.1428571428571423</v>
      </c>
      <c r="BI136" s="94">
        <f t="shared" si="158"/>
        <v>2.5098039215686274</v>
      </c>
      <c r="BJ136" s="94">
        <f t="shared" si="158"/>
        <v>1.2666666666666666</v>
      </c>
      <c r="BK136" s="94">
        <f t="shared" si="158"/>
        <v>1.2173913043478262</v>
      </c>
      <c r="BL136" s="94">
        <f t="shared" si="158"/>
        <v>0.61971830985915499</v>
      </c>
      <c r="BM136" s="94">
        <f t="shared" si="158"/>
        <v>0.58100558659217882</v>
      </c>
      <c r="BN136" s="94">
        <f t="shared" si="158"/>
        <v>0.41764705882352948</v>
      </c>
      <c r="BO136" s="94">
        <f t="shared" si="158"/>
        <v>0.30392156862745101</v>
      </c>
      <c r="BP136" s="94">
        <f t="shared" si="158"/>
        <v>0.16521739130434776</v>
      </c>
      <c r="BQ136" s="94">
        <f t="shared" si="158"/>
        <v>0.1766784452296819</v>
      </c>
      <c r="BR136" s="94">
        <f t="shared" si="158"/>
        <v>3.3195020746888071E-2</v>
      </c>
      <c r="BS136" s="94">
        <f t="shared" si="158"/>
        <v>3.7593984962406068E-2</v>
      </c>
      <c r="BT136" s="94">
        <f t="shared" si="158"/>
        <v>-4.8507462686567138E-2</v>
      </c>
      <c r="BU136" s="94">
        <f t="shared" si="158"/>
        <v>-0.16516516516516522</v>
      </c>
      <c r="BV136" s="94">
        <f t="shared" si="158"/>
        <v>0.11244979919678721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5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6"/>
      <c r="FG136" s="16"/>
      <c r="FH136" s="46"/>
      <c r="FI136" s="46"/>
    </row>
    <row r="137" spans="2:165" s="26" customFormat="1" x14ac:dyDescent="0.2">
      <c r="B137" s="15" t="s">
        <v>39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ref="BB137:BV137" si="159">BB55/AX55-1</f>
        <v>6.8493150684931781E-3</v>
      </c>
      <c r="BC137" s="94">
        <f t="shared" si="159"/>
        <v>0</v>
      </c>
      <c r="BD137" s="94">
        <f t="shared" si="159"/>
        <v>0.11724137931034484</v>
      </c>
      <c r="BE137" s="94">
        <f t="shared" si="159"/>
        <v>0.17518248175182483</v>
      </c>
      <c r="BF137" s="94">
        <f t="shared" si="159"/>
        <v>0.23129251700680276</v>
      </c>
      <c r="BG137" s="94">
        <f t="shared" si="159"/>
        <v>0.10303030303030303</v>
      </c>
      <c r="BH137" s="94">
        <f t="shared" si="159"/>
        <v>-1.2345679012345734E-2</v>
      </c>
      <c r="BI137" s="94">
        <f t="shared" si="159"/>
        <v>5.5900621118012417E-2</v>
      </c>
      <c r="BJ137" s="94">
        <f t="shared" si="159"/>
        <v>-9.9447513812154664E-2</v>
      </c>
      <c r="BK137" s="94">
        <f t="shared" si="159"/>
        <v>-3.2967032967032961E-2</v>
      </c>
      <c r="BL137" s="94">
        <f t="shared" si="159"/>
        <v>-5.6250000000000022E-2</v>
      </c>
      <c r="BM137" s="94">
        <f t="shared" si="159"/>
        <v>-0.16470588235294115</v>
      </c>
      <c r="BN137" s="94">
        <f t="shared" si="159"/>
        <v>-0.16564417177914115</v>
      </c>
      <c r="BO137" s="94">
        <f t="shared" si="159"/>
        <v>-0.27272727272727271</v>
      </c>
      <c r="BP137" s="94">
        <f t="shared" si="159"/>
        <v>-0.16556291390728473</v>
      </c>
      <c r="BQ137" s="94">
        <f t="shared" si="159"/>
        <v>-0.21126760563380287</v>
      </c>
      <c r="BR137" s="94">
        <f t="shared" si="159"/>
        <v>-0.24264705882352944</v>
      </c>
      <c r="BS137" s="94">
        <f t="shared" si="159"/>
        <v>-0.171875</v>
      </c>
      <c r="BT137" s="94">
        <f t="shared" si="159"/>
        <v>-0.22222222222222221</v>
      </c>
      <c r="BU137" s="94">
        <f t="shared" si="159"/>
        <v>-0.1964285714285714</v>
      </c>
      <c r="BV137" s="94">
        <f t="shared" si="159"/>
        <v>-0.11650485436893199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5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6"/>
      <c r="FG137" s="16"/>
      <c r="FH137" s="46"/>
      <c r="FI137" s="46"/>
    </row>
    <row r="138" spans="2:165" s="26" customFormat="1" x14ac:dyDescent="0.2">
      <c r="B138" s="15" t="s">
        <v>28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 t="shared" ref="BB138:BV138" si="160">BB15/AX15-1</f>
        <v>1.1315789473684212</v>
      </c>
      <c r="BC138" s="94">
        <f t="shared" si="160"/>
        <v>0.81818181818181812</v>
      </c>
      <c r="BD138" s="94">
        <f t="shared" si="160"/>
        <v>0.52941176470588225</v>
      </c>
      <c r="BE138" s="94">
        <f t="shared" si="160"/>
        <v>0.68493150684931514</v>
      </c>
      <c r="BF138" s="94">
        <f t="shared" si="160"/>
        <v>0.53086419753086411</v>
      </c>
      <c r="BG138" s="94">
        <f t="shared" si="160"/>
        <v>0.33000000000000007</v>
      </c>
      <c r="BH138" s="94">
        <f t="shared" si="160"/>
        <v>0.29807692307692313</v>
      </c>
      <c r="BI138" s="94">
        <f t="shared" si="160"/>
        <v>0.17886178861788626</v>
      </c>
      <c r="BJ138" s="94">
        <f t="shared" si="160"/>
        <v>9.6774193548387011E-2</v>
      </c>
      <c r="BK138" s="94">
        <f t="shared" si="160"/>
        <v>0.11278195488721798</v>
      </c>
      <c r="BL138" s="94">
        <f t="shared" si="160"/>
        <v>7.4074074074074181E-2</v>
      </c>
      <c r="BM138" s="94">
        <f t="shared" si="160"/>
        <v>-4.8275862068965503E-2</v>
      </c>
      <c r="BN138" s="94">
        <f t="shared" si="160"/>
        <v>-8.0882352941176516E-2</v>
      </c>
      <c r="BO138" s="94">
        <f t="shared" si="160"/>
        <v>-9.4594594594594628E-2</v>
      </c>
      <c r="BP138" s="94">
        <f t="shared" si="160"/>
        <v>0</v>
      </c>
      <c r="BQ138" s="94">
        <f t="shared" si="160"/>
        <v>0.13043478260869557</v>
      </c>
      <c r="BR138" s="94">
        <f t="shared" si="160"/>
        <v>0.21599999999999997</v>
      </c>
      <c r="BS138" s="94">
        <f t="shared" si="160"/>
        <v>0.20149253731343286</v>
      </c>
      <c r="BT138" s="94">
        <f t="shared" si="160"/>
        <v>8.2758620689655116E-2</v>
      </c>
      <c r="BU138" s="94">
        <f t="shared" si="160"/>
        <v>-3.8461538461538436E-2</v>
      </c>
      <c r="BV138" s="94">
        <f t="shared" si="160"/>
        <v>-2.6315789473684181E-2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5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6"/>
      <c r="FG138" s="16"/>
      <c r="FH138" s="46"/>
      <c r="FI138" s="46"/>
    </row>
    <row r="139" spans="2:165" s="26" customFormat="1" x14ac:dyDescent="0.2">
      <c r="B139" s="15" t="s">
        <v>141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4">
        <f t="shared" ref="BB139:BK140" si="161">BB50/AX50-1</f>
        <v>0</v>
      </c>
      <c r="BC139" s="94">
        <f t="shared" si="161"/>
        <v>0.25316455696202533</v>
      </c>
      <c r="BD139" s="94">
        <f t="shared" si="161"/>
        <v>0.23456790123456783</v>
      </c>
      <c r="BE139" s="94">
        <f t="shared" si="161"/>
        <v>0.31325301204819267</v>
      </c>
      <c r="BF139" s="94">
        <f t="shared" si="161"/>
        <v>0.27906976744186052</v>
      </c>
      <c r="BG139" s="94">
        <f t="shared" si="161"/>
        <v>0.14141414141414144</v>
      </c>
      <c r="BH139" s="94">
        <f t="shared" si="161"/>
        <v>0.26</v>
      </c>
      <c r="BI139" s="94">
        <f t="shared" si="161"/>
        <v>0.27522935779816504</v>
      </c>
      <c r="BJ139" s="94">
        <f t="shared" si="161"/>
        <v>0.1272727272727272</v>
      </c>
      <c r="BK139" s="94">
        <f t="shared" si="161"/>
        <v>0.21238938053097356</v>
      </c>
      <c r="BL139" s="94">
        <f t="shared" ref="BL139:BU140" si="162">BL50/BH50-1</f>
        <v>8.7301587301587213E-2</v>
      </c>
      <c r="BM139" s="94">
        <f t="shared" si="162"/>
        <v>3.5971223021582732E-2</v>
      </c>
      <c r="BN139" s="94">
        <f t="shared" si="162"/>
        <v>3.2258064516129004E-2</v>
      </c>
      <c r="BO139" s="94">
        <f t="shared" si="162"/>
        <v>-7.2992700729926918E-3</v>
      </c>
      <c r="BP139" s="94">
        <f t="shared" si="162"/>
        <v>4.3795620437956151E-2</v>
      </c>
      <c r="BQ139" s="94">
        <f t="shared" si="162"/>
        <v>3.4722222222222321E-2</v>
      </c>
      <c r="BR139" s="94">
        <f t="shared" si="162"/>
        <v>2.34375E-2</v>
      </c>
      <c r="BS139" s="94">
        <f t="shared" si="162"/>
        <v>5.1470588235294157E-2</v>
      </c>
      <c r="BT139" s="94">
        <f t="shared" si="162"/>
        <v>3.4965034965035002E-2</v>
      </c>
      <c r="BU139" s="94">
        <f t="shared" si="162"/>
        <v>-4.6979865771812124E-2</v>
      </c>
      <c r="BV139" s="94">
        <f t="shared" ref="BV139:CE140" si="163">BV50/BR50-1</f>
        <v>0.13740458015267176</v>
      </c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5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6"/>
      <c r="FG139" s="16"/>
      <c r="FH139" s="46"/>
      <c r="FI139" s="46"/>
    </row>
    <row r="140" spans="2:165" s="26" customFormat="1" x14ac:dyDescent="0.2">
      <c r="B140" s="15" t="s">
        <v>142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4">
        <f t="shared" si="161"/>
        <v>9.1743119266054496E-3</v>
      </c>
      <c r="BC140" s="94">
        <f t="shared" si="161"/>
        <v>5.1724137931034475E-2</v>
      </c>
      <c r="BD140" s="94">
        <f t="shared" si="161"/>
        <v>5.4545454545454453E-2</v>
      </c>
      <c r="BE140" s="94">
        <f t="shared" si="161"/>
        <v>0.12280701754385959</v>
      </c>
      <c r="BF140" s="94">
        <f t="shared" si="161"/>
        <v>7.2727272727272751E-2</v>
      </c>
      <c r="BG140" s="94">
        <f t="shared" si="161"/>
        <v>3.2786885245901676E-2</v>
      </c>
      <c r="BH140" s="94">
        <f t="shared" si="161"/>
        <v>1.7241379310344751E-2</v>
      </c>
      <c r="BI140" s="94">
        <f t="shared" si="161"/>
        <v>3.125E-2</v>
      </c>
      <c r="BJ140" s="94">
        <f t="shared" si="161"/>
        <v>-8.4745762711864181E-3</v>
      </c>
      <c r="BK140" s="94">
        <f t="shared" si="161"/>
        <v>-3.1746031746031744E-2</v>
      </c>
      <c r="BL140" s="94">
        <f t="shared" si="162"/>
        <v>0</v>
      </c>
      <c r="BM140" s="94">
        <f t="shared" si="162"/>
        <v>-0.14393939393939392</v>
      </c>
      <c r="BN140" s="94">
        <f t="shared" si="162"/>
        <v>-0.17094017094017089</v>
      </c>
      <c r="BO140" s="94">
        <f t="shared" si="162"/>
        <v>-0.19672131147540983</v>
      </c>
      <c r="BP140" s="94">
        <f t="shared" si="162"/>
        <v>-0.10169491525423724</v>
      </c>
      <c r="BQ140" s="94">
        <f t="shared" si="162"/>
        <v>-8.8495575221239076E-3</v>
      </c>
      <c r="BR140" s="94">
        <f t="shared" si="162"/>
        <v>7.2164948453608213E-2</v>
      </c>
      <c r="BS140" s="94">
        <f t="shared" si="162"/>
        <v>9.1836734693877542E-2</v>
      </c>
      <c r="BT140" s="94">
        <f t="shared" si="162"/>
        <v>-5.6603773584905648E-2</v>
      </c>
      <c r="BU140" s="94">
        <f t="shared" si="162"/>
        <v>-0.2053571428571429</v>
      </c>
      <c r="BV140" s="94">
        <f t="shared" si="163"/>
        <v>-0.125</v>
      </c>
      <c r="BW140" s="94"/>
      <c r="BX140" s="94"/>
      <c r="BY140" s="94"/>
      <c r="BZ140" s="94"/>
      <c r="CA140" s="94"/>
      <c r="CB140" s="94"/>
      <c r="CC140" s="94"/>
      <c r="CD140" s="94"/>
      <c r="CE140" s="94"/>
      <c r="CF140" s="94"/>
      <c r="CG140" s="94"/>
      <c r="CH140" s="94"/>
      <c r="CI140" s="94"/>
      <c r="CJ140" s="94"/>
      <c r="CK140" s="94"/>
      <c r="CL140" s="94"/>
      <c r="CM140" s="94"/>
      <c r="CN140" s="94"/>
      <c r="CO140" s="94"/>
      <c r="CP140" s="94"/>
      <c r="CQ140" s="94"/>
      <c r="CR140" s="94"/>
      <c r="CS140" s="94"/>
      <c r="CT140" s="94"/>
      <c r="CU140" s="94"/>
      <c r="CV140" s="94"/>
      <c r="CW140" s="94"/>
      <c r="CX140" s="94"/>
      <c r="CY140" s="94"/>
      <c r="CZ140" s="94"/>
      <c r="DA140" s="94"/>
      <c r="DB140" s="94"/>
      <c r="DC140" s="94"/>
      <c r="DD140" s="94"/>
      <c r="DE140" s="94"/>
      <c r="DF140" s="94"/>
      <c r="DG140" s="94"/>
      <c r="DH140" s="94"/>
      <c r="DI140" s="94"/>
      <c r="DJ140" s="94"/>
      <c r="DK140" s="94"/>
      <c r="DL140" s="94"/>
      <c r="DM140" s="94"/>
      <c r="DN140" s="94"/>
      <c r="DO140" s="94"/>
      <c r="DP140" s="94"/>
      <c r="DQ140" s="94"/>
      <c r="DR140" s="94"/>
      <c r="DS140" s="94"/>
      <c r="DT140" s="94"/>
      <c r="DU140" s="94"/>
      <c r="DV140" s="94"/>
      <c r="DW140" s="94"/>
      <c r="DX140" s="94"/>
      <c r="DY140" s="94"/>
      <c r="DZ140" s="94"/>
      <c r="EA140" s="94"/>
      <c r="EB140" s="94"/>
      <c r="EC140" s="94"/>
      <c r="ED140" s="94"/>
      <c r="EE140" s="94"/>
      <c r="EF140" s="94"/>
      <c r="EG140" s="94"/>
      <c r="EH140" s="94"/>
      <c r="EI140" s="94"/>
      <c r="EJ140" s="94"/>
      <c r="EK140" s="5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6"/>
      <c r="FG140" s="16"/>
      <c r="FH140" s="46"/>
      <c r="FI140" s="46"/>
    </row>
    <row r="141" spans="2:165" s="26" customFormat="1" x14ac:dyDescent="0.2">
      <c r="B141" s="15" t="s">
        <v>27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4">
        <f t="shared" ref="BB141:BV141" si="164">BB27/AX27-1</f>
        <v>5.9523809523809534E-2</v>
      </c>
      <c r="BC141" s="94">
        <f t="shared" si="164"/>
        <v>0.18586636397103939</v>
      </c>
      <c r="BD141" s="94">
        <f t="shared" si="164"/>
        <v>0.16279069767441867</v>
      </c>
      <c r="BE141" s="94">
        <f t="shared" si="164"/>
        <v>0.2441860465116279</v>
      </c>
      <c r="BF141" s="94">
        <f t="shared" si="164"/>
        <v>0.22471910112359561</v>
      </c>
      <c r="BG141" s="94">
        <f t="shared" si="164"/>
        <v>6.1855670103092786E-2</v>
      </c>
      <c r="BH141" s="94">
        <f t="shared" si="164"/>
        <v>8.0000000000000071E-2</v>
      </c>
      <c r="BI141" s="94">
        <f t="shared" si="164"/>
        <v>8.4112149532710179E-2</v>
      </c>
      <c r="BJ141" s="94">
        <f t="shared" si="164"/>
        <v>1.8348623853210899E-2</v>
      </c>
      <c r="BK141" s="94">
        <f t="shared" si="164"/>
        <v>0.16504854368932032</v>
      </c>
      <c r="BL141" s="94">
        <f t="shared" si="164"/>
        <v>0.14814814814814814</v>
      </c>
      <c r="BM141" s="94">
        <f t="shared" si="164"/>
        <v>0.10344827586206895</v>
      </c>
      <c r="BN141" s="94">
        <f t="shared" si="164"/>
        <v>5.4054054054053946E-2</v>
      </c>
      <c r="BO141" s="94">
        <f t="shared" si="164"/>
        <v>0</v>
      </c>
      <c r="BP141" s="94">
        <f t="shared" si="164"/>
        <v>-3.2258064516129004E-2</v>
      </c>
      <c r="BQ141" s="94">
        <f t="shared" si="164"/>
        <v>8.59375E-2</v>
      </c>
      <c r="BR141" s="94">
        <f t="shared" si="164"/>
        <v>2.564102564102555E-2</v>
      </c>
      <c r="BS141" s="94">
        <f t="shared" si="164"/>
        <v>6.6666666666666652E-2</v>
      </c>
      <c r="BT141" s="94">
        <f t="shared" si="164"/>
        <v>4.1666666666666741E-2</v>
      </c>
      <c r="BU141" s="94">
        <f t="shared" si="164"/>
        <v>-7.9136690647481966E-2</v>
      </c>
      <c r="BV141" s="94">
        <f t="shared" si="164"/>
        <v>0.125</v>
      </c>
      <c r="BW141" s="94"/>
      <c r="BX141" s="94"/>
      <c r="BY141" s="94"/>
      <c r="BZ141" s="94"/>
      <c r="CA141" s="94"/>
      <c r="CB141" s="94"/>
      <c r="CC141" s="94"/>
      <c r="CD141" s="94"/>
      <c r="CE141" s="94"/>
      <c r="CF141" s="94"/>
      <c r="CG141" s="94"/>
      <c r="CH141" s="94"/>
      <c r="CI141" s="94"/>
      <c r="CJ141" s="94"/>
      <c r="CK141" s="94"/>
      <c r="CL141" s="94"/>
      <c r="CM141" s="94"/>
      <c r="CN141" s="94"/>
      <c r="CO141" s="94"/>
      <c r="CP141" s="94"/>
      <c r="CQ141" s="94"/>
      <c r="CR141" s="94"/>
      <c r="CS141" s="94"/>
      <c r="CT141" s="94"/>
      <c r="CU141" s="94"/>
      <c r="CV141" s="94"/>
      <c r="CW141" s="94"/>
      <c r="CX141" s="94"/>
      <c r="CY141" s="94"/>
      <c r="CZ141" s="94"/>
      <c r="DA141" s="94"/>
      <c r="DB141" s="94"/>
      <c r="DC141" s="94"/>
      <c r="DD141" s="94"/>
      <c r="DE141" s="94"/>
      <c r="DF141" s="94"/>
      <c r="DG141" s="94"/>
      <c r="DH141" s="94"/>
      <c r="DI141" s="94"/>
      <c r="DJ141" s="94"/>
      <c r="DK141" s="94"/>
      <c r="DL141" s="94"/>
      <c r="DM141" s="94"/>
      <c r="DN141" s="94"/>
      <c r="DO141" s="94"/>
      <c r="DP141" s="94"/>
      <c r="DQ141" s="94"/>
      <c r="DR141" s="94"/>
      <c r="DS141" s="94"/>
      <c r="DT141" s="94"/>
      <c r="DU141" s="94"/>
      <c r="DV141" s="94"/>
      <c r="DW141" s="94"/>
      <c r="DX141" s="94"/>
      <c r="DY141" s="94"/>
      <c r="DZ141" s="94"/>
      <c r="EA141" s="94"/>
      <c r="EB141" s="94"/>
      <c r="EC141" s="94"/>
      <c r="ED141" s="94"/>
      <c r="EE141" s="94"/>
      <c r="EF141" s="94"/>
      <c r="EG141" s="94"/>
      <c r="EH141" s="94"/>
      <c r="EI141" s="94"/>
      <c r="EJ141" s="94"/>
      <c r="EK141" s="5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6"/>
      <c r="FG141" s="16"/>
      <c r="FH141" s="46"/>
      <c r="FI141" s="46"/>
    </row>
    <row r="142" spans="2:165" s="26" customFormat="1" x14ac:dyDescent="0.2">
      <c r="B142" s="15" t="s">
        <v>37</v>
      </c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5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6"/>
      <c r="FG142" s="16"/>
      <c r="FH142" s="46"/>
      <c r="FI142" s="46"/>
    </row>
    <row r="143" spans="2:165" s="26" customFormat="1" x14ac:dyDescent="0.2">
      <c r="B143" s="15" t="s">
        <v>30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93"/>
      <c r="EG143" s="93"/>
      <c r="EH143" s="93"/>
      <c r="EI143" s="93"/>
      <c r="EJ143" s="93"/>
      <c r="EK143" s="5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6"/>
      <c r="FG143" s="16"/>
      <c r="FH143" s="46"/>
      <c r="FI143" s="46"/>
    </row>
    <row r="144" spans="2:165" s="26" customFormat="1" x14ac:dyDescent="0.2">
      <c r="B144" s="15" t="s">
        <v>26</v>
      </c>
      <c r="C144" s="23"/>
      <c r="D144" s="23"/>
      <c r="E144" s="23"/>
      <c r="F144" s="23"/>
      <c r="G144" s="23"/>
      <c r="H144" s="23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66"/>
      <c r="BI144" s="66"/>
      <c r="BJ144" s="66"/>
      <c r="BK144" s="66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  <c r="DR144" s="93"/>
      <c r="DS144" s="93"/>
      <c r="DT144" s="93"/>
      <c r="DU144" s="93"/>
      <c r="DV144" s="93"/>
      <c r="DW144" s="93"/>
      <c r="DX144" s="93"/>
      <c r="DY144" s="93"/>
      <c r="DZ144" s="93"/>
      <c r="EA144" s="93"/>
      <c r="EB144" s="93"/>
      <c r="EC144" s="93"/>
      <c r="ED144" s="93"/>
      <c r="EE144" s="93"/>
      <c r="EF144" s="93"/>
      <c r="EG144" s="93"/>
      <c r="EH144" s="93"/>
      <c r="EI144" s="93"/>
      <c r="EJ144" s="93"/>
      <c r="EK144" s="5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6"/>
      <c r="FG144" s="16"/>
      <c r="FH144" s="46"/>
      <c r="FI144" s="46"/>
    </row>
    <row r="145" spans="2:165" s="26" customFormat="1" x14ac:dyDescent="0.2">
      <c r="C145" s="23"/>
      <c r="D145" s="23"/>
      <c r="E145" s="23"/>
      <c r="F145" s="23"/>
      <c r="G145" s="23"/>
      <c r="H145" s="23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66"/>
      <c r="BI145" s="66"/>
      <c r="BJ145" s="66"/>
      <c r="BK145" s="66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  <c r="DR145" s="93"/>
      <c r="DS145" s="93"/>
      <c r="DT145" s="93"/>
      <c r="DU145" s="93"/>
      <c r="DV145" s="93"/>
      <c r="DW145" s="93"/>
      <c r="DX145" s="93"/>
      <c r="DY145" s="93"/>
      <c r="DZ145" s="93"/>
      <c r="EA145" s="93"/>
      <c r="EB145" s="93"/>
      <c r="EC145" s="93"/>
      <c r="ED145" s="93"/>
      <c r="EE145" s="93"/>
      <c r="EF145" s="93"/>
      <c r="EG145" s="93"/>
      <c r="EH145" s="93"/>
      <c r="EI145" s="93"/>
      <c r="EJ145" s="93"/>
      <c r="EK145" s="5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6"/>
      <c r="FG145" s="16"/>
      <c r="FH145" s="46"/>
      <c r="FI145" s="46"/>
    </row>
    <row r="146" spans="2:165" s="26" customFormat="1" x14ac:dyDescent="0.2">
      <c r="B146" s="3" t="s">
        <v>604</v>
      </c>
      <c r="C146" s="23"/>
      <c r="D146" s="23"/>
      <c r="E146" s="23"/>
      <c r="F146" s="23"/>
      <c r="G146" s="23"/>
      <c r="H146" s="23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66"/>
      <c r="BI146" s="66"/>
      <c r="BJ146" s="66"/>
      <c r="BK146" s="66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  <c r="DR146" s="93"/>
      <c r="DS146" s="93"/>
      <c r="DT146" s="93"/>
      <c r="DU146" s="93"/>
      <c r="DV146" s="93"/>
      <c r="DW146" s="93"/>
      <c r="DX146" s="93"/>
      <c r="DY146" s="93"/>
      <c r="DZ146" s="93"/>
      <c r="EA146" s="93"/>
      <c r="EB146" s="93"/>
      <c r="EC146" s="93"/>
      <c r="ED146" s="93"/>
      <c r="EE146" s="93"/>
      <c r="EF146" s="93"/>
      <c r="EG146" s="93"/>
      <c r="EH146" s="93"/>
      <c r="EI146" s="93"/>
      <c r="EJ146" s="93"/>
      <c r="EK146" s="5"/>
      <c r="EL146" s="47"/>
      <c r="EM146" s="47"/>
      <c r="EN146" s="47"/>
      <c r="EO146" s="47"/>
      <c r="EP146" s="47"/>
      <c r="EQ146" s="47"/>
      <c r="ER146" s="47"/>
      <c r="ES146" s="23">
        <f>ES87</f>
        <v>9786</v>
      </c>
      <c r="ET146" s="23">
        <f t="shared" ref="ET146" si="165">ET87</f>
        <v>9919</v>
      </c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6"/>
      <c r="FG146" s="16"/>
      <c r="FH146" s="46"/>
      <c r="FI146" s="46"/>
    </row>
    <row r="147" spans="2:165" x14ac:dyDescent="0.2">
      <c r="B147" s="3" t="s">
        <v>601</v>
      </c>
      <c r="E147" s="44"/>
      <c r="F147" s="44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ES147" s="23">
        <v>12177</v>
      </c>
      <c r="ET147" s="23">
        <v>16877</v>
      </c>
    </row>
    <row r="148" spans="2:165" x14ac:dyDescent="0.2">
      <c r="B148" s="3" t="s">
        <v>602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S148" s="23">
        <v>3139</v>
      </c>
      <c r="ET148" s="23">
        <v>2984</v>
      </c>
    </row>
    <row r="149" spans="2:165" x14ac:dyDescent="0.2">
      <c r="B149" s="3" t="s">
        <v>603</v>
      </c>
      <c r="E149" s="28"/>
      <c r="F149" s="28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ES149" s="23">
        <f>+ES147-ES148</f>
        <v>9038</v>
      </c>
      <c r="ET149" s="23">
        <f>+ET147-ET148</f>
        <v>13893</v>
      </c>
    </row>
    <row r="150" spans="2:165" x14ac:dyDescent="0.2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2:165" x14ac:dyDescent="0.2">
      <c r="B151" s="3" t="s">
        <v>808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EW151" s="23">
        <v>82089</v>
      </c>
      <c r="EX151" s="23">
        <v>85080</v>
      </c>
      <c r="EY151" s="23">
        <v>88509</v>
      </c>
      <c r="EZ151" s="23">
        <v>91747</v>
      </c>
      <c r="FA151" s="23">
        <v>94052</v>
      </c>
      <c r="FB151" s="23">
        <v>93734</v>
      </c>
      <c r="FC151" s="23">
        <v>94442</v>
      </c>
      <c r="FD151" s="23">
        <v>97735</v>
      </c>
      <c r="FE151" s="23">
        <v>101465</v>
      </c>
      <c r="FF151" s="23">
        <v>100920</v>
      </c>
    </row>
    <row r="152" spans="2:165" x14ac:dyDescent="0.2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  <row r="153" spans="2:165" s="125" customFormat="1" x14ac:dyDescent="0.2">
      <c r="B153" s="20" t="s">
        <v>938</v>
      </c>
      <c r="C153" s="23"/>
      <c r="D153" s="23"/>
      <c r="E153" s="23"/>
      <c r="F153" s="23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  <c r="DV153" s="66"/>
      <c r="DW153" s="66"/>
      <c r="DX153" s="66"/>
      <c r="DY153" s="66"/>
      <c r="DZ153" s="66"/>
      <c r="EA153" s="66"/>
      <c r="EB153" s="66"/>
      <c r="EC153" s="66"/>
      <c r="ED153" s="66"/>
      <c r="EE153" s="66"/>
      <c r="EF153" s="66"/>
      <c r="EG153" s="66"/>
      <c r="EH153" s="66"/>
      <c r="EI153" s="66"/>
      <c r="EJ153" s="66"/>
      <c r="EK153" s="124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H153" s="23">
        <f>+FH154-FH165</f>
        <v>-18699</v>
      </c>
      <c r="FI153" s="23">
        <f>+FI154-FI165</f>
        <v>-17337</v>
      </c>
    </row>
    <row r="154" spans="2:165" s="125" customFormat="1" x14ac:dyDescent="0.2">
      <c r="B154" s="20" t="s">
        <v>809</v>
      </c>
      <c r="C154" s="23"/>
      <c r="D154" s="23"/>
      <c r="E154" s="23"/>
      <c r="F154" s="23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66"/>
      <c r="DT154" s="66"/>
      <c r="DU154" s="66"/>
      <c r="DV154" s="66"/>
      <c r="DW154" s="66"/>
      <c r="DX154" s="66"/>
      <c r="DY154" s="66"/>
      <c r="DZ154" s="66"/>
      <c r="EA154" s="66"/>
      <c r="EB154" s="66"/>
      <c r="EC154" s="66"/>
      <c r="ED154" s="66"/>
      <c r="EE154" s="66"/>
      <c r="EF154" s="66"/>
      <c r="EG154" s="66"/>
      <c r="EH154" s="66"/>
      <c r="EI154" s="66"/>
      <c r="EJ154" s="66"/>
      <c r="EK154" s="124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H154" s="23">
        <f>5376+5134</f>
        <v>10510</v>
      </c>
      <c r="FI154" s="23">
        <f>6975+10342</f>
        <v>17317</v>
      </c>
    </row>
    <row r="155" spans="2:165" s="125" customFormat="1" x14ac:dyDescent="0.2">
      <c r="B155" s="20" t="s">
        <v>929</v>
      </c>
      <c r="C155" s="23"/>
      <c r="D155" s="23"/>
      <c r="E155" s="23"/>
      <c r="F155" s="23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124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H155" s="23">
        <v>3822</v>
      </c>
      <c r="FI155" s="23">
        <v>3401</v>
      </c>
    </row>
    <row r="156" spans="2:165" s="125" customFormat="1" x14ac:dyDescent="0.2">
      <c r="B156" s="20" t="s">
        <v>930</v>
      </c>
      <c r="C156" s="23"/>
      <c r="D156" s="23"/>
      <c r="E156" s="23"/>
      <c r="F156" s="23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66"/>
      <c r="DT156" s="66"/>
      <c r="DU156" s="66"/>
      <c r="DV156" s="66"/>
      <c r="DW156" s="66"/>
      <c r="DX156" s="66"/>
      <c r="DY156" s="66"/>
      <c r="DZ156" s="66"/>
      <c r="EA156" s="66"/>
      <c r="EB156" s="66"/>
      <c r="EC156" s="66"/>
      <c r="ED156" s="66"/>
      <c r="EE156" s="66"/>
      <c r="EF156" s="66"/>
      <c r="EG156" s="66"/>
      <c r="EH156" s="66"/>
      <c r="EI156" s="66"/>
      <c r="EJ156" s="66"/>
      <c r="EK156" s="124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H156" s="23">
        <f>344+6882</f>
        <v>7226</v>
      </c>
      <c r="FI156" s="23">
        <f>415+8569</f>
        <v>8984</v>
      </c>
    </row>
    <row r="157" spans="2:165" s="125" customFormat="1" x14ac:dyDescent="0.2">
      <c r="B157" s="20" t="s">
        <v>931</v>
      </c>
      <c r="C157" s="23"/>
      <c r="D157" s="23"/>
      <c r="E157" s="23"/>
      <c r="F157" s="23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  <c r="DV157" s="66"/>
      <c r="DW157" s="66"/>
      <c r="DX157" s="66"/>
      <c r="DY157" s="66"/>
      <c r="DZ157" s="66"/>
      <c r="EA157" s="66"/>
      <c r="EB157" s="66"/>
      <c r="EC157" s="66"/>
      <c r="ED157" s="66"/>
      <c r="EE157" s="66"/>
      <c r="EF157" s="66"/>
      <c r="EG157" s="66"/>
      <c r="EH157" s="66"/>
      <c r="EI157" s="66"/>
      <c r="EJ157" s="66"/>
      <c r="EK157" s="124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H157" s="23">
        <v>11021</v>
      </c>
      <c r="FI157" s="23">
        <v>11297</v>
      </c>
    </row>
    <row r="158" spans="2:165" s="125" customFormat="1" x14ac:dyDescent="0.2">
      <c r="B158" s="20" t="s">
        <v>932</v>
      </c>
      <c r="C158" s="23"/>
      <c r="D158" s="23"/>
      <c r="E158" s="23"/>
      <c r="F158" s="23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/>
      <c r="EH158" s="66"/>
      <c r="EI158" s="66"/>
      <c r="EJ158" s="66"/>
      <c r="EK158" s="124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H158" s="23">
        <v>7749</v>
      </c>
      <c r="FI158" s="23">
        <v>7606</v>
      </c>
    </row>
    <row r="159" spans="2:165" s="125" customFormat="1" x14ac:dyDescent="0.2">
      <c r="B159" s="20" t="s">
        <v>933</v>
      </c>
      <c r="C159" s="23"/>
      <c r="D159" s="23"/>
      <c r="E159" s="23"/>
      <c r="F159" s="23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/>
      <c r="EH159" s="66"/>
      <c r="EI159" s="66"/>
      <c r="EJ159" s="66"/>
      <c r="EK159" s="124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H159" s="23">
        <v>1964</v>
      </c>
      <c r="FI159" s="23">
        <v>2021</v>
      </c>
    </row>
    <row r="160" spans="2:165" s="125" customFormat="1" x14ac:dyDescent="0.2">
      <c r="B160" s="20" t="s">
        <v>934</v>
      </c>
      <c r="C160" s="23"/>
      <c r="D160" s="23"/>
      <c r="E160" s="23"/>
      <c r="F160" s="23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/>
      <c r="EH160" s="66"/>
      <c r="EI160" s="66"/>
      <c r="EJ160" s="66"/>
      <c r="EK160" s="124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H160" s="23">
        <v>1019</v>
      </c>
      <c r="FI160" s="23">
        <v>2256</v>
      </c>
    </row>
    <row r="161" spans="2:165" s="125" customFormat="1" x14ac:dyDescent="0.2">
      <c r="B161" s="20" t="s">
        <v>937</v>
      </c>
      <c r="C161" s="23"/>
      <c r="D161" s="23"/>
      <c r="E161" s="23"/>
      <c r="F161" s="23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66"/>
      <c r="DT161" s="66"/>
      <c r="DU161" s="66"/>
      <c r="DV161" s="66"/>
      <c r="DW161" s="66"/>
      <c r="DX161" s="66"/>
      <c r="DY161" s="66"/>
      <c r="DZ161" s="66"/>
      <c r="EA161" s="66"/>
      <c r="EB161" s="66"/>
      <c r="EC161" s="66"/>
      <c r="ED161" s="66"/>
      <c r="EE161" s="66"/>
      <c r="EF161" s="66"/>
      <c r="EG161" s="66"/>
      <c r="EH161" s="66"/>
      <c r="EI161" s="66"/>
      <c r="EJ161" s="66"/>
      <c r="EK161" s="124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H161" s="23">
        <f>9390+14828+1215</f>
        <v>25433</v>
      </c>
      <c r="FI161" s="23">
        <f>1183+7876+17303</f>
        <v>26362</v>
      </c>
    </row>
    <row r="162" spans="2:165" s="125" customFormat="1" x14ac:dyDescent="0.2">
      <c r="B162" s="20" t="s">
        <v>936</v>
      </c>
      <c r="C162" s="23"/>
      <c r="D162" s="23"/>
      <c r="E162" s="23"/>
      <c r="F162" s="23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66"/>
      <c r="DT162" s="66"/>
      <c r="DU162" s="66"/>
      <c r="DV162" s="66"/>
      <c r="DW162" s="66"/>
      <c r="DX162" s="66"/>
      <c r="DY162" s="66"/>
      <c r="DZ162" s="66"/>
      <c r="EA162" s="66"/>
      <c r="EB162" s="66"/>
      <c r="EC162" s="66"/>
      <c r="ED162" s="66"/>
      <c r="EE162" s="66"/>
      <c r="EF162" s="66"/>
      <c r="EG162" s="66"/>
      <c r="EH162" s="66"/>
      <c r="EI162" s="66"/>
      <c r="EJ162" s="66"/>
      <c r="EK162" s="124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H162" s="23">
        <v>21724</v>
      </c>
      <c r="FI162" s="23">
        <v>22557</v>
      </c>
    </row>
    <row r="163" spans="2:165" s="125" customFormat="1" x14ac:dyDescent="0.2">
      <c r="B163" s="20" t="s">
        <v>935</v>
      </c>
      <c r="C163" s="23"/>
      <c r="D163" s="23"/>
      <c r="E163" s="23"/>
      <c r="F163" s="23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25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66"/>
      <c r="DT163" s="66"/>
      <c r="DU163" s="66"/>
      <c r="DV163" s="66"/>
      <c r="DW163" s="66"/>
      <c r="DX163" s="66"/>
      <c r="DY163" s="66"/>
      <c r="DZ163" s="66"/>
      <c r="EA163" s="66"/>
      <c r="EB163" s="66"/>
      <c r="EC163" s="66"/>
      <c r="ED163" s="66"/>
      <c r="EE163" s="66"/>
      <c r="EF163" s="66"/>
      <c r="EG163" s="66"/>
      <c r="EH163" s="66"/>
      <c r="EI163" s="66"/>
      <c r="EJ163" s="66"/>
      <c r="EK163" s="124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H163" s="24">
        <f>SUM(FH154:FH162)</f>
        <v>90468</v>
      </c>
      <c r="FI163" s="24">
        <f>SUM(FI154:FI162)</f>
        <v>101801</v>
      </c>
    </row>
    <row r="165" spans="2:165" s="125" customFormat="1" x14ac:dyDescent="0.2">
      <c r="B165" s="20" t="s">
        <v>611</v>
      </c>
      <c r="C165" s="23"/>
      <c r="D165" s="23"/>
      <c r="E165" s="23"/>
      <c r="F165" s="23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25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66"/>
      <c r="EK165" s="124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H165" s="23">
        <f>4400+24809</f>
        <v>29209</v>
      </c>
      <c r="FI165" s="23">
        <f>30722+3932</f>
        <v>34654</v>
      </c>
    </row>
    <row r="166" spans="2:165" s="125" customFormat="1" x14ac:dyDescent="0.2">
      <c r="B166" s="20" t="s">
        <v>941</v>
      </c>
      <c r="C166" s="23"/>
      <c r="D166" s="23"/>
      <c r="E166" s="23"/>
      <c r="F166" s="23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25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  <c r="EG166" s="66"/>
      <c r="EH166" s="66"/>
      <c r="EI166" s="66"/>
      <c r="EJ166" s="66"/>
      <c r="EK166" s="124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H166" s="23">
        <v>12158</v>
      </c>
      <c r="FI166" s="23">
        <v>13548</v>
      </c>
    </row>
    <row r="167" spans="2:165" s="125" customFormat="1" x14ac:dyDescent="0.2">
      <c r="B167" s="20" t="s">
        <v>940</v>
      </c>
      <c r="C167" s="23"/>
      <c r="D167" s="23"/>
      <c r="E167" s="23"/>
      <c r="F167" s="23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25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6"/>
      <c r="EJ167" s="66"/>
      <c r="EK167" s="124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H167" s="23">
        <v>4325</v>
      </c>
      <c r="FI167" s="23">
        <v>4894</v>
      </c>
    </row>
    <row r="168" spans="2:165" s="125" customFormat="1" x14ac:dyDescent="0.2">
      <c r="B168" s="20" t="s">
        <v>939</v>
      </c>
      <c r="C168" s="23"/>
      <c r="D168" s="23"/>
      <c r="E168" s="23"/>
      <c r="F168" s="23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25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  <c r="EG168" s="66"/>
      <c r="EH168" s="66"/>
      <c r="EI168" s="66"/>
      <c r="EJ168" s="66"/>
      <c r="EK168" s="124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H168" s="23">
        <f>1684+1059</f>
        <v>2743</v>
      </c>
      <c r="FI168" s="23">
        <f>1726+1079</f>
        <v>2805</v>
      </c>
    </row>
    <row r="169" spans="2:165" s="125" customFormat="1" x14ac:dyDescent="0.2">
      <c r="B169" s="20" t="s">
        <v>930</v>
      </c>
      <c r="C169" s="23"/>
      <c r="D169" s="23"/>
      <c r="E169" s="23"/>
      <c r="F169" s="23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25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6"/>
      <c r="DY169" s="66"/>
      <c r="DZ169" s="66"/>
      <c r="EA169" s="66"/>
      <c r="EB169" s="66"/>
      <c r="EC169" s="66"/>
      <c r="ED169" s="66"/>
      <c r="EE169" s="66"/>
      <c r="EF169" s="66"/>
      <c r="EG169" s="66"/>
      <c r="EH169" s="66"/>
      <c r="EI169" s="66"/>
      <c r="EJ169" s="66"/>
      <c r="EK169" s="124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H169" s="23">
        <f>2257+593</f>
        <v>2850</v>
      </c>
      <c r="FI169" s="23">
        <f>2923+832</f>
        <v>3755</v>
      </c>
    </row>
    <row r="170" spans="2:165" s="125" customFormat="1" x14ac:dyDescent="0.2">
      <c r="B170" s="20" t="s">
        <v>942</v>
      </c>
      <c r="C170" s="23"/>
      <c r="D170" s="23"/>
      <c r="E170" s="23"/>
      <c r="F170" s="23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25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66"/>
      <c r="DT170" s="66"/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 s="66"/>
      <c r="EF170" s="66"/>
      <c r="EG170" s="66"/>
      <c r="EH170" s="66"/>
      <c r="EI170" s="66"/>
      <c r="EJ170" s="66"/>
      <c r="EK170" s="124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H170" s="23">
        <v>1541</v>
      </c>
      <c r="FI170" s="23">
        <v>1603</v>
      </c>
    </row>
    <row r="171" spans="2:165" s="125" customFormat="1" x14ac:dyDescent="0.2">
      <c r="B171" s="20" t="s">
        <v>943</v>
      </c>
      <c r="C171" s="23"/>
      <c r="D171" s="23"/>
      <c r="E171" s="23"/>
      <c r="F171" s="23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25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66"/>
      <c r="DT171" s="66"/>
      <c r="DU171" s="66"/>
      <c r="DV171" s="66"/>
      <c r="DW171" s="66"/>
      <c r="DX171" s="66"/>
      <c r="DY171" s="66"/>
      <c r="DZ171" s="66"/>
      <c r="EA171" s="66"/>
      <c r="EB171" s="66"/>
      <c r="EC171" s="66"/>
      <c r="ED171" s="66"/>
      <c r="EE171" s="66"/>
      <c r="EF171" s="66"/>
      <c r="EG171" s="66"/>
      <c r="EH171" s="66"/>
      <c r="EI171" s="66"/>
      <c r="EJ171" s="66"/>
      <c r="EK171" s="124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H171" s="23">
        <v>4379</v>
      </c>
      <c r="FI171" s="23">
        <v>4381</v>
      </c>
    </row>
    <row r="172" spans="2:165" s="125" customFormat="1" x14ac:dyDescent="0.2">
      <c r="B172" s="20" t="s">
        <v>945</v>
      </c>
      <c r="C172" s="23"/>
      <c r="D172" s="23"/>
      <c r="E172" s="23"/>
      <c r="F172" s="23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25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124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H172" s="23">
        <v>33263</v>
      </c>
      <c r="FI172" s="23">
        <v>36161</v>
      </c>
    </row>
    <row r="173" spans="2:165" s="125" customFormat="1" x14ac:dyDescent="0.2">
      <c r="B173" s="20" t="s">
        <v>944</v>
      </c>
      <c r="C173" s="23"/>
      <c r="D173" s="23"/>
      <c r="E173" s="23"/>
      <c r="F173" s="23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25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66"/>
      <c r="DT173" s="66"/>
      <c r="DU173" s="66"/>
      <c r="DV173" s="66"/>
      <c r="DW173" s="66"/>
      <c r="DX173" s="66"/>
      <c r="DY173" s="66"/>
      <c r="DZ173" s="66"/>
      <c r="EA173" s="66"/>
      <c r="EB173" s="66"/>
      <c r="EC173" s="66"/>
      <c r="ED173" s="66"/>
      <c r="EE173" s="66"/>
      <c r="EF173" s="66"/>
      <c r="EG173" s="66"/>
      <c r="EH173" s="66"/>
      <c r="EI173" s="66"/>
      <c r="EJ173" s="66"/>
      <c r="EK173" s="124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H173" s="24">
        <f>SUM(FH165:FH172)</f>
        <v>90468</v>
      </c>
      <c r="FI173" s="24">
        <f>SUM(FI165:FI172)</f>
        <v>101801</v>
      </c>
    </row>
    <row r="175" spans="2:165" s="125" customFormat="1" x14ac:dyDescent="0.2">
      <c r="B175" s="20" t="s">
        <v>604</v>
      </c>
      <c r="C175" s="23"/>
      <c r="D175" s="23"/>
      <c r="E175" s="23"/>
      <c r="F175" s="23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25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124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H175" s="23">
        <f>+FH87</f>
        <v>14109</v>
      </c>
      <c r="FI175" s="23">
        <f>+FI87</f>
        <v>14250.09</v>
      </c>
    </row>
    <row r="176" spans="2:165" s="125" customFormat="1" x14ac:dyDescent="0.2">
      <c r="B176" s="20" t="s">
        <v>1030</v>
      </c>
      <c r="C176" s="23"/>
      <c r="D176" s="23"/>
      <c r="E176" s="23"/>
      <c r="F176" s="23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25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124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H176" s="23">
        <v>22617</v>
      </c>
      <c r="FI176" s="23">
        <v>24332</v>
      </c>
    </row>
    <row r="177" spans="2:165" s="125" customFormat="1" x14ac:dyDescent="0.2">
      <c r="B177" s="20" t="s">
        <v>1031</v>
      </c>
      <c r="C177" s="23"/>
      <c r="D177" s="23"/>
      <c r="E177" s="23"/>
      <c r="F177" s="23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25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124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H177" s="23">
        <v>-1107</v>
      </c>
      <c r="FI177" s="23">
        <v>1161</v>
      </c>
    </row>
    <row r="178" spans="2:165" s="125" customFormat="1" x14ac:dyDescent="0.2">
      <c r="B178" s="20" t="s">
        <v>934</v>
      </c>
      <c r="C178" s="23"/>
      <c r="D178" s="23"/>
      <c r="E178" s="23"/>
      <c r="F178" s="23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25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  <c r="DS178" s="66"/>
      <c r="DT178" s="66"/>
      <c r="DU178" s="66"/>
      <c r="DV178" s="66"/>
      <c r="DW178" s="66"/>
      <c r="DX178" s="66"/>
      <c r="DY178" s="66"/>
      <c r="DZ178" s="66"/>
      <c r="EA178" s="66"/>
      <c r="EB178" s="66"/>
      <c r="EC178" s="66"/>
      <c r="ED178" s="66"/>
      <c r="EE178" s="66"/>
      <c r="EF178" s="66"/>
      <c r="EG178" s="66"/>
      <c r="EH178" s="66"/>
      <c r="EI178" s="66"/>
      <c r="EJ178" s="66"/>
      <c r="EK178" s="124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H178" s="23">
        <v>-743</v>
      </c>
      <c r="FI178" s="23">
        <v>-661</v>
      </c>
    </row>
    <row r="179" spans="2:165" s="125" customFormat="1" x14ac:dyDescent="0.2">
      <c r="B179" s="20" t="s">
        <v>939</v>
      </c>
      <c r="C179" s="23"/>
      <c r="D179" s="23"/>
      <c r="E179" s="23"/>
      <c r="F179" s="23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25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  <c r="DV179" s="66"/>
      <c r="DW179" s="66"/>
      <c r="DX179" s="66"/>
      <c r="DY179" s="66"/>
      <c r="DZ179" s="66"/>
      <c r="EA179" s="66"/>
      <c r="EB179" s="66"/>
      <c r="EC179" s="66"/>
      <c r="ED179" s="66"/>
      <c r="EE179" s="66"/>
      <c r="EF179" s="66"/>
      <c r="EG179" s="66"/>
      <c r="EH179" s="66"/>
      <c r="EI179" s="66"/>
      <c r="EJ179" s="66"/>
      <c r="EK179" s="124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H179" s="23">
        <v>-1052</v>
      </c>
      <c r="FI179" s="23">
        <v>-1012</v>
      </c>
    </row>
    <row r="180" spans="2:165" s="125" customFormat="1" x14ac:dyDescent="0.2">
      <c r="B180" s="20" t="s">
        <v>18</v>
      </c>
      <c r="C180" s="23"/>
      <c r="D180" s="23"/>
      <c r="E180" s="23"/>
      <c r="F180" s="23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25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66"/>
      <c r="DT180" s="66"/>
      <c r="DU180" s="66"/>
      <c r="DV180" s="66"/>
      <c r="DW180" s="66"/>
      <c r="DX180" s="66"/>
      <c r="DY180" s="66"/>
      <c r="DZ180" s="66"/>
      <c r="EA180" s="66"/>
      <c r="EB180" s="66"/>
      <c r="EC180" s="66"/>
      <c r="ED180" s="66"/>
      <c r="EE180" s="66"/>
      <c r="EF180" s="66"/>
      <c r="EG180" s="66"/>
      <c r="EH180" s="66"/>
      <c r="EI180" s="66"/>
      <c r="EJ180" s="66"/>
      <c r="EK180" s="124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H180" s="23">
        <v>0</v>
      </c>
      <c r="FI180" s="23">
        <v>1</v>
      </c>
    </row>
    <row r="181" spans="2:165" s="125" customFormat="1" x14ac:dyDescent="0.2">
      <c r="B181" s="20" t="s">
        <v>930</v>
      </c>
      <c r="C181" s="23"/>
      <c r="D181" s="23"/>
      <c r="E181" s="23"/>
      <c r="F181" s="23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25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  <c r="DV181" s="66"/>
      <c r="DW181" s="66"/>
      <c r="DX181" s="66"/>
      <c r="DY181" s="66"/>
      <c r="DZ181" s="66"/>
      <c r="EA181" s="66"/>
      <c r="EB181" s="66"/>
      <c r="EC181" s="66"/>
      <c r="ED181" s="66"/>
      <c r="EE181" s="66"/>
      <c r="EF181" s="66"/>
      <c r="EG181" s="66"/>
      <c r="EH181" s="66"/>
      <c r="EI181" s="66"/>
      <c r="EJ181" s="66"/>
      <c r="EK181" s="124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H181" s="23">
        <v>-3620</v>
      </c>
      <c r="FI181" s="23">
        <v>-3727</v>
      </c>
    </row>
    <row r="182" spans="2:165" s="125" customFormat="1" x14ac:dyDescent="0.2">
      <c r="B182" s="20" t="s">
        <v>601</v>
      </c>
      <c r="C182" s="23"/>
      <c r="D182" s="23"/>
      <c r="E182" s="23"/>
      <c r="F182" s="23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25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  <c r="DS182" s="66"/>
      <c r="DT182" s="66"/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/>
      <c r="EH182" s="66"/>
      <c r="EI182" s="66"/>
      <c r="EJ182" s="66"/>
      <c r="EK182" s="124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H182" s="23">
        <f>SUM(FH176:FH181)</f>
        <v>16095</v>
      </c>
      <c r="FI182" s="23">
        <f>SUM(FI176:FI181)</f>
        <v>20094</v>
      </c>
    </row>
    <row r="184" spans="2:165" s="125" customFormat="1" x14ac:dyDescent="0.2">
      <c r="B184" s="20" t="s">
        <v>1033</v>
      </c>
      <c r="C184" s="23"/>
      <c r="D184" s="23"/>
      <c r="E184" s="23"/>
      <c r="F184" s="23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25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66"/>
      <c r="DT184" s="66"/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/>
      <c r="EH184" s="66"/>
      <c r="EI184" s="66"/>
      <c r="EJ184" s="66"/>
      <c r="EK184" s="124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H184" s="23">
        <f>-3742+173</f>
        <v>-3569</v>
      </c>
      <c r="FI184" s="23">
        <f>-3529+61</f>
        <v>-3468</v>
      </c>
    </row>
    <row r="185" spans="2:165" s="125" customFormat="1" x14ac:dyDescent="0.2">
      <c r="B185" s="20" t="s">
        <v>1034</v>
      </c>
      <c r="C185" s="23"/>
      <c r="D185" s="23"/>
      <c r="E185" s="23"/>
      <c r="F185" s="23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25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66"/>
      <c r="DT185" s="66"/>
      <c r="DU185" s="66"/>
      <c r="DV185" s="66"/>
      <c r="DW185" s="66"/>
      <c r="DX185" s="66"/>
      <c r="DY185" s="66"/>
      <c r="DZ185" s="66"/>
      <c r="EA185" s="66"/>
      <c r="EB185" s="66"/>
      <c r="EC185" s="66"/>
      <c r="ED185" s="66"/>
      <c r="EE185" s="66"/>
      <c r="EF185" s="66"/>
      <c r="EG185" s="66"/>
      <c r="EH185" s="66"/>
      <c r="EI185" s="66"/>
      <c r="EJ185" s="66"/>
      <c r="EK185" s="124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H185" s="23">
        <v>-907</v>
      </c>
      <c r="FI185" s="23">
        <v>-1480</v>
      </c>
    </row>
    <row r="186" spans="2:165" s="125" customFormat="1" x14ac:dyDescent="0.2">
      <c r="B186" s="20" t="s">
        <v>1035</v>
      </c>
      <c r="C186" s="23"/>
      <c r="D186" s="23"/>
      <c r="E186" s="23"/>
      <c r="F186" s="23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25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66"/>
      <c r="DT186" s="66"/>
      <c r="DU186" s="66"/>
      <c r="DV186" s="66"/>
      <c r="DW186" s="66"/>
      <c r="DX186" s="66"/>
      <c r="DY186" s="66"/>
      <c r="DZ186" s="66"/>
      <c r="EA186" s="66"/>
      <c r="EB186" s="66"/>
      <c r="EC186" s="66"/>
      <c r="ED186" s="66"/>
      <c r="EE186" s="66"/>
      <c r="EF186" s="66"/>
      <c r="EG186" s="66"/>
      <c r="EH186" s="66"/>
      <c r="EI186" s="66"/>
      <c r="EJ186" s="66"/>
      <c r="EK186" s="124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H186" s="54">
        <f>558+1</f>
        <v>559</v>
      </c>
      <c r="FI186" s="23">
        <f>376+1049+1</f>
        <v>1426</v>
      </c>
    </row>
    <row r="187" spans="2:165" s="125" customFormat="1" x14ac:dyDescent="0.2">
      <c r="B187" s="20" t="s">
        <v>1036</v>
      </c>
      <c r="C187" s="23"/>
      <c r="D187" s="23"/>
      <c r="E187" s="23"/>
      <c r="F187" s="23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25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  <c r="DV187" s="66"/>
      <c r="DW187" s="66"/>
      <c r="DX187" s="66"/>
      <c r="DY187" s="66"/>
      <c r="DZ187" s="66"/>
      <c r="EA187" s="66"/>
      <c r="EB187" s="66"/>
      <c r="EC187" s="66"/>
      <c r="ED187" s="66"/>
      <c r="EE187" s="66"/>
      <c r="EF187" s="66"/>
      <c r="EG187" s="66"/>
      <c r="EH187" s="66"/>
      <c r="EI187" s="66"/>
      <c r="EJ187" s="66"/>
      <c r="EK187" s="124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H187" s="23">
        <v>-6220</v>
      </c>
      <c r="FI187" s="23">
        <f>-2836-283</f>
        <v>-3119</v>
      </c>
    </row>
    <row r="188" spans="2:165" s="125" customFormat="1" x14ac:dyDescent="0.2">
      <c r="B188" s="20" t="s">
        <v>1037</v>
      </c>
      <c r="C188" s="23"/>
      <c r="D188" s="23"/>
      <c r="E188" s="23"/>
      <c r="F188" s="23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25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  <c r="DS188" s="66"/>
      <c r="DT188" s="66"/>
      <c r="DU188" s="66"/>
      <c r="DV188" s="66"/>
      <c r="DW188" s="66"/>
      <c r="DX188" s="66"/>
      <c r="DY188" s="66"/>
      <c r="DZ188" s="66"/>
      <c r="EA188" s="66"/>
      <c r="EB188" s="66"/>
      <c r="EC188" s="66"/>
      <c r="ED188" s="66"/>
      <c r="EE188" s="66"/>
      <c r="EF188" s="66"/>
      <c r="EG188" s="66"/>
      <c r="EH188" s="66"/>
      <c r="EI188" s="66"/>
      <c r="EJ188" s="66"/>
      <c r="EK188" s="124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H188" s="23">
        <f>168+125-87-745+33</f>
        <v>-506</v>
      </c>
      <c r="FI188" s="23">
        <f>232+198-112-5084+14</f>
        <v>-4752</v>
      </c>
    </row>
    <row r="189" spans="2:165" s="125" customFormat="1" x14ac:dyDescent="0.2">
      <c r="B189" s="20" t="s">
        <v>1032</v>
      </c>
      <c r="C189" s="23"/>
      <c r="D189" s="23"/>
      <c r="E189" s="23"/>
      <c r="F189" s="23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25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  <c r="DV189" s="66"/>
      <c r="DW189" s="66"/>
      <c r="DX189" s="66"/>
      <c r="DY189" s="66"/>
      <c r="DZ189" s="66"/>
      <c r="EA189" s="66"/>
      <c r="EB189" s="66"/>
      <c r="EC189" s="66"/>
      <c r="ED189" s="66"/>
      <c r="EE189" s="66"/>
      <c r="EF189" s="66"/>
      <c r="EG189" s="66"/>
      <c r="EH189" s="66"/>
      <c r="EI189" s="66"/>
      <c r="EJ189" s="66"/>
      <c r="EK189" s="124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H189" s="23">
        <f>SUM(FH184:FH188)</f>
        <v>-10643</v>
      </c>
      <c r="FI189" s="23">
        <f>SUM(FI184:FI188)</f>
        <v>-11393</v>
      </c>
    </row>
    <row r="191" spans="2:165" s="125" customFormat="1" x14ac:dyDescent="0.2">
      <c r="B191" s="20" t="s">
        <v>611</v>
      </c>
      <c r="C191" s="23"/>
      <c r="D191" s="23"/>
      <c r="E191" s="23"/>
      <c r="F191" s="23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25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6"/>
      <c r="EJ191" s="66"/>
      <c r="EK191" s="124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H191" s="23">
        <f>8167-1751-806+175+155-770</f>
        <v>5170</v>
      </c>
      <c r="FI191" s="23">
        <f>7915-3095-709-292+30-1145</f>
        <v>2704</v>
      </c>
    </row>
    <row r="192" spans="2:165" s="125" customFormat="1" x14ac:dyDescent="0.2">
      <c r="B192" s="20" t="s">
        <v>1041</v>
      </c>
      <c r="C192" s="23"/>
      <c r="D192" s="23"/>
      <c r="E192" s="23"/>
      <c r="F192" s="23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25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  <c r="DS192" s="66"/>
      <c r="DT192" s="66"/>
      <c r="DU192" s="66"/>
      <c r="DV192" s="66"/>
      <c r="DW192" s="66"/>
      <c r="DX192" s="66"/>
      <c r="DY192" s="66"/>
      <c r="DZ192" s="66"/>
      <c r="EA192" s="66"/>
      <c r="EB192" s="66"/>
      <c r="EC192" s="66"/>
      <c r="ED192" s="66"/>
      <c r="EE192" s="66"/>
      <c r="EF192" s="66"/>
      <c r="EG192" s="66"/>
      <c r="EH192" s="66"/>
      <c r="EI192" s="66"/>
      <c r="EJ192" s="66"/>
      <c r="EK192" s="124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H192" s="23">
        <v>-339</v>
      </c>
      <c r="FI192" s="23">
        <v>-350</v>
      </c>
    </row>
    <row r="193" spans="2:165" s="125" customFormat="1" x14ac:dyDescent="0.2">
      <c r="B193" s="20" t="s">
        <v>1040</v>
      </c>
      <c r="C193" s="23"/>
      <c r="D193" s="23"/>
      <c r="E193" s="23"/>
      <c r="F193" s="23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25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  <c r="DV193" s="66"/>
      <c r="DW193" s="66"/>
      <c r="DX193" s="66"/>
      <c r="DY193" s="66"/>
      <c r="DZ193" s="66"/>
      <c r="EA193" s="66"/>
      <c r="EB193" s="66"/>
      <c r="EC193" s="66"/>
      <c r="ED193" s="66"/>
      <c r="EE193" s="66"/>
      <c r="EF193" s="66"/>
      <c r="EG193" s="66"/>
      <c r="EH193" s="66"/>
      <c r="EI193" s="66"/>
      <c r="EJ193" s="66"/>
      <c r="EK193" s="124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H193" s="23">
        <v>-7926</v>
      </c>
      <c r="FI193" s="23">
        <v>-8043</v>
      </c>
    </row>
    <row r="194" spans="2:165" s="125" customFormat="1" x14ac:dyDescent="0.2">
      <c r="B194" s="20" t="s">
        <v>1039</v>
      </c>
      <c r="C194" s="23"/>
      <c r="D194" s="23"/>
      <c r="E194" s="23"/>
      <c r="F194" s="23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25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  <c r="DS194" s="66"/>
      <c r="DT194" s="66"/>
      <c r="DU194" s="66"/>
      <c r="DV194" s="66"/>
      <c r="DW194" s="66"/>
      <c r="DX194" s="6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6"/>
      <c r="EJ194" s="66"/>
      <c r="EK194" s="124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H194" s="23">
        <v>-1144</v>
      </c>
      <c r="FI194" s="23">
        <v>-1130</v>
      </c>
    </row>
    <row r="195" spans="2:165" s="125" customFormat="1" x14ac:dyDescent="0.2">
      <c r="B195" s="20" t="s">
        <v>1038</v>
      </c>
      <c r="C195" s="23"/>
      <c r="D195" s="23"/>
      <c r="E195" s="23"/>
      <c r="F195" s="23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25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6"/>
      <c r="EJ195" s="66"/>
      <c r="EK195" s="124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H195" s="23">
        <f t="shared" ref="FH195" si="166">SUM(FH191:FH194)</f>
        <v>-4239</v>
      </c>
      <c r="FI195" s="23">
        <f>SUM(FI191:FI194)</f>
        <v>-6819</v>
      </c>
    </row>
    <row r="196" spans="2:165" x14ac:dyDescent="0.2">
      <c r="B196" s="3" t="s">
        <v>1043</v>
      </c>
      <c r="FH196" s="44">
        <v>-828</v>
      </c>
      <c r="FI196" s="44">
        <v>-283</v>
      </c>
    </row>
    <row r="197" spans="2:165" x14ac:dyDescent="0.2">
      <c r="B197" s="3" t="s">
        <v>1042</v>
      </c>
      <c r="FH197" s="23">
        <f t="shared" ref="FH197" si="167">+FH196+FH195+FH189+FH182</f>
        <v>385</v>
      </c>
      <c r="FI197" s="23">
        <f>+FI196+FI195+FI189+FI182</f>
        <v>1599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75" x14ac:dyDescent="0.2"/>
  <cols>
    <col min="1" max="1" width="4.5703125" bestFit="1" customWidth="1"/>
    <col min="2" max="2" width="12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802</v>
      </c>
    </row>
    <row r="3" spans="1:3" x14ac:dyDescent="0.2">
      <c r="B3" s="2" t="s">
        <v>814</v>
      </c>
      <c r="C3" s="2" t="s">
        <v>974</v>
      </c>
    </row>
    <row r="4" spans="1:3" x14ac:dyDescent="0.2">
      <c r="B4" s="2" t="s">
        <v>44</v>
      </c>
      <c r="C4" s="2" t="s">
        <v>976</v>
      </c>
    </row>
    <row r="5" spans="1:3" x14ac:dyDescent="0.2">
      <c r="B5" s="2" t="s">
        <v>817</v>
      </c>
      <c r="C5" s="2" t="s">
        <v>977</v>
      </c>
    </row>
    <row r="6" spans="1:3" x14ac:dyDescent="0.2">
      <c r="B6" s="2" t="s">
        <v>978</v>
      </c>
      <c r="C6" s="2" t="s">
        <v>979</v>
      </c>
    </row>
    <row r="7" spans="1:3" x14ac:dyDescent="0.2">
      <c r="B7" s="2" t="s">
        <v>104</v>
      </c>
      <c r="C7" s="2" t="s">
        <v>975</v>
      </c>
    </row>
    <row r="8" spans="1:3" x14ac:dyDescent="0.2">
      <c r="B8" s="2"/>
      <c r="C8" s="2" t="s">
        <v>980</v>
      </c>
    </row>
    <row r="9" spans="1:3" x14ac:dyDescent="0.2">
      <c r="B9" s="2" t="s">
        <v>53</v>
      </c>
    </row>
    <row r="10" spans="1:3" x14ac:dyDescent="0.2">
      <c r="C10" s="40" t="s">
        <v>981</v>
      </c>
    </row>
    <row r="11" spans="1:3" x14ac:dyDescent="0.2">
      <c r="C11" s="2" t="s">
        <v>989</v>
      </c>
    </row>
    <row r="12" spans="1:3" x14ac:dyDescent="0.2">
      <c r="C12" s="2" t="s">
        <v>988</v>
      </c>
    </row>
    <row r="14" spans="1:3" x14ac:dyDescent="0.2">
      <c r="C14" s="40" t="s">
        <v>982</v>
      </c>
    </row>
    <row r="15" spans="1:3" x14ac:dyDescent="0.2">
      <c r="C15" s="2" t="s">
        <v>990</v>
      </c>
    </row>
    <row r="16" spans="1:3" x14ac:dyDescent="0.2">
      <c r="C16" s="2" t="s">
        <v>991</v>
      </c>
    </row>
    <row r="17" spans="3:3" x14ac:dyDescent="0.2">
      <c r="C17" s="91"/>
    </row>
    <row r="18" spans="3:3" x14ac:dyDescent="0.2">
      <c r="C18" s="40" t="s">
        <v>985</v>
      </c>
    </row>
    <row r="19" spans="3:3" x14ac:dyDescent="0.2">
      <c r="C19" s="2" t="s">
        <v>992</v>
      </c>
    </row>
    <row r="22" spans="3:3" x14ac:dyDescent="0.2">
      <c r="C22" s="40" t="s">
        <v>986</v>
      </c>
    </row>
    <row r="23" spans="3:3" x14ac:dyDescent="0.2">
      <c r="C23" s="2" t="s">
        <v>993</v>
      </c>
    </row>
    <row r="26" spans="3:3" x14ac:dyDescent="0.2">
      <c r="C26" s="40" t="s">
        <v>983</v>
      </c>
    </row>
    <row r="29" spans="3:3" x14ac:dyDescent="0.2">
      <c r="C29" s="40" t="s">
        <v>984</v>
      </c>
    </row>
    <row r="33" spans="3:3" x14ac:dyDescent="0.2">
      <c r="C33" s="40" t="s">
        <v>987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893</v>
      </c>
    </row>
    <row r="3" spans="1:3" x14ac:dyDescent="0.2">
      <c r="B3" s="2" t="s">
        <v>814</v>
      </c>
      <c r="C3" s="2" t="s">
        <v>815</v>
      </c>
    </row>
    <row r="4" spans="1:3" x14ac:dyDescent="0.2">
      <c r="B4" s="2" t="s">
        <v>44</v>
      </c>
      <c r="C4" s="2" t="s">
        <v>816</v>
      </c>
    </row>
    <row r="5" spans="1:3" x14ac:dyDescent="0.2">
      <c r="B5" s="2"/>
      <c r="C5" s="2" t="s">
        <v>832</v>
      </c>
    </row>
    <row r="6" spans="1:3" x14ac:dyDescent="0.2">
      <c r="B6" s="2" t="s">
        <v>817</v>
      </c>
      <c r="C6" s="2" t="s">
        <v>812</v>
      </c>
    </row>
    <row r="7" spans="1:3" x14ac:dyDescent="0.2">
      <c r="B7" s="2" t="s">
        <v>53</v>
      </c>
    </row>
    <row r="8" spans="1:3" x14ac:dyDescent="0.2">
      <c r="C8" s="40" t="s">
        <v>831</v>
      </c>
    </row>
    <row r="9" spans="1:3" x14ac:dyDescent="0.2">
      <c r="C9" s="2" t="s">
        <v>828</v>
      </c>
    </row>
    <row r="10" spans="1:3" x14ac:dyDescent="0.2">
      <c r="C10" s="2" t="s">
        <v>829</v>
      </c>
    </row>
    <row r="11" spans="1:3" x14ac:dyDescent="0.2">
      <c r="C11" s="2" t="s">
        <v>830</v>
      </c>
    </row>
    <row r="13" spans="1:3" x14ac:dyDescent="0.2">
      <c r="C13" s="40" t="s">
        <v>839</v>
      </c>
    </row>
    <row r="14" spans="1:3" x14ac:dyDescent="0.2">
      <c r="C14" s="2" t="s">
        <v>838</v>
      </c>
    </row>
    <row r="15" spans="1:3" x14ac:dyDescent="0.2">
      <c r="C15" s="2" t="s">
        <v>837</v>
      </c>
    </row>
    <row r="16" spans="1:3" x14ac:dyDescent="0.2">
      <c r="C16" s="2" t="s">
        <v>835</v>
      </c>
    </row>
    <row r="17" spans="3:3" x14ac:dyDescent="0.2">
      <c r="C17" s="2" t="s">
        <v>836</v>
      </c>
    </row>
    <row r="18" spans="3:3" x14ac:dyDescent="0.2">
      <c r="C18" s="2" t="s">
        <v>840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zoomScale="190" zoomScaleNormal="190" workbookViewId="0"/>
  </sheetViews>
  <sheetFormatPr defaultRowHeight="12.75" x14ac:dyDescent="0.2"/>
  <cols>
    <col min="1" max="1" width="4.5703125" bestFit="1" customWidth="1"/>
    <col min="2" max="2" width="12.42578125" customWidth="1"/>
  </cols>
  <sheetData>
    <row r="1" spans="1:3" x14ac:dyDescent="0.2">
      <c r="A1" s="39" t="s">
        <v>55</v>
      </c>
    </row>
    <row r="2" spans="1:3" x14ac:dyDescent="0.2">
      <c r="B2" s="2" t="s">
        <v>813</v>
      </c>
      <c r="C2" s="2" t="s">
        <v>799</v>
      </c>
    </row>
    <row r="3" spans="1:3" x14ac:dyDescent="0.2">
      <c r="B3" s="2" t="s">
        <v>814</v>
      </c>
      <c r="C3" s="2" t="s">
        <v>998</v>
      </c>
    </row>
    <row r="4" spans="1:3" x14ac:dyDescent="0.2">
      <c r="B4" s="2" t="s">
        <v>44</v>
      </c>
      <c r="C4" s="2" t="s">
        <v>146</v>
      </c>
    </row>
    <row r="5" spans="1:3" x14ac:dyDescent="0.2">
      <c r="B5" s="2" t="s">
        <v>104</v>
      </c>
      <c r="C5" s="2" t="s">
        <v>997</v>
      </c>
    </row>
    <row r="6" spans="1:3" x14ac:dyDescent="0.2">
      <c r="B6" s="2" t="s">
        <v>817</v>
      </c>
    </row>
    <row r="7" spans="1:3" x14ac:dyDescent="0.2">
      <c r="B7" s="2" t="s">
        <v>65</v>
      </c>
      <c r="C7" s="2" t="s">
        <v>996</v>
      </c>
    </row>
    <row r="8" spans="1:3" x14ac:dyDescent="0.2">
      <c r="B8" s="2" t="s">
        <v>53</v>
      </c>
    </row>
    <row r="9" spans="1:3" x14ac:dyDescent="0.2">
      <c r="C9" s="40" t="s">
        <v>999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5546875"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39" t="s">
        <v>55</v>
      </c>
    </row>
    <row r="2" spans="1:5" x14ac:dyDescent="0.2">
      <c r="B2" s="2" t="s">
        <v>408</v>
      </c>
    </row>
    <row r="3" spans="1:5" x14ac:dyDescent="0.2">
      <c r="B3" s="2" t="s">
        <v>504</v>
      </c>
    </row>
    <row r="4" spans="1:5" x14ac:dyDescent="0.2">
      <c r="B4" s="2" t="s">
        <v>407</v>
      </c>
    </row>
    <row r="5" spans="1:5" x14ac:dyDescent="0.2">
      <c r="B5" s="3" t="s">
        <v>401</v>
      </c>
    </row>
    <row r="6" spans="1:5" x14ac:dyDescent="0.2">
      <c r="B6" s="3" t="s">
        <v>402</v>
      </c>
    </row>
    <row r="7" spans="1:5" x14ac:dyDescent="0.2">
      <c r="B7" s="2" t="s">
        <v>410</v>
      </c>
    </row>
    <row r="8" spans="1:5" x14ac:dyDescent="0.2">
      <c r="B8" s="2" t="s">
        <v>409</v>
      </c>
    </row>
    <row r="9" spans="1:5" x14ac:dyDescent="0.2">
      <c r="B9" s="2" t="s">
        <v>457</v>
      </c>
    </row>
    <row r="11" spans="1:5" x14ac:dyDescent="0.2">
      <c r="B11" s="40" t="s">
        <v>459</v>
      </c>
      <c r="C11" s="64" t="s">
        <v>482</v>
      </c>
      <c r="E11" s="40" t="s">
        <v>660</v>
      </c>
    </row>
    <row r="12" spans="1:5" x14ac:dyDescent="0.2">
      <c r="B12" s="2" t="s">
        <v>460</v>
      </c>
      <c r="C12" s="65">
        <f>3363/7365</f>
        <v>0.4566191446028513</v>
      </c>
      <c r="E12" s="2" t="s">
        <v>663</v>
      </c>
    </row>
    <row r="13" spans="1:5" x14ac:dyDescent="0.2">
      <c r="B13" s="2" t="s">
        <v>461</v>
      </c>
      <c r="C13" s="65">
        <f>346/7365</f>
        <v>4.6978954514596064E-2</v>
      </c>
      <c r="E13" s="2" t="s">
        <v>664</v>
      </c>
    </row>
    <row r="14" spans="1:5" x14ac:dyDescent="0.2">
      <c r="B14" s="2" t="s">
        <v>462</v>
      </c>
      <c r="C14" s="65">
        <f>2158/7365</f>
        <v>0.29300746775288528</v>
      </c>
      <c r="E14" s="2" t="s">
        <v>661</v>
      </c>
    </row>
    <row r="15" spans="1:5" x14ac:dyDescent="0.2">
      <c r="B15" s="2" t="s">
        <v>480</v>
      </c>
      <c r="C15" s="65">
        <f>882/7365</f>
        <v>0.11975560081466395</v>
      </c>
      <c r="E15" s="2" t="s">
        <v>662</v>
      </c>
    </row>
    <row r="16" spans="1:5" x14ac:dyDescent="0.2">
      <c r="B16" s="2" t="s">
        <v>481</v>
      </c>
      <c r="C16" s="65">
        <f>616/7365</f>
        <v>8.3638832315003395E-2</v>
      </c>
      <c r="E16" s="2" t="s">
        <v>665</v>
      </c>
    </row>
    <row r="17" spans="2:5" x14ac:dyDescent="0.2">
      <c r="E17" s="2"/>
    </row>
    <row r="19" spans="2:5" x14ac:dyDescent="0.2">
      <c r="B19" s="40" t="s">
        <v>842</v>
      </c>
    </row>
    <row r="20" spans="2:5" x14ac:dyDescent="0.2">
      <c r="B20" s="2" t="s">
        <v>843</v>
      </c>
      <c r="C20" s="2" t="s">
        <v>844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Elevidys</vt:lpstr>
      <vt:lpstr>Evrysdi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2025-04-09T00:39:50Z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