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02D52626-31B9-417E-AD79-4358CE1797CF}" xr6:coauthVersionLast="47" xr6:coauthVersionMax="47" xr10:uidLastSave="{00000000-0000-0000-0000-000000000000}"/>
  <bookViews>
    <workbookView xWindow="795" yWindow="1140" windowWidth="27570" windowHeight="14220" firstSheet="8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AC16" i="4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s="1"/>
  <c r="AB16" i="4" s="1"/>
  <c r="G6" i="4" l="1"/>
  <c r="AB7" i="4"/>
  <c r="AC7" i="4"/>
  <c r="AB4" i="4"/>
  <c r="AC4" i="4"/>
  <c r="AB5" i="4"/>
  <c r="AC5" i="4"/>
  <c r="AC6" i="4"/>
  <c r="AB6" i="4"/>
  <c r="AD6" i="4"/>
  <c r="AD16" i="4"/>
  <c r="F16" i="8" l="1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4" i="10"/>
  <c r="H44" i="10"/>
  <c r="E44" i="10" s="1"/>
  <c r="G44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8" i="10"/>
  <c r="E8" i="10" s="1"/>
  <c r="G6" i="7" l="1"/>
  <c r="F4" i="5"/>
  <c r="H4" i="5"/>
  <c r="E4" i="5" s="1"/>
  <c r="H73" i="10"/>
  <c r="T6" i="7" l="1"/>
  <c r="S6" i="7"/>
  <c r="G4" i="5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2" i="5"/>
  <c r="H32" i="5"/>
  <c r="E32" i="5" s="1"/>
  <c r="G32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1" i="1" l="1"/>
  <c r="H9" i="10" l="1"/>
  <c r="F8" i="4" l="1"/>
  <c r="H8" i="4"/>
  <c r="E8" i="4" s="1"/>
  <c r="F41" i="10"/>
  <c r="H41" i="10"/>
  <c r="E41" i="10" s="1"/>
  <c r="G8" i="4" l="1"/>
  <c r="G41" i="10"/>
  <c r="AD8" i="4" l="1"/>
  <c r="AD3" i="4" s="1"/>
  <c r="AC8" i="4"/>
  <c r="AC3" i="4" s="1"/>
  <c r="AB8" i="4"/>
  <c r="AB3" i="4" s="1"/>
  <c r="F42" i="10"/>
  <c r="H42" i="10"/>
  <c r="E42" i="10" s="1"/>
  <c r="G42" i="10" l="1"/>
  <c r="H6" i="5" l="1"/>
  <c r="E6" i="5" s="1"/>
  <c r="H5" i="5"/>
  <c r="E5" i="5" s="1"/>
  <c r="F14" i="7" l="1"/>
  <c r="H14" i="7"/>
  <c r="E14" i="7" s="1"/>
  <c r="G14" i="7" l="1"/>
  <c r="F30" i="5"/>
  <c r="H30" i="5"/>
  <c r="E30" i="5" s="1"/>
  <c r="T14" i="7" l="1"/>
  <c r="S14" i="7"/>
  <c r="G30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5" i="10"/>
  <c r="H45" i="10"/>
  <c r="E45" i="10" s="1"/>
  <c r="K5" i="1"/>
  <c r="L5" i="1" s="1"/>
  <c r="H5" i="1"/>
  <c r="F5" i="1"/>
  <c r="G45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29" i="5" l="1"/>
  <c r="H29" i="5"/>
  <c r="E29" i="5" s="1"/>
  <c r="G29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5" i="7"/>
  <c r="G23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4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<sst xmlns="http://schemas.openxmlformats.org/spreadsheetml/2006/main" count="1222" uniqueCount="718">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</sst>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2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5" fillId="0" borderId="0" applyNumberFormat="0" applyFill="0" applyBorder="0" applyAlignment="0" applyProtection="0"/>
  </cellStyleXfs>
  <cellXfs count="328">
    <xf numFmtId="0" fontId="0" fillId="0" borderId="0" xfId="0"/>
    <xf numFmtId="0" fontId="114" fillId="0" borderId="0" xfId="0" applyFont="1"/>
    <xf numFmtId="2" fontId="114" fillId="0" borderId="0" xfId="0" applyNumberFormat="1" applyFont="1" applyAlignment="1">
      <alignment horizontal="right"/>
    </xf>
    <xf numFmtId="3" fontId="114" fillId="0" borderId="0" xfId="0" applyNumberFormat="1" applyFont="1" applyAlignment="1">
      <alignment horizontal="right"/>
    </xf>
    <xf numFmtId="0" fontId="114" fillId="0" borderId="0" xfId="0" applyFont="1" applyAlignment="1">
      <alignment horizontal="right"/>
    </xf>
    <xf numFmtId="0" fontId="116" fillId="0" borderId="0" xfId="1" applyFont="1"/>
    <xf numFmtId="0" fontId="113" fillId="0" borderId="0" xfId="0" applyFont="1"/>
    <xf numFmtId="3" fontId="113" fillId="0" borderId="0" xfId="0" applyNumberFormat="1" applyFont="1" applyAlignment="1">
      <alignment horizontal="right"/>
    </xf>
    <xf numFmtId="0" fontId="112" fillId="0" borderId="0" xfId="0" applyFont="1"/>
    <xf numFmtId="3" fontId="117" fillId="0" borderId="0" xfId="0" applyNumberFormat="1" applyFont="1" applyAlignment="1">
      <alignment horizontal="right"/>
    </xf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3" xfId="0" applyFont="1" applyBorder="1"/>
    <xf numFmtId="0" fontId="108" fillId="0" borderId="4" xfId="0" applyFont="1" applyBorder="1"/>
    <xf numFmtId="2" fontId="108" fillId="0" borderId="4" xfId="0" applyNumberFormat="1" applyFont="1" applyBorder="1" applyAlignment="1">
      <alignment horizontal="right"/>
    </xf>
    <xf numFmtId="3" fontId="108" fillId="0" borderId="4" xfId="0" applyNumberFormat="1" applyFont="1" applyBorder="1" applyAlignment="1">
      <alignment horizontal="right"/>
    </xf>
    <xf numFmtId="0" fontId="108" fillId="0" borderId="4" xfId="0" applyFont="1" applyBorder="1" applyAlignment="1">
      <alignment horizontal="right"/>
    </xf>
    <xf numFmtId="0" fontId="108" fillId="0" borderId="4" xfId="0" applyFont="1" applyBorder="1" applyAlignment="1">
      <alignment horizontal="center"/>
    </xf>
    <xf numFmtId="0" fontId="108" fillId="0" borderId="5" xfId="0" applyFont="1" applyBorder="1" applyAlignment="1">
      <alignment horizontal="center"/>
    </xf>
    <xf numFmtId="0" fontId="108" fillId="0" borderId="0" xfId="0" applyFont="1"/>
    <xf numFmtId="2" fontId="108" fillId="0" borderId="0" xfId="0" applyNumberFormat="1" applyFont="1" applyAlignment="1">
      <alignment horizontal="right"/>
    </xf>
    <xf numFmtId="3" fontId="108" fillId="0" borderId="0" xfId="0" applyNumberFormat="1" applyFont="1" applyAlignment="1">
      <alignment horizontal="right"/>
    </xf>
    <xf numFmtId="0" fontId="108" fillId="0" borderId="0" xfId="0" applyFont="1" applyAlignment="1">
      <alignment horizontal="right"/>
    </xf>
    <xf numFmtId="0" fontId="108" fillId="0" borderId="0" xfId="0" applyFont="1" applyAlignment="1">
      <alignment horizontal="center"/>
    </xf>
    <xf numFmtId="0" fontId="108" fillId="0" borderId="1" xfId="0" applyFont="1" applyBorder="1" applyAlignment="1">
      <alignment horizontal="center"/>
    </xf>
    <xf numFmtId="0" fontId="108" fillId="0" borderId="2" xfId="0" applyFont="1" applyBorder="1" applyAlignment="1">
      <alignment horizontal="center"/>
    </xf>
    <xf numFmtId="4" fontId="108" fillId="0" borderId="0" xfId="0" applyNumberFormat="1" applyFont="1" applyAlignment="1">
      <alignment horizontal="center"/>
    </xf>
    <xf numFmtId="9" fontId="108" fillId="0" borderId="0" xfId="0" applyNumberFormat="1" applyFont="1" applyAlignment="1">
      <alignment horizontal="center"/>
    </xf>
    <xf numFmtId="164" fontId="108" fillId="0" borderId="1" xfId="0" applyNumberFormat="1" applyFont="1" applyBorder="1" applyAlignment="1">
      <alignment horizontal="center"/>
    </xf>
    <xf numFmtId="164" fontId="108" fillId="0" borderId="0" xfId="0" applyNumberFormat="1" applyFont="1" applyAlignment="1">
      <alignment horizontal="center"/>
    </xf>
    <xf numFmtId="164" fontId="108" fillId="0" borderId="2" xfId="0" applyNumberFormat="1" applyFont="1" applyBorder="1" applyAlignment="1">
      <alignment horizontal="center"/>
    </xf>
    <xf numFmtId="4" fontId="108" fillId="0" borderId="1" xfId="0" applyNumberFormat="1" applyFont="1" applyBorder="1" applyAlignment="1">
      <alignment horizontal="center"/>
    </xf>
    <xf numFmtId="4" fontId="108" fillId="0" borderId="2" xfId="0" applyNumberFormat="1" applyFont="1" applyBorder="1" applyAlignment="1">
      <alignment horizontal="center"/>
    </xf>
    <xf numFmtId="0" fontId="107" fillId="0" borderId="0" xfId="0" applyFont="1" applyAlignment="1">
      <alignment horizontal="right"/>
    </xf>
    <xf numFmtId="9" fontId="107" fillId="0" borderId="0" xfId="0" applyNumberFormat="1" applyFont="1" applyAlignment="1">
      <alignment horizontal="center"/>
    </xf>
    <xf numFmtId="0" fontId="106" fillId="0" borderId="4" xfId="0" applyFont="1" applyBorder="1" applyAlignment="1">
      <alignment horizontal="right"/>
    </xf>
    <xf numFmtId="14" fontId="108" fillId="0" borderId="0" xfId="0" applyNumberFormat="1" applyFont="1" applyAlignment="1">
      <alignment horizontal="right"/>
    </xf>
    <xf numFmtId="0" fontId="106" fillId="0" borderId="0" xfId="0" applyFont="1"/>
    <xf numFmtId="0" fontId="105" fillId="0" borderId="0" xfId="0" applyFont="1"/>
    <xf numFmtId="0" fontId="105" fillId="0" borderId="3" xfId="0" applyFont="1" applyBorder="1" applyAlignment="1">
      <alignment horizontal="center"/>
    </xf>
    <xf numFmtId="0" fontId="105" fillId="0" borderId="6" xfId="0" applyFont="1" applyBorder="1" applyAlignment="1">
      <alignment horizontal="center"/>
    </xf>
    <xf numFmtId="0" fontId="105" fillId="0" borderId="4" xfId="0" applyFont="1" applyBorder="1" applyAlignment="1">
      <alignment horizontal="center"/>
    </xf>
    <xf numFmtId="0" fontId="108" fillId="0" borderId="5" xfId="0" applyFont="1" applyBorder="1"/>
    <xf numFmtId="3" fontId="111" fillId="0" borderId="0" xfId="0" applyNumberFormat="1" applyFont="1"/>
    <xf numFmtId="0" fontId="104" fillId="0" borderId="0" xfId="0" applyFont="1"/>
    <xf numFmtId="0" fontId="103" fillId="0" borderId="0" xfId="0" applyFont="1" applyAlignment="1">
      <alignment horizontal="right"/>
    </xf>
    <xf numFmtId="3" fontId="117" fillId="0" borderId="0" xfId="0" applyNumberFormat="1" applyFont="1"/>
    <xf numFmtId="4" fontId="117" fillId="0" borderId="0" xfId="0" applyNumberFormat="1" applyFont="1" applyAlignment="1">
      <alignment horizontal="right"/>
    </xf>
    <xf numFmtId="0" fontId="102" fillId="0" borderId="0" xfId="0" applyFont="1"/>
    <xf numFmtId="0" fontId="118" fillId="0" borderId="0" xfId="0" applyFont="1"/>
    <xf numFmtId="0" fontId="101" fillId="0" borderId="0" xfId="0" applyFont="1"/>
    <xf numFmtId="14" fontId="111" fillId="0" borderId="0" xfId="0" applyNumberFormat="1" applyFont="1"/>
    <xf numFmtId="3" fontId="100" fillId="0" borderId="0" xfId="0" applyNumberFormat="1" applyFont="1"/>
    <xf numFmtId="0" fontId="100" fillId="0" borderId="0" xfId="0" applyFont="1"/>
    <xf numFmtId="0" fontId="100" fillId="0" borderId="3" xfId="0" applyFont="1" applyBorder="1"/>
    <xf numFmtId="0" fontId="100" fillId="0" borderId="4" xfId="0" applyFont="1" applyBorder="1"/>
    <xf numFmtId="2" fontId="100" fillId="0" borderId="4" xfId="0" applyNumberFormat="1" applyFont="1" applyBorder="1" applyAlignment="1">
      <alignment horizontal="right"/>
    </xf>
    <xf numFmtId="3" fontId="100" fillId="0" borderId="4" xfId="0" applyNumberFormat="1" applyFont="1" applyBorder="1" applyAlignment="1">
      <alignment horizontal="right"/>
    </xf>
    <xf numFmtId="0" fontId="100" fillId="0" borderId="4" xfId="0" applyFont="1" applyBorder="1" applyAlignment="1">
      <alignment horizontal="right"/>
    </xf>
    <xf numFmtId="0" fontId="100" fillId="0" borderId="4" xfId="0" applyFont="1" applyBorder="1" applyAlignment="1">
      <alignment horizontal="center"/>
    </xf>
    <xf numFmtId="0" fontId="100" fillId="0" borderId="5" xfId="0" applyFont="1" applyBorder="1" applyAlignment="1">
      <alignment horizontal="center"/>
    </xf>
    <xf numFmtId="0" fontId="100" fillId="0" borderId="3" xfId="0" applyFont="1" applyBorder="1" applyAlignment="1">
      <alignment horizontal="center"/>
    </xf>
    <xf numFmtId="0" fontId="100" fillId="0" borderId="6" xfId="0" applyFont="1" applyBorder="1" applyAlignment="1">
      <alignment horizontal="center"/>
    </xf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119" fillId="0" borderId="0" xfId="0" applyFont="1"/>
    <xf numFmtId="0" fontId="94" fillId="0" borderId="0" xfId="0" applyFont="1"/>
    <xf numFmtId="0" fontId="120" fillId="0" borderId="0" xfId="1" applyFont="1"/>
    <xf numFmtId="0" fontId="93" fillId="0" borderId="0" xfId="0" applyFont="1"/>
    <xf numFmtId="0" fontId="92" fillId="0" borderId="0" xfId="0" applyFont="1" applyAlignment="1">
      <alignment horizontal="right"/>
    </xf>
    <xf numFmtId="14" fontId="100" fillId="0" borderId="0" xfId="0" applyNumberFormat="1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116" fillId="0" borderId="1" xfId="1" applyFont="1" applyBorder="1"/>
    <xf numFmtId="9" fontId="108" fillId="0" borderId="2" xfId="0" applyNumberFormat="1" applyFont="1" applyBorder="1" applyAlignment="1">
      <alignment horizontal="center"/>
    </xf>
    <xf numFmtId="0" fontId="95" fillId="0" borderId="0" xfId="0" applyFont="1" applyAlignment="1">
      <alignment horizontal="right"/>
    </xf>
    <xf numFmtId="0" fontId="108" fillId="0" borderId="1" xfId="0" applyFont="1" applyBorder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116" fillId="0" borderId="0" xfId="1" applyFont="1" applyBorder="1"/>
    <xf numFmtId="0" fontId="79" fillId="0" borderId="0" xfId="0" applyFont="1"/>
    <xf numFmtId="0" fontId="78" fillId="0" borderId="0" xfId="0" applyFont="1" applyAlignment="1">
      <alignment horizontal="right"/>
    </xf>
    <xf numFmtId="0" fontId="77" fillId="0" borderId="0" xfId="0" applyFont="1"/>
    <xf numFmtId="3" fontId="77" fillId="0" borderId="0" xfId="0" applyNumberFormat="1" applyFont="1" applyAlignment="1">
      <alignment horizontal="right"/>
    </xf>
    <xf numFmtId="0" fontId="76" fillId="0" borderId="0" xfId="0" applyFont="1"/>
    <xf numFmtId="14" fontId="76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14" fontId="114" fillId="0" borderId="0" xfId="0" applyNumberFormat="1" applyFont="1"/>
    <xf numFmtId="0" fontId="74" fillId="0" borderId="0" xfId="0" applyFont="1"/>
    <xf numFmtId="165" fontId="108" fillId="0" borderId="0" xfId="0" applyNumberFormat="1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100" fillId="0" borderId="0" xfId="0" applyNumberFormat="1" applyFont="1"/>
    <xf numFmtId="0" fontId="72" fillId="0" borderId="0" xfId="0" applyFont="1"/>
    <xf numFmtId="0" fontId="71" fillId="0" borderId="0" xfId="0" applyFont="1"/>
    <xf numFmtId="3" fontId="121" fillId="0" borderId="0" xfId="0" applyNumberFormat="1" applyFont="1"/>
    <xf numFmtId="4" fontId="122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3" fontId="102" fillId="0" borderId="0" xfId="0" applyNumberFormat="1" applyFont="1"/>
    <xf numFmtId="0" fontId="70" fillId="0" borderId="0" xfId="0" applyFont="1"/>
    <xf numFmtId="0" fontId="69" fillId="0" borderId="0" xfId="0" applyFont="1"/>
    <xf numFmtId="3" fontId="69" fillId="0" borderId="0" xfId="0" applyNumberFormat="1" applyFont="1"/>
    <xf numFmtId="3" fontId="69" fillId="2" borderId="0" xfId="0" applyNumberFormat="1" applyFont="1" applyFill="1"/>
    <xf numFmtId="0" fontId="68" fillId="0" borderId="0" xfId="0" applyFont="1"/>
    <xf numFmtId="3" fontId="68" fillId="0" borderId="0" xfId="0" applyNumberFormat="1" applyFont="1"/>
    <xf numFmtId="3" fontId="116" fillId="0" borderId="0" xfId="1" applyNumberFormat="1" applyFont="1"/>
    <xf numFmtId="0" fontId="67" fillId="0" borderId="0" xfId="0" applyFont="1"/>
    <xf numFmtId="4" fontId="108" fillId="0" borderId="0" xfId="0" applyNumberFormat="1" applyFont="1"/>
    <xf numFmtId="4" fontId="114" fillId="0" borderId="0" xfId="0" applyNumberFormat="1" applyFont="1"/>
    <xf numFmtId="0" fontId="66" fillId="0" borderId="0" xfId="0" applyFont="1"/>
    <xf numFmtId="0" fontId="65" fillId="0" borderId="0" xfId="0" applyFont="1"/>
    <xf numFmtId="0" fontId="119" fillId="0" borderId="0" xfId="0" applyFont="1" applyAlignment="1">
      <alignment horizontal="right"/>
    </xf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9" fillId="0" borderId="1" xfId="0" applyFont="1" applyBorder="1"/>
    <xf numFmtId="0" fontId="58" fillId="0" borderId="0" xfId="0" applyFont="1"/>
    <xf numFmtId="0" fontId="57" fillId="0" borderId="0" xfId="0" applyFont="1"/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0" fontId="53" fillId="0" borderId="0" xfId="0" applyFont="1"/>
    <xf numFmtId="0" fontId="53" fillId="0" borderId="0" xfId="0" applyFont="1" applyAlignment="1">
      <alignment horizontal="right"/>
    </xf>
    <xf numFmtId="166" fontId="111" fillId="0" borderId="0" xfId="0" applyNumberFormat="1" applyFont="1" applyAlignment="1">
      <alignment horizontal="center"/>
    </xf>
    <xf numFmtId="166" fontId="111" fillId="0" borderId="0" xfId="0" applyNumberFormat="1" applyFont="1"/>
    <xf numFmtId="166" fontId="108" fillId="0" borderId="0" xfId="0" applyNumberFormat="1" applyFont="1" applyAlignment="1">
      <alignment horizontal="center"/>
    </xf>
    <xf numFmtId="0" fontId="52" fillId="0" borderId="0" xfId="0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0" fillId="0" borderId="0" xfId="0" applyFont="1"/>
    <xf numFmtId="0" fontId="49" fillId="0" borderId="0" xfId="0" applyFont="1"/>
    <xf numFmtId="0" fontId="48" fillId="0" borderId="0" xfId="0" applyFont="1" applyAlignment="1">
      <alignment horizontal="right"/>
    </xf>
    <xf numFmtId="0" fontId="48" fillId="0" borderId="0" xfId="0" applyFont="1"/>
    <xf numFmtId="2" fontId="48" fillId="0" borderId="0" xfId="0" applyNumberFormat="1" applyFont="1" applyAlignment="1">
      <alignment horizontal="right"/>
    </xf>
    <xf numFmtId="3" fontId="48" fillId="0" borderId="0" xfId="0" applyNumberFormat="1" applyFont="1" applyAlignment="1">
      <alignment horizontal="right"/>
    </xf>
    <xf numFmtId="0" fontId="47" fillId="0" borderId="0" xfId="0" applyFont="1"/>
    <xf numFmtId="0" fontId="46" fillId="0" borderId="0" xfId="0" applyFont="1"/>
    <xf numFmtId="0" fontId="46" fillId="0" borderId="0" xfId="0" applyFont="1" applyAlignment="1">
      <alignment horizontal="right"/>
    </xf>
    <xf numFmtId="3" fontId="46" fillId="0" borderId="0" xfId="0" applyNumberFormat="1" applyFont="1" applyAlignment="1">
      <alignment horizontal="right"/>
    </xf>
    <xf numFmtId="2" fontId="46" fillId="0" borderId="0" xfId="0" applyNumberFormat="1" applyFont="1" applyAlignment="1">
      <alignment horizontal="right"/>
    </xf>
    <xf numFmtId="14" fontId="46" fillId="0" borderId="0" xfId="0" applyNumberFormat="1" applyFont="1" applyAlignment="1">
      <alignment horizontal="right"/>
    </xf>
    <xf numFmtId="0" fontId="46" fillId="0" borderId="0" xfId="0" applyFont="1" applyAlignment="1">
      <alignment horizontal="center"/>
    </xf>
    <xf numFmtId="0" fontId="46" fillId="0" borderId="1" xfId="0" applyFont="1" applyBorder="1" applyAlignment="1">
      <alignment horizontal="center"/>
    </xf>
    <xf numFmtId="0" fontId="46" fillId="0" borderId="2" xfId="0" applyFont="1" applyBorder="1" applyAlignment="1">
      <alignment horizontal="center"/>
    </xf>
    <xf numFmtId="0" fontId="46" fillId="0" borderId="1" xfId="0" applyFont="1" applyBorder="1"/>
    <xf numFmtId="4" fontId="46" fillId="0" borderId="0" xfId="0" applyNumberFormat="1" applyFont="1" applyAlignment="1">
      <alignment horizontal="right"/>
    </xf>
    <xf numFmtId="0" fontId="114" fillId="0" borderId="0" xfId="0" quotePrefix="1" applyFont="1"/>
    <xf numFmtId="167" fontId="114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0" fontId="44" fillId="0" borderId="0" xfId="0" applyFont="1" applyAlignment="1">
      <alignment horizontal="right"/>
    </xf>
    <xf numFmtId="3" fontId="43" fillId="0" borderId="0" xfId="0" applyNumberFormat="1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3" fillId="0" borderId="3" xfId="0" applyFont="1" applyBorder="1"/>
    <xf numFmtId="0" fontId="43" fillId="0" borderId="4" xfId="0" applyFont="1" applyBorder="1"/>
    <xf numFmtId="2" fontId="43" fillId="0" borderId="4" xfId="0" applyNumberFormat="1" applyFont="1" applyBorder="1" applyAlignment="1">
      <alignment horizontal="right"/>
    </xf>
    <xf numFmtId="3" fontId="43" fillId="0" borderId="4" xfId="0" applyNumberFormat="1" applyFont="1" applyBorder="1" applyAlignment="1">
      <alignment horizontal="right"/>
    </xf>
    <xf numFmtId="0" fontId="43" fillId="0" borderId="4" xfId="0" applyFont="1" applyBorder="1" applyAlignment="1">
      <alignment horizontal="right"/>
    </xf>
    <xf numFmtId="0" fontId="43" fillId="0" borderId="4" xfId="0" applyFont="1" applyBorder="1" applyAlignment="1">
      <alignment horizontal="center"/>
    </xf>
    <xf numFmtId="0" fontId="43" fillId="0" borderId="5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3" fillId="0" borderId="5" xfId="0" applyFont="1" applyBorder="1"/>
    <xf numFmtId="3" fontId="43" fillId="0" borderId="0" xfId="0" applyNumberFormat="1" applyFont="1"/>
    <xf numFmtId="4" fontId="43" fillId="0" borderId="0" xfId="0" applyNumberFormat="1" applyFont="1" applyAlignment="1">
      <alignment horizontal="right"/>
    </xf>
    <xf numFmtId="2" fontId="43" fillId="0" borderId="0" xfId="0" applyNumberFormat="1" applyFont="1" applyAlignment="1">
      <alignment horizontal="right"/>
    </xf>
    <xf numFmtId="14" fontId="43" fillId="0" borderId="0" xfId="0" applyNumberFormat="1" applyFont="1" applyAlignment="1">
      <alignment horizontal="right"/>
    </xf>
    <xf numFmtId="0" fontId="43" fillId="0" borderId="0" xfId="0" applyFont="1" applyAlignment="1">
      <alignment horizontal="center"/>
    </xf>
    <xf numFmtId="0" fontId="43" fillId="0" borderId="1" xfId="0" applyFont="1" applyBorder="1"/>
    <xf numFmtId="4" fontId="111" fillId="0" borderId="0" xfId="0" applyNumberFormat="1" applyFont="1"/>
    <xf numFmtId="0" fontId="42" fillId="0" borderId="0" xfId="0" applyFont="1" applyAlignment="1">
      <alignment horizontal="right"/>
    </xf>
    <xf numFmtId="3" fontId="42" fillId="0" borderId="0" xfId="0" applyNumberFormat="1" applyFont="1"/>
    <xf numFmtId="0" fontId="41" fillId="0" borderId="0" xfId="0" applyFont="1" applyAlignment="1">
      <alignment horizontal="right"/>
    </xf>
    <xf numFmtId="0" fontId="41" fillId="0" borderId="0" xfId="0" applyFont="1"/>
    <xf numFmtId="0" fontId="40" fillId="0" borderId="0" xfId="0" applyFont="1"/>
    <xf numFmtId="4" fontId="102" fillId="0" borderId="0" xfId="0" applyNumberFormat="1" applyFont="1"/>
    <xf numFmtId="14" fontId="102" fillId="0" borderId="0" xfId="0" applyNumberFormat="1" applyFont="1"/>
    <xf numFmtId="3" fontId="40" fillId="0" borderId="0" xfId="0" applyNumberFormat="1" applyFont="1"/>
    <xf numFmtId="0" fontId="40" fillId="0" borderId="0" xfId="0" applyFont="1" applyAlignment="1">
      <alignment horizontal="right"/>
    </xf>
    <xf numFmtId="0" fontId="39" fillId="0" borderId="0" xfId="0" applyFont="1"/>
    <xf numFmtId="14" fontId="38" fillId="0" borderId="0" xfId="0" applyNumberFormat="1" applyFont="1" applyAlignment="1">
      <alignment horizontal="right"/>
    </xf>
    <xf numFmtId="0" fontId="37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/>
    <xf numFmtId="4" fontId="106" fillId="0" borderId="0" xfId="0" applyNumberFormat="1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4" fontId="114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0" fontId="31" fillId="0" borderId="0" xfId="0" applyFont="1"/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1" fillId="0" borderId="0" xfId="0" applyFont="1" applyAlignment="1">
      <alignment horizontal="center"/>
    </xf>
    <xf numFmtId="9" fontId="31" fillId="0" borderId="0" xfId="0" applyNumberFormat="1" applyFont="1" applyAlignment="1">
      <alignment horizontal="center"/>
    </xf>
    <xf numFmtId="164" fontId="31" fillId="0" borderId="1" xfId="0" applyNumberFormat="1" applyFont="1" applyBorder="1" applyAlignment="1">
      <alignment horizontal="center"/>
    </xf>
    <xf numFmtId="164" fontId="31" fillId="0" borderId="6" xfId="0" applyNumberFormat="1" applyFont="1" applyBorder="1" applyAlignment="1">
      <alignment horizontal="center"/>
    </xf>
    <xf numFmtId="164" fontId="31" fillId="0" borderId="0" xfId="0" applyNumberFormat="1" applyFont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14" fontId="31" fillId="0" borderId="0" xfId="0" applyNumberFormat="1" applyFont="1" applyAlignment="1">
      <alignment horizontal="right"/>
    </xf>
    <xf numFmtId="4" fontId="31" fillId="0" borderId="0" xfId="0" applyNumberFormat="1" applyFont="1" applyAlignment="1">
      <alignment horizontal="center"/>
    </xf>
    <xf numFmtId="9" fontId="31" fillId="0" borderId="2" xfId="0" applyNumberFormat="1" applyFont="1" applyBorder="1" applyAlignment="1">
      <alignment horizontal="center"/>
    </xf>
    <xf numFmtId="164" fontId="31" fillId="0" borderId="2" xfId="0" applyNumberFormat="1" applyFont="1" applyBorder="1" applyAlignment="1">
      <alignment horizontal="center"/>
    </xf>
    <xf numFmtId="4" fontId="31" fillId="0" borderId="1" xfId="0" applyNumberFormat="1" applyFont="1" applyBorder="1" applyAlignment="1">
      <alignment horizontal="center"/>
    </xf>
    <xf numFmtId="4" fontId="31" fillId="0" borderId="2" xfId="0" applyNumberFormat="1" applyFont="1" applyBorder="1" applyAlignment="1">
      <alignment horizontal="center"/>
    </xf>
    <xf numFmtId="4" fontId="31" fillId="0" borderId="0" xfId="0" applyNumberFormat="1" applyFont="1" applyAlignment="1">
      <alignment horizontal="right"/>
    </xf>
    <xf numFmtId="0" fontId="31" fillId="0" borderId="1" xfId="0" applyFont="1" applyBorder="1"/>
    <xf numFmtId="0" fontId="31" fillId="0" borderId="7" xfId="0" applyFont="1" applyBorder="1"/>
    <xf numFmtId="0" fontId="31" fillId="0" borderId="6" xfId="0" applyFont="1" applyBorder="1"/>
    <xf numFmtId="2" fontId="31" fillId="0" borderId="6" xfId="0" applyNumberFormat="1" applyFont="1" applyBorder="1" applyAlignment="1">
      <alignment horizontal="right"/>
    </xf>
    <xf numFmtId="3" fontId="31" fillId="0" borderId="6" xfId="0" applyNumberFormat="1" applyFont="1" applyBorder="1" applyAlignment="1">
      <alignment horizontal="right"/>
    </xf>
    <xf numFmtId="0" fontId="31" fillId="0" borderId="6" xfId="0" applyFont="1" applyBorder="1" applyAlignment="1">
      <alignment horizontal="right"/>
    </xf>
    <xf numFmtId="0" fontId="31" fillId="0" borderId="8" xfId="0" applyFont="1" applyBorder="1" applyAlignment="1">
      <alignment horizontal="center"/>
    </xf>
    <xf numFmtId="0" fontId="30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4" fontId="108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14" fontId="23" fillId="0" borderId="0" xfId="0" applyNumberFormat="1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3" fontId="22" fillId="0" borderId="0" xfId="0" applyNumberFormat="1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1" fillId="0" borderId="1" xfId="0" applyFont="1" applyBorder="1"/>
    <xf numFmtId="0" fontId="21" fillId="0" borderId="0" xfId="0" applyFont="1"/>
    <xf numFmtId="0" fontId="21" fillId="0" borderId="3" xfId="0" applyFont="1" applyBorder="1"/>
    <xf numFmtId="0" fontId="21" fillId="0" borderId="4" xfId="0" applyFont="1" applyBorder="1"/>
    <xf numFmtId="2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2" fontId="21" fillId="0" borderId="0" xfId="0" applyNumberFormat="1" applyFont="1" applyAlignment="1">
      <alignment horizontal="right"/>
    </xf>
    <xf numFmtId="0" fontId="21" fillId="2" borderId="0" xfId="0" applyFont="1" applyFill="1"/>
    <xf numFmtId="0" fontId="31" fillId="2" borderId="0" xfId="0" applyFont="1" applyFill="1"/>
    <xf numFmtId="0" fontId="59" fillId="2" borderId="0" xfId="0" applyFont="1" applyFill="1"/>
    <xf numFmtId="3" fontId="21" fillId="2" borderId="0" xfId="0" applyNumberFormat="1" applyFont="1" applyFill="1"/>
    <xf numFmtId="0" fontId="56" fillId="2" borderId="0" xfId="0" applyFont="1" applyFill="1"/>
    <xf numFmtId="0" fontId="46" fillId="2" borderId="0" xfId="0" applyFont="1" applyFill="1"/>
    <xf numFmtId="0" fontId="20" fillId="0" borderId="0" xfId="0" applyFont="1" applyAlignment="1">
      <alignment horizontal="right"/>
    </xf>
    <xf numFmtId="3" fontId="20" fillId="0" borderId="0" xfId="0" applyNumberFormat="1" applyFont="1"/>
    <xf numFmtId="0" fontId="19" fillId="2" borderId="0" xfId="0" applyFont="1" applyFill="1"/>
    <xf numFmtId="0" fontId="19" fillId="0" borderId="0" xfId="0" applyFont="1"/>
    <xf numFmtId="3" fontId="18" fillId="0" borderId="0" xfId="0" applyNumberFormat="1" applyFont="1"/>
    <xf numFmtId="3" fontId="17" fillId="0" borderId="0" xfId="0" applyNumberFormat="1" applyFont="1"/>
    <xf numFmtId="0" fontId="16" fillId="0" borderId="0" xfId="0" applyFont="1"/>
    <xf numFmtId="0" fontId="15" fillId="0" borderId="0" xfId="0" applyFont="1"/>
    <xf numFmtId="3" fontId="14" fillId="0" borderId="0" xfId="0" applyNumberFormat="1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2" borderId="0" xfId="0" applyFont="1" applyFill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0" xfId="0" applyNumberFormat="1" applyFont="1"/>
    <xf numFmtId="14" fontId="11" fillId="0" borderId="0" xfId="0" applyNumberFormat="1" applyFont="1" applyAlignment="1">
      <alignment horizontal="right"/>
    </xf>
    <xf numFmtId="4" fontId="11" fillId="0" borderId="0" xfId="0" applyNumberFormat="1" applyFont="1"/>
    <xf numFmtId="14" fontId="10" fillId="0" borderId="0" xfId="0" applyNumberFormat="1" applyFont="1" applyAlignment="1">
      <alignment horizontal="right"/>
    </xf>
    <xf numFmtId="3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18" fillId="0" borderId="0" xfId="0" applyNumberFormat="1" applyFont="1" applyAlignment="1">
      <alignment horizontal="right"/>
    </xf>
    <xf numFmtId="3" fontId="118" fillId="0" borderId="0" xfId="0" applyNumberFormat="1" applyFont="1" applyAlignment="1">
      <alignment horizontal="right"/>
    </xf>
    <xf numFmtId="0" fontId="118" fillId="0" borderId="0" xfId="0" applyFont="1" applyAlignment="1">
      <alignment horizontal="right"/>
    </xf>
    <xf numFmtId="0" fontId="118" fillId="0" borderId="0" xfId="0" applyFont="1" applyAlignment="1">
      <alignment horizontal="center"/>
    </xf>
    <xf numFmtId="164" fontId="11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4" fontId="43" fillId="0" borderId="0" xfId="0" applyNumberFormat="1" applyFont="1"/>
    <xf numFmtId="168" fontId="43" fillId="0" borderId="0" xfId="0" applyNumberFormat="1" applyFont="1"/>
    <xf numFmtId="0" fontId="5" fillId="0" borderId="0" xfId="0" applyFont="1" applyAlignment="1">
      <alignment horizontal="right"/>
    </xf>
    <xf numFmtId="3" fontId="4" fillId="2" borderId="0" xfId="0" applyNumberFormat="1" applyFont="1" applyFill="1"/>
    <xf numFmtId="3" fontId="4" fillId="0" borderId="0" xfId="0" applyNumberFormat="1" applyFont="1"/>
    <xf numFmtId="0" fontId="3" fillId="2" borderId="0" xfId="0" applyFont="1" applyFill="1"/>
    <xf numFmtId="3" fontId="2" fillId="2" borderId="0" xfId="0" applyNumberFormat="1" applyFont="1" applyFill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9.6463099263974534</v>
          </cell>
          <cell r="BJ47">
            <v>9.6839640001338285</v>
          </cell>
          <cell r="BK47">
            <v>11.802216196310804</v>
          </cell>
          <cell r="BL47">
            <v>13.038853688826407</v>
          </cell>
        </row>
        <row r="49">
          <cell r="BT49">
            <v>0</v>
          </cell>
        </row>
        <row r="50">
          <cell r="BT50">
            <v>7.0000000000000007E-2</v>
          </cell>
        </row>
        <row r="51">
          <cell r="BT51">
            <v>0.01</v>
          </cell>
        </row>
        <row r="53">
          <cell r="BT53">
            <v>357.55300810392936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4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5" bestFit="1" customWidth="1"/>
    <col min="2" max="2" width="18.28515625" style="125" bestFit="1" customWidth="1"/>
    <col min="3" max="16384" width="9.140625" style="125"/>
  </cols>
  <sheetData>
    <row r="1" spans="1:10" x14ac:dyDescent="0.2">
      <c r="A1" s="125" t="s">
        <v>142</v>
      </c>
    </row>
    <row r="2" spans="1:10" x14ac:dyDescent="0.2">
      <c r="D2" s="125" t="s">
        <v>449</v>
      </c>
    </row>
    <row r="3" spans="1:10" x14ac:dyDescent="0.2">
      <c r="B3" s="125" t="s">
        <v>453</v>
      </c>
      <c r="C3" s="125" t="s">
        <v>255</v>
      </c>
    </row>
    <row r="4" spans="1:10" x14ac:dyDescent="0.2">
      <c r="B4" s="125" t="s">
        <v>454</v>
      </c>
      <c r="C4" s="125" t="s">
        <v>455</v>
      </c>
    </row>
    <row r="5" spans="1:10" x14ac:dyDescent="0.2">
      <c r="B5" s="125" t="s">
        <v>413</v>
      </c>
      <c r="C5" s="125" t="s">
        <v>13</v>
      </c>
    </row>
    <row r="6" spans="1:10" x14ac:dyDescent="0.2">
      <c r="B6" s="125" t="s">
        <v>456</v>
      </c>
      <c r="C6" s="125" t="s">
        <v>13</v>
      </c>
    </row>
    <row r="7" spans="1:10" x14ac:dyDescent="0.2">
      <c r="B7" s="125" t="s">
        <v>457</v>
      </c>
      <c r="C7" s="125" t="s">
        <v>13</v>
      </c>
    </row>
    <row r="8" spans="1:10" x14ac:dyDescent="0.2">
      <c r="B8" s="125" t="s">
        <v>458</v>
      </c>
      <c r="C8" s="125" t="s">
        <v>459</v>
      </c>
      <c r="D8" s="125">
        <v>1999</v>
      </c>
    </row>
    <row r="9" spans="1:10" x14ac:dyDescent="0.2">
      <c r="B9" s="125" t="s">
        <v>460</v>
      </c>
      <c r="C9" s="125" t="s">
        <v>7</v>
      </c>
    </row>
    <row r="10" spans="1:10" x14ac:dyDescent="0.2">
      <c r="B10" s="128" t="s">
        <v>481</v>
      </c>
      <c r="C10" s="128" t="s">
        <v>255</v>
      </c>
      <c r="D10" s="125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3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9" bestFit="1" customWidth="1"/>
    <col min="2" max="16384" width="8.85546875" style="129"/>
  </cols>
  <sheetData>
    <row r="1" spans="1:4" x14ac:dyDescent="0.2">
      <c r="A1" s="5" t="s">
        <v>142</v>
      </c>
    </row>
    <row r="2" spans="1:4" x14ac:dyDescent="0.2">
      <c r="B2" s="129" t="s">
        <v>223</v>
      </c>
      <c r="C2" s="129" t="s">
        <v>484</v>
      </c>
      <c r="D2" s="129" t="s">
        <v>485</v>
      </c>
    </row>
    <row r="3" spans="1:4" x14ac:dyDescent="0.2">
      <c r="B3" s="129" t="s">
        <v>482</v>
      </c>
      <c r="C3" s="129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8" bestFit="1" customWidth="1"/>
    <col min="2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88" t="s">
        <v>19</v>
      </c>
    </row>
    <row r="3" spans="1:3" x14ac:dyDescent="0.2">
      <c r="B3" s="88" t="s">
        <v>336</v>
      </c>
      <c r="C3" s="88" t="s">
        <v>337</v>
      </c>
    </row>
    <row r="4" spans="1:3" x14ac:dyDescent="0.2">
      <c r="B4" s="88" t="s">
        <v>338</v>
      </c>
      <c r="C4" s="88" t="s">
        <v>339</v>
      </c>
    </row>
    <row r="5" spans="1:3" x14ac:dyDescent="0.2">
      <c r="B5" s="88" t="s">
        <v>340</v>
      </c>
    </row>
    <row r="6" spans="1:3" x14ac:dyDescent="0.2">
      <c r="B6" s="88" t="s">
        <v>333</v>
      </c>
    </row>
    <row r="7" spans="1:3" x14ac:dyDescent="0.2">
      <c r="B7" s="88" t="s">
        <v>331</v>
      </c>
    </row>
    <row r="8" spans="1:3" x14ac:dyDescent="0.2">
      <c r="B8" s="88" t="s">
        <v>335</v>
      </c>
    </row>
    <row r="9" spans="1:3" x14ac:dyDescent="0.2">
      <c r="B9" s="88" t="s">
        <v>332</v>
      </c>
    </row>
    <row r="10" spans="1:3" x14ac:dyDescent="0.2">
      <c r="B10" s="88" t="s">
        <v>341</v>
      </c>
    </row>
    <row r="11" spans="1:3" x14ac:dyDescent="0.2">
      <c r="B11" s="88" t="s">
        <v>342</v>
      </c>
    </row>
    <row r="12" spans="1:3" x14ac:dyDescent="0.2">
      <c r="B12" s="88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2" bestFit="1" customWidth="1"/>
    <col min="2" max="2" width="12.7109375" style="112" customWidth="1"/>
    <col min="3" max="16384" width="9.140625" style="112"/>
  </cols>
  <sheetData>
    <row r="1" spans="1:15" x14ac:dyDescent="0.2">
      <c r="A1" s="5" t="s">
        <v>142</v>
      </c>
    </row>
    <row r="2" spans="1:15" x14ac:dyDescent="0.2">
      <c r="B2" s="112" t="s">
        <v>0</v>
      </c>
      <c r="C2" s="112">
        <v>2010</v>
      </c>
      <c r="D2" s="112">
        <f>C2+1</f>
        <v>2011</v>
      </c>
      <c r="E2" s="112">
        <f t="shared" ref="E2:O2" si="0">D2+1</f>
        <v>2012</v>
      </c>
      <c r="F2" s="112">
        <f t="shared" si="0"/>
        <v>2013</v>
      </c>
      <c r="G2" s="112">
        <f t="shared" si="0"/>
        <v>2014</v>
      </c>
      <c r="H2" s="112">
        <f t="shared" si="0"/>
        <v>2015</v>
      </c>
      <c r="I2" s="112">
        <f t="shared" si="0"/>
        <v>2016</v>
      </c>
      <c r="J2" s="112">
        <f t="shared" si="0"/>
        <v>2017</v>
      </c>
      <c r="K2" s="112">
        <f t="shared" si="0"/>
        <v>2018</v>
      </c>
      <c r="L2" s="112">
        <f t="shared" si="0"/>
        <v>2019</v>
      </c>
      <c r="M2" s="112">
        <f t="shared" si="0"/>
        <v>2020</v>
      </c>
      <c r="N2" s="112">
        <f t="shared" si="0"/>
        <v>2021</v>
      </c>
      <c r="O2" s="112">
        <f t="shared" si="0"/>
        <v>2022</v>
      </c>
    </row>
    <row r="3" spans="1:15" x14ac:dyDescent="0.2">
      <c r="B3" s="115" t="s">
        <v>416</v>
      </c>
      <c r="C3" s="113">
        <f>SUM(C5:C25)</f>
        <v>62484</v>
      </c>
      <c r="D3" s="113">
        <f t="shared" ref="D3:O3" si="1">SUM(D5:D25)</f>
        <v>69943</v>
      </c>
      <c r="E3" s="113">
        <f t="shared" si="1"/>
        <v>119762</v>
      </c>
      <c r="F3" s="113">
        <f t="shared" si="1"/>
        <v>141240</v>
      </c>
      <c r="G3" s="113">
        <f t="shared" si="1"/>
        <v>169944</v>
      </c>
      <c r="H3" s="113">
        <f t="shared" si="1"/>
        <v>194377</v>
      </c>
      <c r="I3" s="113">
        <f t="shared" si="1"/>
        <v>253177</v>
      </c>
      <c r="J3" s="113">
        <f t="shared" si="1"/>
        <v>305432</v>
      </c>
      <c r="K3" s="113">
        <f t="shared" si="1"/>
        <v>371389</v>
      </c>
      <c r="L3" s="113">
        <f t="shared" si="1"/>
        <v>436330</v>
      </c>
      <c r="M3" s="113">
        <f t="shared" si="1"/>
        <v>503965</v>
      </c>
      <c r="N3" s="113">
        <f t="shared" si="1"/>
        <v>718643</v>
      </c>
      <c r="O3" s="116">
        <f t="shared" si="1"/>
        <v>825015.8</v>
      </c>
    </row>
    <row r="5" spans="1:15" x14ac:dyDescent="0.2">
      <c r="B5" s="112" t="s">
        <v>9</v>
      </c>
      <c r="E5" s="113">
        <v>46039</v>
      </c>
      <c r="F5" s="113">
        <v>55519</v>
      </c>
      <c r="G5" s="113">
        <v>66001</v>
      </c>
      <c r="H5" s="113">
        <v>74989</v>
      </c>
      <c r="I5" s="113">
        <v>90272</v>
      </c>
      <c r="J5" s="113">
        <v>110855</v>
      </c>
      <c r="K5" s="113">
        <v>136819</v>
      </c>
      <c r="L5" s="113">
        <v>161857</v>
      </c>
      <c r="M5" s="113">
        <v>182527</v>
      </c>
      <c r="N5" s="113">
        <v>257637</v>
      </c>
      <c r="O5" s="113">
        <v>282836</v>
      </c>
    </row>
    <row r="6" spans="1:15" x14ac:dyDescent="0.2">
      <c r="B6" s="112" t="s">
        <v>7</v>
      </c>
      <c r="C6" s="113">
        <v>62484</v>
      </c>
      <c r="D6" s="113">
        <v>69943</v>
      </c>
      <c r="E6" s="113">
        <v>73723</v>
      </c>
      <c r="F6" s="113">
        <v>77849</v>
      </c>
      <c r="G6" s="113">
        <v>86833</v>
      </c>
      <c r="H6" s="113">
        <v>93580</v>
      </c>
      <c r="I6" s="113">
        <v>85320</v>
      </c>
      <c r="J6" s="113">
        <v>96571</v>
      </c>
      <c r="K6" s="113">
        <v>110360</v>
      </c>
      <c r="L6" s="113">
        <v>125843</v>
      </c>
      <c r="M6" s="113">
        <v>143015</v>
      </c>
      <c r="N6" s="113">
        <v>184903</v>
      </c>
      <c r="O6" s="113">
        <v>204094</v>
      </c>
    </row>
    <row r="7" spans="1:15" x14ac:dyDescent="0.2">
      <c r="B7" s="112" t="s">
        <v>13</v>
      </c>
      <c r="F7" s="113">
        <v>7872</v>
      </c>
      <c r="G7" s="113">
        <v>12466</v>
      </c>
      <c r="H7" s="113">
        <v>17928</v>
      </c>
      <c r="I7" s="113">
        <v>27638</v>
      </c>
      <c r="J7" s="113">
        <v>40653</v>
      </c>
      <c r="K7" s="113">
        <v>55838</v>
      </c>
      <c r="L7" s="113">
        <v>70697</v>
      </c>
      <c r="M7" s="113">
        <v>85965</v>
      </c>
      <c r="N7" s="113">
        <v>117929</v>
      </c>
      <c r="O7" s="113">
        <v>116609</v>
      </c>
    </row>
    <row r="8" spans="1:15" x14ac:dyDescent="0.2">
      <c r="B8" s="112" t="s">
        <v>404</v>
      </c>
      <c r="G8" s="113">
        <v>4644</v>
      </c>
      <c r="H8" s="113">
        <v>7880</v>
      </c>
      <c r="I8" s="113">
        <v>12219</v>
      </c>
      <c r="J8" s="113">
        <v>17459</v>
      </c>
      <c r="K8" s="113">
        <v>25655</v>
      </c>
      <c r="L8" s="113">
        <v>35026</v>
      </c>
      <c r="M8" s="113">
        <v>45370</v>
      </c>
      <c r="N8" s="113">
        <v>62202</v>
      </c>
      <c r="O8" s="113">
        <v>80096</v>
      </c>
    </row>
    <row r="9" spans="1:15" x14ac:dyDescent="0.2">
      <c r="B9" s="112" t="s">
        <v>23</v>
      </c>
      <c r="I9" s="113">
        <v>37728</v>
      </c>
      <c r="J9" s="113">
        <v>39831</v>
      </c>
      <c r="K9" s="113">
        <v>39506</v>
      </c>
      <c r="L9" s="113">
        <v>39068</v>
      </c>
      <c r="M9" s="113">
        <v>40479</v>
      </c>
      <c r="N9" s="113">
        <v>42440</v>
      </c>
      <c r="O9" s="113">
        <v>46073</v>
      </c>
    </row>
    <row r="10" spans="1:15" x14ac:dyDescent="0.2">
      <c r="B10" s="112" t="s">
        <v>25</v>
      </c>
      <c r="N10" s="113">
        <v>27843</v>
      </c>
      <c r="O10" s="114">
        <f>N10*1.1</f>
        <v>30627.300000000003</v>
      </c>
    </row>
    <row r="11" spans="1:15" x14ac:dyDescent="0.2">
      <c r="B11" s="112" t="s">
        <v>21</v>
      </c>
      <c r="O11" s="114">
        <v>30294</v>
      </c>
    </row>
    <row r="12" spans="1:15" x14ac:dyDescent="0.2">
      <c r="B12" s="112" t="s">
        <v>19</v>
      </c>
      <c r="N12" s="113">
        <v>15785</v>
      </c>
      <c r="O12" s="114">
        <f>N12*1.1</f>
        <v>17363.5</v>
      </c>
    </row>
    <row r="13" spans="1:15" x14ac:dyDescent="0.2">
      <c r="B13" s="112" t="s">
        <v>405</v>
      </c>
      <c r="J13" s="113">
        <v>63</v>
      </c>
      <c r="K13" s="113">
        <v>150</v>
      </c>
      <c r="L13" s="113">
        <v>350</v>
      </c>
      <c r="M13" s="113">
        <v>2640</v>
      </c>
      <c r="N13" s="113">
        <v>4697</v>
      </c>
      <c r="O13" s="113">
        <v>9401</v>
      </c>
    </row>
    <row r="14" spans="1:15" x14ac:dyDescent="0.2">
      <c r="B14" s="112" t="s">
        <v>255</v>
      </c>
    </row>
    <row r="15" spans="1:15" x14ac:dyDescent="0.2">
      <c r="B15" s="112" t="s">
        <v>44</v>
      </c>
    </row>
    <row r="16" spans="1:15" x14ac:dyDescent="0.2">
      <c r="B16" s="112" t="s">
        <v>171</v>
      </c>
    </row>
    <row r="17" spans="2:15" x14ac:dyDescent="0.2">
      <c r="B17" s="112" t="s">
        <v>29</v>
      </c>
    </row>
    <row r="18" spans="2:15" x14ac:dyDescent="0.2">
      <c r="B18" s="112" t="s">
        <v>406</v>
      </c>
    </row>
    <row r="19" spans="2:15" x14ac:dyDescent="0.2">
      <c r="B19" s="115" t="s">
        <v>173</v>
      </c>
      <c r="K19" s="113">
        <v>3061</v>
      </c>
      <c r="L19" s="113">
        <v>3489</v>
      </c>
      <c r="M19" s="113">
        <v>3969</v>
      </c>
      <c r="N19" s="113">
        <v>5107</v>
      </c>
      <c r="O19" s="113">
        <v>6622</v>
      </c>
    </row>
    <row r="20" spans="2:15" x14ac:dyDescent="0.2">
      <c r="B20" s="112" t="s">
        <v>33</v>
      </c>
    </row>
    <row r="21" spans="2:15" x14ac:dyDescent="0.2">
      <c r="B21" s="112" t="s">
        <v>390</v>
      </c>
      <c r="N21" s="113">
        <v>100</v>
      </c>
      <c r="O21" s="113">
        <v>1000</v>
      </c>
    </row>
    <row r="22" spans="2:15" x14ac:dyDescent="0.2">
      <c r="B22" s="112" t="s">
        <v>40</v>
      </c>
    </row>
    <row r="23" spans="2:15" x14ac:dyDescent="0.2">
      <c r="B23" s="112" t="s">
        <v>50</v>
      </c>
    </row>
    <row r="24" spans="2:15" x14ac:dyDescent="0.2">
      <c r="B24" s="112" t="s">
        <v>52</v>
      </c>
    </row>
    <row r="25" spans="2:15" x14ac:dyDescent="0.2">
      <c r="B25" s="112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8" bestFit="1" customWidth="1"/>
    <col min="2" max="2" width="10.42578125" style="88" customWidth="1"/>
    <col min="3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115" t="s">
        <v>414</v>
      </c>
    </row>
    <row r="3" spans="1:3" x14ac:dyDescent="0.2">
      <c r="A3" s="5"/>
      <c r="B3" s="115" t="s">
        <v>410</v>
      </c>
    </row>
    <row r="4" spans="1:3" x14ac:dyDescent="0.2">
      <c r="A4" s="5"/>
      <c r="B4" s="115" t="s">
        <v>413</v>
      </c>
    </row>
    <row r="5" spans="1:3" x14ac:dyDescent="0.2">
      <c r="A5" s="5"/>
      <c r="B5" s="115" t="s">
        <v>411</v>
      </c>
    </row>
    <row r="6" spans="1:3" x14ac:dyDescent="0.2">
      <c r="A6" s="5"/>
      <c r="B6" s="115" t="s">
        <v>415</v>
      </c>
    </row>
    <row r="7" spans="1:3" x14ac:dyDescent="0.2">
      <c r="A7" s="5"/>
      <c r="B7" s="115" t="s">
        <v>412</v>
      </c>
    </row>
    <row r="8" spans="1:3" x14ac:dyDescent="0.2">
      <c r="A8" s="5"/>
      <c r="B8" s="115"/>
    </row>
    <row r="9" spans="1:3" x14ac:dyDescent="0.2">
      <c r="A9" s="5"/>
      <c r="B9" s="115"/>
    </row>
    <row r="10" spans="1:3" x14ac:dyDescent="0.2">
      <c r="A10" s="5"/>
      <c r="B10" s="88" t="s">
        <v>347</v>
      </c>
    </row>
    <row r="11" spans="1:3" x14ac:dyDescent="0.2">
      <c r="B11" s="88" t="s">
        <v>343</v>
      </c>
    </row>
    <row r="12" spans="1:3" x14ac:dyDescent="0.2">
      <c r="B12" s="88" t="s">
        <v>344</v>
      </c>
      <c r="C12" s="88" t="s">
        <v>345</v>
      </c>
    </row>
    <row r="13" spans="1:3" x14ac:dyDescent="0.2">
      <c r="B13" s="88" t="s">
        <v>346</v>
      </c>
    </row>
    <row r="14" spans="1:3" x14ac:dyDescent="0.2">
      <c r="B14" s="112" t="s">
        <v>407</v>
      </c>
      <c r="C14" s="112" t="s">
        <v>408</v>
      </c>
    </row>
    <row r="15" spans="1:3" x14ac:dyDescent="0.2">
      <c r="B15" s="112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7" sqref="A17"/>
    </sheetView>
  </sheetViews>
  <sheetFormatPr defaultColWidth="8.42578125" defaultRowHeight="12.75" x14ac:dyDescent="0.2"/>
  <cols>
    <col min="1" max="1" width="4.85546875" style="207" customWidth="1"/>
    <col min="2" max="2" width="16.42578125" style="207" customWidth="1"/>
    <col min="3" max="3" width="10.7109375" style="207" customWidth="1"/>
    <col min="4" max="4" width="8.7109375" style="208" customWidth="1"/>
    <col min="5" max="5" width="10.28515625" style="209" customWidth="1"/>
    <col min="6" max="9" width="9.42578125" style="206" customWidth="1"/>
    <col min="10" max="10" width="10.42578125" style="206" customWidth="1"/>
    <col min="11" max="15" width="8.42578125" style="210"/>
    <col min="16" max="16" width="8.42578125" style="215"/>
    <col min="17" max="18" width="8.42578125" style="210"/>
    <col min="19" max="19" width="8.42578125" style="216"/>
    <col min="20" max="20" width="8.42578125" style="215"/>
    <col min="21" max="22" width="8.42578125" style="210"/>
    <col min="23" max="23" width="8.42578125" style="216"/>
    <col min="24" max="16384" width="8.42578125" style="207"/>
  </cols>
  <sheetData>
    <row r="2" spans="1:25" x14ac:dyDescent="0.2">
      <c r="L2" s="211">
        <f>AVERAGE(L4:L5)</f>
        <v>7.8111949194025809E-2</v>
      </c>
      <c r="P2" s="212">
        <f>AVERAGE(P4:P5)</f>
        <v>41.224239285841989</v>
      </c>
      <c r="Q2" s="213">
        <f>AVERAGE(Q4:Q5)</f>
        <v>36.529686634652222</v>
      </c>
      <c r="R2" s="213">
        <f>AVERAGE(R4:R5)</f>
        <v>28.635140499921249</v>
      </c>
      <c r="S2" s="214">
        <f>AVERAGE(S4:S5)</f>
        <v>25.434263701432116</v>
      </c>
    </row>
    <row r="3" spans="1:25" x14ac:dyDescent="0.2">
      <c r="B3" s="217" t="s">
        <v>0</v>
      </c>
      <c r="C3" s="218" t="s">
        <v>1</v>
      </c>
      <c r="D3" s="219" t="s">
        <v>2</v>
      </c>
      <c r="E3" s="220" t="s">
        <v>3</v>
      </c>
      <c r="F3" s="221" t="s">
        <v>4</v>
      </c>
      <c r="G3" s="221" t="s">
        <v>5</v>
      </c>
      <c r="H3" s="221" t="s">
        <v>212</v>
      </c>
      <c r="I3" s="221" t="s">
        <v>6</v>
      </c>
      <c r="J3" s="221" t="s">
        <v>223</v>
      </c>
      <c r="K3" s="222" t="s">
        <v>207</v>
      </c>
      <c r="L3" s="222" t="s">
        <v>211</v>
      </c>
      <c r="M3" s="222" t="s">
        <v>208</v>
      </c>
      <c r="N3" s="222" t="s">
        <v>209</v>
      </c>
      <c r="O3" s="223" t="s">
        <v>210</v>
      </c>
      <c r="P3" s="224" t="s">
        <v>228</v>
      </c>
      <c r="Q3" s="225" t="s">
        <v>229</v>
      </c>
      <c r="R3" s="225" t="s">
        <v>230</v>
      </c>
      <c r="S3" s="223">
        <v>2025</v>
      </c>
      <c r="T3" s="224" t="s">
        <v>227</v>
      </c>
      <c r="U3" s="222">
        <v>2023</v>
      </c>
      <c r="V3" s="222">
        <v>2024</v>
      </c>
      <c r="W3" s="223">
        <v>2025</v>
      </c>
      <c r="X3" s="207" t="s">
        <v>213</v>
      </c>
      <c r="Y3" s="255" t="s">
        <v>672</v>
      </c>
    </row>
    <row r="4" spans="1:25" x14ac:dyDescent="0.2">
      <c r="A4" s="270" t="s">
        <v>252</v>
      </c>
      <c r="B4" s="80" t="s">
        <v>7</v>
      </c>
      <c r="C4" s="207" t="s">
        <v>8</v>
      </c>
      <c r="D4" s="208">
        <v>385.39</v>
      </c>
      <c r="E4" s="209">
        <f>D4*[2]Main!$L$3</f>
        <v>2864982.4135466502</v>
      </c>
      <c r="F4" s="209">
        <f>[2]Main!$L$5-[2]Main!$L$6</f>
        <v>49089</v>
      </c>
      <c r="G4" s="209">
        <f>+E4-F4</f>
        <v>2815893.4135466502</v>
      </c>
      <c r="H4" s="209">
        <f>+[2]Main!$L$3</f>
        <v>7433.9822350000004</v>
      </c>
      <c r="I4" s="304" t="s">
        <v>670</v>
      </c>
      <c r="J4" s="226">
        <v>45733</v>
      </c>
      <c r="K4" s="227">
        <f>+[2]Model!$BT$53</f>
        <v>357.55300810392936</v>
      </c>
      <c r="L4" s="211">
        <f>K4/D4-1</f>
        <v>-7.2230706287320978E-2</v>
      </c>
      <c r="M4" s="211">
        <f>+[2]Model!$BT$50</f>
        <v>7.0000000000000007E-2</v>
      </c>
      <c r="N4" s="211">
        <f>+[2]Model!$BT$49</f>
        <v>0</v>
      </c>
      <c r="O4" s="228">
        <f>+[2]Model!$BT$51</f>
        <v>0.01</v>
      </c>
      <c r="P4" s="212">
        <f>+$G$4/$H$4/T4</f>
        <v>39.267520740054195</v>
      </c>
      <c r="Q4" s="214">
        <f t="shared" ref="Q4:S4" si="0">+$G$4/$H$4/U4</f>
        <v>39.114837177685502</v>
      </c>
      <c r="R4" s="214">
        <f t="shared" si="0"/>
        <v>32.094537907058992</v>
      </c>
      <c r="S4" s="229">
        <f t="shared" si="0"/>
        <v>29.05061166722059</v>
      </c>
      <c r="T4" s="230">
        <f>+[2]Model!$BI$47</f>
        <v>9.6463099263974534</v>
      </c>
      <c r="U4" s="227">
        <f>+[2]Model!$BJ$47</f>
        <v>9.6839640001338285</v>
      </c>
      <c r="V4" s="227">
        <f>+[2]Model!$BK$47</f>
        <v>11.802216196310804</v>
      </c>
      <c r="W4" s="231">
        <f>+[2]Model!$BL$47</f>
        <v>13.038853688826407</v>
      </c>
      <c r="X4" s="207">
        <v>1975</v>
      </c>
      <c r="Y4" s="207">
        <f t="shared" ref="Y4:Y5" si="1">2025-X4</f>
        <v>50</v>
      </c>
    </row>
    <row r="5" spans="1:25" x14ac:dyDescent="0.2">
      <c r="A5" s="269" t="s">
        <v>252</v>
      </c>
      <c r="B5" s="80" t="s">
        <v>9</v>
      </c>
      <c r="C5" s="207" t="s">
        <v>10</v>
      </c>
      <c r="D5" s="208">
        <v>207.71</v>
      </c>
      <c r="E5" s="209">
        <f>D5*[3]Main!$L$3</f>
        <v>2564803.08</v>
      </c>
      <c r="F5" s="209">
        <f>[3]Main!$L$5-[3]Main!$L$6</f>
        <v>122756</v>
      </c>
      <c r="G5" s="209">
        <f>+E5-F5</f>
        <v>2442047.08</v>
      </c>
      <c r="H5" s="209">
        <f>[3]Main!$L$3</f>
        <v>12348</v>
      </c>
      <c r="I5" s="206" t="s">
        <v>614</v>
      </c>
      <c r="J5" s="226">
        <v>45519</v>
      </c>
      <c r="K5" s="227">
        <f>[3]Model!$BI$38</f>
        <v>255.16230593712166</v>
      </c>
      <c r="L5" s="211">
        <f>K5/D5-1</f>
        <v>0.2284546046753726</v>
      </c>
      <c r="M5" s="211">
        <f>[3]Model!$BI$35</f>
        <v>0.08</v>
      </c>
      <c r="N5" s="211">
        <f>[3]Model!$BI$34</f>
        <v>0.02</v>
      </c>
      <c r="O5" s="228">
        <f>[3]Model!$BI$36</f>
        <v>0.03</v>
      </c>
      <c r="P5" s="212">
        <f>+$G$5/$H$5/T5</f>
        <v>43.180957831629783</v>
      </c>
      <c r="Q5" s="214">
        <f>+$G$5/$H$5/U5</f>
        <v>33.94453609161895</v>
      </c>
      <c r="R5" s="214">
        <f>+$G$5/$H$5/V5</f>
        <v>25.175743092783506</v>
      </c>
      <c r="S5" s="214">
        <f>+$G$5/$H$5/W5</f>
        <v>21.817915735643641</v>
      </c>
      <c r="T5" s="230">
        <f>[3]Model!$AS$29</f>
        <v>4.5799964361174039</v>
      </c>
      <c r="U5" s="227">
        <f>[3]Model!$AT$29</f>
        <v>5.8262287763546796</v>
      </c>
      <c r="V5" s="227">
        <f>[3]Model!$AU$29</f>
        <v>7.8555231616456105</v>
      </c>
      <c r="W5" s="231">
        <f>[3]Model!$AV$29</f>
        <v>9.064506223841919</v>
      </c>
      <c r="X5" s="207">
        <v>1998</v>
      </c>
      <c r="Y5" s="207">
        <f t="shared" si="1"/>
        <v>27</v>
      </c>
    </row>
    <row r="6" spans="1:25" x14ac:dyDescent="0.2">
      <c r="A6" s="269" t="s">
        <v>252</v>
      </c>
      <c r="B6" s="80" t="s">
        <v>72</v>
      </c>
      <c r="C6" s="207" t="s">
        <v>73</v>
      </c>
      <c r="D6" s="208">
        <v>310</v>
      </c>
      <c r="E6" s="209">
        <f>+D6*H6</f>
        <v>104033.45924000001</v>
      </c>
      <c r="F6" s="209">
        <f>+[4]Main!$K$5-[4]Main!$K$6</f>
        <v>-2906.86</v>
      </c>
      <c r="G6" s="209">
        <f>+E6-F6</f>
        <v>106940.31924000001</v>
      </c>
      <c r="H6" s="209">
        <f>+[4]Main!$K$3</f>
        <v>335.59180400000002</v>
      </c>
      <c r="I6" s="206" t="s">
        <v>348</v>
      </c>
      <c r="J6" s="226">
        <v>45701</v>
      </c>
      <c r="O6" s="216"/>
      <c r="X6" s="207">
        <v>2012</v>
      </c>
      <c r="Y6" s="207">
        <f>2025-X6</f>
        <v>13</v>
      </c>
    </row>
    <row r="7" spans="1:25" x14ac:dyDescent="0.2">
      <c r="A7" s="269"/>
      <c r="B7" s="80" t="s">
        <v>697</v>
      </c>
      <c r="C7" s="287" t="s">
        <v>698</v>
      </c>
      <c r="D7" s="209">
        <v>7836</v>
      </c>
      <c r="E7" s="209">
        <f>11520000/JPY</f>
        <v>84130.577667421312</v>
      </c>
      <c r="F7" s="209"/>
      <c r="G7" s="209"/>
      <c r="H7" s="209"/>
      <c r="J7" s="226"/>
      <c r="O7" s="216"/>
    </row>
    <row r="8" spans="1:25" x14ac:dyDescent="0.2">
      <c r="A8" s="277" t="s">
        <v>252</v>
      </c>
      <c r="B8" s="80" t="s">
        <v>681</v>
      </c>
      <c r="C8" s="278" t="s">
        <v>682</v>
      </c>
      <c r="D8" s="209">
        <v>211</v>
      </c>
      <c r="E8" s="209">
        <f>10390000/JPY</f>
        <v>75878.185934419045</v>
      </c>
      <c r="F8" s="209"/>
      <c r="G8" s="209"/>
      <c r="H8" s="209"/>
      <c r="J8" s="226"/>
      <c r="O8" s="216"/>
    </row>
    <row r="9" spans="1:25" x14ac:dyDescent="0.2">
      <c r="A9" s="269" t="s">
        <v>252</v>
      </c>
      <c r="B9" s="80" t="s">
        <v>173</v>
      </c>
      <c r="C9" s="207" t="s">
        <v>174</v>
      </c>
      <c r="D9" s="232">
        <v>2825.35</v>
      </c>
      <c r="E9" s="209">
        <f>D9*H9/CAD</f>
        <v>46084.890152016626</v>
      </c>
      <c r="F9" s="209">
        <f>[5]Main!$O$5-[5]Main!$O$6</f>
        <v>-1163</v>
      </c>
      <c r="G9" s="209">
        <f>E9-F9</f>
        <v>47247.890152016626</v>
      </c>
      <c r="H9" s="209">
        <f>+[5]Main!$O$3</f>
        <v>21.19153</v>
      </c>
      <c r="I9" s="206" t="s">
        <v>379</v>
      </c>
      <c r="J9" s="226">
        <v>45047</v>
      </c>
      <c r="O9" s="216"/>
      <c r="X9" s="207">
        <v>1995</v>
      </c>
      <c r="Y9" s="207">
        <f t="shared" ref="Y9:Y11" si="2">2025-X9</f>
        <v>30</v>
      </c>
    </row>
    <row r="10" spans="1:25" x14ac:dyDescent="0.2">
      <c r="A10" s="269" t="s">
        <v>252</v>
      </c>
      <c r="B10" s="80" t="s">
        <v>56</v>
      </c>
      <c r="C10" s="207" t="s">
        <v>480</v>
      </c>
      <c r="D10" s="208">
        <v>83.89</v>
      </c>
      <c r="E10" s="209">
        <v>41017</v>
      </c>
      <c r="F10" s="209">
        <f>+[6]Main!$L$5-[6]Main!$L$6</f>
        <v>1921.489</v>
      </c>
      <c r="G10" s="209">
        <f>+E10-F10</f>
        <v>39095.510999999999</v>
      </c>
      <c r="H10" s="209">
        <f>+[6]Main!$L$3</f>
        <v>507</v>
      </c>
      <c r="I10" s="255" t="s">
        <v>670</v>
      </c>
      <c r="J10" s="226">
        <v>45701</v>
      </c>
      <c r="O10" s="216"/>
      <c r="X10" s="207">
        <v>2009</v>
      </c>
      <c r="Y10" s="207">
        <f t="shared" si="2"/>
        <v>16</v>
      </c>
    </row>
    <row r="11" spans="1:25" x14ac:dyDescent="0.2">
      <c r="A11" s="269" t="s">
        <v>252</v>
      </c>
      <c r="B11" s="80" t="s">
        <v>38</v>
      </c>
      <c r="C11" s="207" t="s">
        <v>39</v>
      </c>
      <c r="D11" s="208">
        <v>92.75</v>
      </c>
      <c r="E11" s="209">
        <f>+D11*[7]Main!$L$3/8</f>
        <v>32856.6875</v>
      </c>
      <c r="F11" s="209">
        <f>([7]Main!$L$5-[7]Main!$L$6)/RMB</f>
        <v>30585.01483679525</v>
      </c>
      <c r="G11" s="209">
        <f>E11-F11</f>
        <v>2271.6726632047503</v>
      </c>
      <c r="H11" s="209">
        <f>+[7]Main!$L$3</f>
        <v>2834</v>
      </c>
      <c r="I11" s="206" t="s">
        <v>14</v>
      </c>
      <c r="O11" s="216"/>
      <c r="X11" s="207">
        <v>2000</v>
      </c>
      <c r="Y11" s="207">
        <f t="shared" si="2"/>
        <v>25</v>
      </c>
    </row>
    <row r="12" spans="1:25" x14ac:dyDescent="0.2">
      <c r="A12" s="269" t="s">
        <v>252</v>
      </c>
      <c r="B12" s="80" t="s">
        <v>38</v>
      </c>
      <c r="C12" s="207" t="s">
        <v>633</v>
      </c>
      <c r="F12" s="209"/>
      <c r="G12" s="209"/>
      <c r="H12" s="209"/>
      <c r="O12" s="216"/>
    </row>
    <row r="13" spans="1:25" x14ac:dyDescent="0.2">
      <c r="A13" s="269" t="s">
        <v>252</v>
      </c>
      <c r="B13" s="233" t="s">
        <v>311</v>
      </c>
      <c r="C13" s="207" t="s">
        <v>312</v>
      </c>
      <c r="D13" s="208">
        <v>46.37</v>
      </c>
      <c r="E13" s="209">
        <v>20860</v>
      </c>
      <c r="O13" s="216"/>
      <c r="X13" s="207">
        <v>1987</v>
      </c>
    </row>
    <row r="14" spans="1:25" x14ac:dyDescent="0.2">
      <c r="A14" s="269" t="s">
        <v>252</v>
      </c>
      <c r="B14" s="233" t="s">
        <v>420</v>
      </c>
      <c r="C14" s="207" t="s">
        <v>421</v>
      </c>
      <c r="D14" s="208">
        <v>547.96</v>
      </c>
      <c r="E14" s="209">
        <v>58644</v>
      </c>
      <c r="O14" s="216"/>
    </row>
    <row r="15" spans="1:25" x14ac:dyDescent="0.2">
      <c r="A15" s="207" t="s">
        <v>252</v>
      </c>
      <c r="B15" s="233" t="s">
        <v>422</v>
      </c>
      <c r="C15" s="207" t="s">
        <v>423</v>
      </c>
      <c r="D15" s="208">
        <v>281.41000000000003</v>
      </c>
      <c r="E15" s="209">
        <f>129933/RMB</f>
        <v>19277.893175074183</v>
      </c>
      <c r="O15" s="216"/>
    </row>
    <row r="16" spans="1:25" x14ac:dyDescent="0.2">
      <c r="A16" s="207" t="s">
        <v>252</v>
      </c>
      <c r="B16" s="233" t="s">
        <v>78</v>
      </c>
      <c r="C16" s="207" t="s">
        <v>79</v>
      </c>
      <c r="D16" s="208">
        <v>16.87</v>
      </c>
      <c r="E16" s="209">
        <v>11408</v>
      </c>
      <c r="O16" s="216"/>
      <c r="X16" s="207">
        <v>2007</v>
      </c>
    </row>
    <row r="17" spans="1:24" x14ac:dyDescent="0.2">
      <c r="A17" s="269" t="s">
        <v>252</v>
      </c>
      <c r="B17" s="233" t="s">
        <v>441</v>
      </c>
      <c r="C17" s="207" t="s">
        <v>442</v>
      </c>
      <c r="D17" s="208">
        <v>34.99</v>
      </c>
      <c r="E17" s="209">
        <v>18901</v>
      </c>
      <c r="O17" s="216"/>
    </row>
    <row r="18" spans="1:24" x14ac:dyDescent="0.2">
      <c r="A18" s="269" t="s">
        <v>252</v>
      </c>
      <c r="B18" s="233" t="s">
        <v>84</v>
      </c>
      <c r="C18" s="207" t="s">
        <v>85</v>
      </c>
      <c r="D18" s="208">
        <v>363.45</v>
      </c>
      <c r="E18" s="209">
        <v>15250</v>
      </c>
      <c r="O18" s="216"/>
      <c r="X18" s="207">
        <v>1966</v>
      </c>
    </row>
    <row r="19" spans="1:24" x14ac:dyDescent="0.2">
      <c r="B19" s="233" t="s">
        <v>101</v>
      </c>
      <c r="C19" s="207" t="s">
        <v>102</v>
      </c>
      <c r="D19" s="208">
        <v>408.48</v>
      </c>
      <c r="E19" s="209">
        <v>10570</v>
      </c>
      <c r="O19" s="216"/>
    </row>
    <row r="20" spans="1:24" x14ac:dyDescent="0.2">
      <c r="B20" s="233" t="s">
        <v>105</v>
      </c>
      <c r="C20" s="207" t="s">
        <v>106</v>
      </c>
      <c r="D20" s="208">
        <v>80.52</v>
      </c>
      <c r="E20" s="209">
        <v>10310</v>
      </c>
      <c r="O20" s="216"/>
      <c r="X20" s="207">
        <v>2007</v>
      </c>
    </row>
    <row r="21" spans="1:24" x14ac:dyDescent="0.2">
      <c r="B21" s="233" t="s">
        <v>109</v>
      </c>
      <c r="C21" s="207" t="s">
        <v>110</v>
      </c>
      <c r="D21" s="208">
        <v>8.17</v>
      </c>
      <c r="E21" s="209">
        <v>9320</v>
      </c>
      <c r="O21" s="216"/>
    </row>
    <row r="22" spans="1:24" x14ac:dyDescent="0.2">
      <c r="B22" s="233" t="s">
        <v>113</v>
      </c>
      <c r="C22" s="207" t="s">
        <v>114</v>
      </c>
      <c r="D22" s="208">
        <v>203.42</v>
      </c>
      <c r="E22" s="209">
        <v>8580</v>
      </c>
      <c r="O22" s="216"/>
      <c r="X22" s="207">
        <v>2003</v>
      </c>
    </row>
    <row r="23" spans="1:24" x14ac:dyDescent="0.2">
      <c r="A23" s="270" t="s">
        <v>252</v>
      </c>
      <c r="B23" s="233" t="s">
        <v>116</v>
      </c>
      <c r="C23" s="207" t="s">
        <v>117</v>
      </c>
      <c r="D23" s="208">
        <v>126.81</v>
      </c>
      <c r="E23" s="209">
        <v>8200</v>
      </c>
      <c r="O23" s="216"/>
    </row>
    <row r="24" spans="1:24" x14ac:dyDescent="0.2">
      <c r="A24" s="270" t="s">
        <v>252</v>
      </c>
      <c r="B24" s="233" t="s">
        <v>118</v>
      </c>
      <c r="C24" s="207" t="s">
        <v>119</v>
      </c>
      <c r="D24" s="208">
        <v>50.35</v>
      </c>
      <c r="E24" s="209">
        <v>8150</v>
      </c>
      <c r="O24" s="216"/>
    </row>
    <row r="25" spans="1:24" x14ac:dyDescent="0.2">
      <c r="B25" s="233" t="s">
        <v>121</v>
      </c>
      <c r="C25" s="207" t="s">
        <v>122</v>
      </c>
      <c r="D25" s="208">
        <v>88.7</v>
      </c>
      <c r="E25" s="209">
        <v>7910</v>
      </c>
      <c r="O25" s="216"/>
    </row>
    <row r="26" spans="1:24" x14ac:dyDescent="0.2">
      <c r="A26" s="207" t="s">
        <v>252</v>
      </c>
      <c r="B26" s="233" t="s">
        <v>125</v>
      </c>
      <c r="C26" s="207" t="s">
        <v>126</v>
      </c>
      <c r="D26" s="208">
        <v>50.36</v>
      </c>
      <c r="E26" s="209">
        <v>7140</v>
      </c>
      <c r="O26" s="216"/>
    </row>
    <row r="27" spans="1:24" x14ac:dyDescent="0.2">
      <c r="A27" s="207" t="s">
        <v>252</v>
      </c>
      <c r="B27" s="233" t="s">
        <v>127</v>
      </c>
      <c r="C27" s="207" t="s">
        <v>128</v>
      </c>
      <c r="D27" s="208">
        <v>80.58</v>
      </c>
      <c r="E27" s="209">
        <v>6930</v>
      </c>
      <c r="O27" s="216"/>
    </row>
    <row r="28" spans="1:24" x14ac:dyDescent="0.2">
      <c r="B28" s="233" t="s">
        <v>133</v>
      </c>
      <c r="C28" s="207" t="s">
        <v>134</v>
      </c>
      <c r="D28" s="208">
        <v>54.6</v>
      </c>
      <c r="E28" s="209">
        <v>6370</v>
      </c>
      <c r="O28" s="216"/>
    </row>
    <row r="29" spans="1:24" x14ac:dyDescent="0.2">
      <c r="A29" s="207" t="s">
        <v>252</v>
      </c>
      <c r="B29" s="233" t="s">
        <v>135</v>
      </c>
      <c r="C29" s="207" t="s">
        <v>136</v>
      </c>
      <c r="D29" s="208">
        <v>62.59</v>
      </c>
      <c r="E29" s="209">
        <v>6350</v>
      </c>
      <c r="O29" s="216"/>
    </row>
    <row r="30" spans="1:24" x14ac:dyDescent="0.2">
      <c r="A30" s="270" t="s">
        <v>252</v>
      </c>
      <c r="B30" s="233" t="s">
        <v>137</v>
      </c>
      <c r="C30" s="207" t="s">
        <v>137</v>
      </c>
      <c r="D30" s="208">
        <v>62.71</v>
      </c>
      <c r="E30" s="209">
        <v>3603</v>
      </c>
      <c r="O30" s="216"/>
    </row>
    <row r="31" spans="1:24" x14ac:dyDescent="0.2">
      <c r="B31" s="80" t="s">
        <v>332</v>
      </c>
      <c r="C31" s="207" t="s">
        <v>616</v>
      </c>
      <c r="D31" s="208">
        <v>13.99</v>
      </c>
      <c r="E31" s="209">
        <f>+D31*H31</f>
        <v>1249.307</v>
      </c>
      <c r="F31" s="209">
        <f>+[8]Main!$K$5-[8]Main!$K$6</f>
        <v>357.65600000000001</v>
      </c>
      <c r="G31" s="209">
        <f>+E31-F31</f>
        <v>891.65100000000007</v>
      </c>
      <c r="H31" s="209">
        <f>+[8]Main!$K$3</f>
        <v>89.3</v>
      </c>
      <c r="I31" s="206" t="s">
        <v>614</v>
      </c>
      <c r="J31" s="226">
        <v>45546</v>
      </c>
      <c r="O31" s="216"/>
    </row>
    <row r="32" spans="1:24" x14ac:dyDescent="0.2">
      <c r="A32" s="207" t="s">
        <v>252</v>
      </c>
      <c r="B32" s="233" t="s">
        <v>501</v>
      </c>
      <c r="C32" s="207" t="s">
        <v>502</v>
      </c>
      <c r="O32" s="216"/>
    </row>
    <row r="33" spans="1:15" x14ac:dyDescent="0.2">
      <c r="A33" s="207" t="s">
        <v>252</v>
      </c>
      <c r="B33" s="233" t="s">
        <v>138</v>
      </c>
      <c r="C33" s="207" t="s">
        <v>139</v>
      </c>
      <c r="D33" s="208">
        <v>21.19</v>
      </c>
      <c r="E33" s="209">
        <v>2965</v>
      </c>
      <c r="O33" s="216"/>
    </row>
    <row r="34" spans="1:15" x14ac:dyDescent="0.2">
      <c r="B34" s="233" t="s">
        <v>214</v>
      </c>
      <c r="C34" s="207" t="s">
        <v>215</v>
      </c>
      <c r="D34" s="208">
        <v>13.95</v>
      </c>
      <c r="E34" s="209">
        <v>2030</v>
      </c>
      <c r="O34" s="216"/>
    </row>
    <row r="35" spans="1:15" x14ac:dyDescent="0.2">
      <c r="B35" s="233" t="s">
        <v>216</v>
      </c>
      <c r="C35" s="207" t="s">
        <v>217</v>
      </c>
      <c r="D35" s="208">
        <v>19.95</v>
      </c>
      <c r="E35" s="209">
        <v>2560</v>
      </c>
      <c r="O35" s="216"/>
    </row>
    <row r="36" spans="1:15" x14ac:dyDescent="0.2">
      <c r="B36" s="233" t="s">
        <v>225</v>
      </c>
      <c r="C36" s="207" t="s">
        <v>226</v>
      </c>
      <c r="O36" s="216"/>
    </row>
    <row r="37" spans="1:15" x14ac:dyDescent="0.2">
      <c r="B37" s="233" t="s">
        <v>392</v>
      </c>
      <c r="O37" s="216"/>
    </row>
    <row r="38" spans="1:15" x14ac:dyDescent="0.2">
      <c r="A38" s="207" t="s">
        <v>252</v>
      </c>
      <c r="B38" s="233" t="s">
        <v>491</v>
      </c>
      <c r="C38" s="207" t="s">
        <v>492</v>
      </c>
      <c r="O38" s="216"/>
    </row>
    <row r="39" spans="1:15" x14ac:dyDescent="0.2">
      <c r="A39" s="207" t="s">
        <v>252</v>
      </c>
      <c r="B39" s="233" t="s">
        <v>426</v>
      </c>
      <c r="C39" s="207" t="s">
        <v>427</v>
      </c>
      <c r="O39" s="216"/>
    </row>
    <row r="40" spans="1:15" x14ac:dyDescent="0.2">
      <c r="A40" s="207" t="s">
        <v>252</v>
      </c>
      <c r="B40" s="233" t="s">
        <v>524</v>
      </c>
      <c r="C40" s="207" t="s">
        <v>525</v>
      </c>
      <c r="O40" s="216"/>
    </row>
    <row r="41" spans="1:15" x14ac:dyDescent="0.2">
      <c r="B41" s="233" t="s">
        <v>635</v>
      </c>
      <c r="C41" s="207" t="s">
        <v>634</v>
      </c>
      <c r="O41" s="216"/>
    </row>
    <row r="42" spans="1:15" x14ac:dyDescent="0.2">
      <c r="A42" s="207" t="s">
        <v>252</v>
      </c>
      <c r="B42" s="233" t="s">
        <v>528</v>
      </c>
      <c r="C42" s="207" t="s">
        <v>529</v>
      </c>
      <c r="O42" s="216"/>
    </row>
    <row r="43" spans="1:15" x14ac:dyDescent="0.2">
      <c r="A43" s="207" t="s">
        <v>252</v>
      </c>
      <c r="B43" s="233" t="s">
        <v>536</v>
      </c>
      <c r="C43" s="207" t="s">
        <v>537</v>
      </c>
      <c r="O43" s="216"/>
    </row>
    <row r="44" spans="1:15" x14ac:dyDescent="0.2">
      <c r="A44" s="207" t="s">
        <v>252</v>
      </c>
      <c r="B44" s="233" t="s">
        <v>544</v>
      </c>
      <c r="C44" s="207" t="s">
        <v>545</v>
      </c>
      <c r="O44" s="216"/>
    </row>
    <row r="45" spans="1:15" x14ac:dyDescent="0.2">
      <c r="A45" s="207" t="s">
        <v>252</v>
      </c>
      <c r="B45" s="234" t="s">
        <v>584</v>
      </c>
      <c r="C45" s="235" t="s">
        <v>585</v>
      </c>
      <c r="D45" s="236"/>
      <c r="E45" s="237"/>
      <c r="F45" s="238"/>
      <c r="G45" s="238"/>
      <c r="H45" s="238"/>
      <c r="I45" s="238"/>
      <c r="J45" s="238"/>
      <c r="K45" s="225"/>
      <c r="L45" s="225"/>
      <c r="M45" s="225"/>
      <c r="N45" s="225"/>
      <c r="O45" s="239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6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69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197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1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7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1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5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1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7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1" t="s">
        <v>252</v>
      </c>
      <c r="B7" s="5" t="s">
        <v>255</v>
      </c>
      <c r="C7" s="64" t="s">
        <v>255</v>
      </c>
      <c r="D7" s="104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5" t="s">
        <v>614</v>
      </c>
      <c r="J7" s="74">
        <v>45565</v>
      </c>
      <c r="X7" s="54">
        <v>1911</v>
      </c>
    </row>
    <row r="8" spans="1:24" x14ac:dyDescent="0.2">
      <c r="A8" s="271" t="s">
        <v>252</v>
      </c>
      <c r="B8" s="91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2" t="s">
        <v>670</v>
      </c>
      <c r="J8" s="74">
        <v>45692</v>
      </c>
    </row>
    <row r="9" spans="1:24" s="20" customFormat="1" x14ac:dyDescent="0.2">
      <c r="A9" s="271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5" t="s">
        <v>614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1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5" t="s">
        <v>614</v>
      </c>
      <c r="J10" s="37">
        <v>45565</v>
      </c>
      <c r="X10" s="54">
        <v>2005</v>
      </c>
    </row>
    <row r="11" spans="1:24" x14ac:dyDescent="0.2">
      <c r="A11" s="271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5" t="s">
        <v>614</v>
      </c>
      <c r="J11" s="74">
        <v>45565</v>
      </c>
      <c r="X11" s="54">
        <v>2002</v>
      </c>
    </row>
    <row r="12" spans="1:24" x14ac:dyDescent="0.2">
      <c r="A12" s="271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">
      <c r="A13" s="271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">
      <c r="A14" s="271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1" t="s">
        <v>252</v>
      </c>
      <c r="B15" s="80" t="s">
        <v>68</v>
      </c>
      <c r="C15" s="148" t="s">
        <v>69</v>
      </c>
      <c r="D15" s="149">
        <v>520</v>
      </c>
      <c r="E15" s="150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0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1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6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9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6" t="s">
        <v>670</v>
      </c>
      <c r="J17" s="74">
        <v>45719</v>
      </c>
    </row>
    <row r="18" spans="1:24" s="20" customFormat="1" x14ac:dyDescent="0.2">
      <c r="A18" s="271" t="s">
        <v>252</v>
      </c>
      <c r="B18" s="91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5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129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7" t="s">
        <v>614</v>
      </c>
      <c r="J19" s="37">
        <v>45555</v>
      </c>
      <c r="X19" s="54">
        <v>2011</v>
      </c>
    </row>
    <row r="20" spans="1:24" s="20" customFormat="1" x14ac:dyDescent="0.2">
      <c r="A20" s="129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1" t="s">
        <v>252</v>
      </c>
      <c r="B21" s="5" t="s">
        <v>393</v>
      </c>
      <c r="C21" s="129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7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9" t="s">
        <v>252</v>
      </c>
      <c r="B22" s="85" t="s">
        <v>326</v>
      </c>
      <c r="C22" s="90" t="s">
        <v>373</v>
      </c>
      <c r="D22" s="54">
        <v>25.54</v>
      </c>
      <c r="E22" s="53">
        <v>4800</v>
      </c>
      <c r="X22" s="54">
        <v>2012</v>
      </c>
    </row>
    <row r="23" spans="1:24" x14ac:dyDescent="0.2">
      <c r="A23" s="129" t="s">
        <v>252</v>
      </c>
      <c r="B23" s="103" t="s">
        <v>386</v>
      </c>
      <c r="C23" s="103" t="s">
        <v>387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9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9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9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29" t="s">
        <v>252</v>
      </c>
      <c r="B28" s="121" t="s">
        <v>428</v>
      </c>
      <c r="C28" s="121" t="s">
        <v>429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129" t="s">
        <v>252</v>
      </c>
      <c r="B29" s="121" t="s">
        <v>426</v>
      </c>
      <c r="C29" s="121" t="s">
        <v>427</v>
      </c>
      <c r="D29" s="21"/>
      <c r="E29" s="22"/>
      <c r="F29" s="53"/>
      <c r="G29" s="22"/>
      <c r="H29" s="53"/>
      <c r="I29" s="73"/>
      <c r="J29" s="74"/>
    </row>
    <row r="30" spans="1:24" x14ac:dyDescent="0.2">
      <c r="A30" s="271" t="s">
        <v>252</v>
      </c>
      <c r="B30" s="130" t="s">
        <v>505</v>
      </c>
      <c r="C30" s="129" t="s">
        <v>506</v>
      </c>
      <c r="D30" s="21"/>
      <c r="E30" s="22"/>
    </row>
    <row r="31" spans="1:24" x14ac:dyDescent="0.2">
      <c r="A31" s="129" t="s">
        <v>252</v>
      </c>
      <c r="B31" s="130" t="s">
        <v>498</v>
      </c>
      <c r="C31" s="129" t="s">
        <v>499</v>
      </c>
      <c r="D31" s="21"/>
      <c r="E31" s="22"/>
    </row>
    <row r="32" spans="1:24" x14ac:dyDescent="0.2">
      <c r="A32" s="271" t="s">
        <v>252</v>
      </c>
      <c r="B32" s="130" t="s">
        <v>507</v>
      </c>
      <c r="C32" s="129" t="s">
        <v>508</v>
      </c>
      <c r="D32" s="21"/>
      <c r="E32" s="22"/>
    </row>
    <row r="33" spans="1:24" x14ac:dyDescent="0.2">
      <c r="B33" s="83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29" t="s">
        <v>252</v>
      </c>
      <c r="B34" s="121" t="s">
        <v>434</v>
      </c>
      <c r="C34" s="121" t="s">
        <v>435</v>
      </c>
      <c r="D34" s="21"/>
      <c r="E34" s="22"/>
    </row>
    <row r="35" spans="1:24" x14ac:dyDescent="0.2">
      <c r="A35" s="132" t="s">
        <v>252</v>
      </c>
      <c r="B35" s="121" t="s">
        <v>436</v>
      </c>
      <c r="C35" s="121" t="s">
        <v>437</v>
      </c>
      <c r="D35" s="21"/>
      <c r="E35" s="22"/>
    </row>
    <row r="36" spans="1:24" x14ac:dyDescent="0.2">
      <c r="A36" s="129" t="s">
        <v>252</v>
      </c>
      <c r="B36" s="121" t="s">
        <v>438</v>
      </c>
      <c r="C36" s="121" t="s">
        <v>89</v>
      </c>
      <c r="D36" s="21"/>
      <c r="E36" s="22"/>
    </row>
    <row r="37" spans="1:24" x14ac:dyDescent="0.2">
      <c r="A37" s="271" t="s">
        <v>252</v>
      </c>
      <c r="B37" s="83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29" t="s">
        <v>252</v>
      </c>
      <c r="B38" s="83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29" t="s">
        <v>252</v>
      </c>
      <c r="B39" s="129" t="s">
        <v>489</v>
      </c>
      <c r="C39" s="129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29" t="s">
        <v>252</v>
      </c>
      <c r="B40" s="129" t="s">
        <v>493</v>
      </c>
      <c r="C40" s="129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2" t="s">
        <v>252</v>
      </c>
      <c r="B41" s="5" t="s">
        <v>578</v>
      </c>
      <c r="C41" s="132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4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2" t="s">
        <v>252</v>
      </c>
      <c r="B42" s="5" t="s">
        <v>562</v>
      </c>
      <c r="C42" s="132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4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2" t="s">
        <v>252</v>
      </c>
      <c r="B43" s="5" t="s">
        <v>580</v>
      </c>
      <c r="C43" s="132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68" t="s">
        <v>614</v>
      </c>
      <c r="J43" s="18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29"/>
      <c r="B44" s="5" t="s">
        <v>693</v>
      </c>
      <c r="C44" s="285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86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29"/>
      <c r="B45" s="5" t="s">
        <v>615</v>
      </c>
      <c r="C45" s="134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5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9" t="s">
        <v>252</v>
      </c>
      <c r="B46" s="129" t="s">
        <v>494</v>
      </c>
      <c r="C46" s="129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9" t="s">
        <v>252</v>
      </c>
      <c r="B47" s="129" t="s">
        <v>497</v>
      </c>
      <c r="C47" s="129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9" t="s">
        <v>252</v>
      </c>
      <c r="B48" s="129" t="s">
        <v>511</v>
      </c>
      <c r="C48" s="129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9" t="s">
        <v>252</v>
      </c>
      <c r="B49" s="129" t="s">
        <v>514</v>
      </c>
      <c r="C49" s="129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9" t="s">
        <v>252</v>
      </c>
      <c r="B50" s="129" t="s">
        <v>520</v>
      </c>
      <c r="C50" s="129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9" t="s">
        <v>252</v>
      </c>
      <c r="B51" s="129" t="s">
        <v>522</v>
      </c>
      <c r="C51" s="129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9" t="s">
        <v>252</v>
      </c>
      <c r="B52" s="129" t="s">
        <v>526</v>
      </c>
      <c r="C52" s="129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9" t="s">
        <v>252</v>
      </c>
      <c r="B53" s="129" t="s">
        <v>540</v>
      </c>
      <c r="C53" s="129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1" t="s">
        <v>252</v>
      </c>
      <c r="B54" s="131" t="s">
        <v>546</v>
      </c>
      <c r="C54" s="131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1" t="s">
        <v>252</v>
      </c>
      <c r="B55" s="131" t="s">
        <v>548</v>
      </c>
      <c r="C55" s="131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2" t="s">
        <v>252</v>
      </c>
      <c r="B56" s="132" t="s">
        <v>564</v>
      </c>
      <c r="C56" s="132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2" t="s">
        <v>252</v>
      </c>
      <c r="B57" s="132" t="s">
        <v>566</v>
      </c>
      <c r="C57" s="132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2" t="s">
        <v>252</v>
      </c>
      <c r="B58" s="132" t="s">
        <v>568</v>
      </c>
      <c r="C58" s="132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2" t="s">
        <v>252</v>
      </c>
      <c r="B59" s="132" t="s">
        <v>574</v>
      </c>
      <c r="C59" s="132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2" t="s">
        <v>252</v>
      </c>
      <c r="B60" s="132" t="s">
        <v>576</v>
      </c>
      <c r="C60" s="132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2" t="s">
        <v>252</v>
      </c>
      <c r="B61" s="132" t="s">
        <v>582</v>
      </c>
      <c r="C61" s="132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2" t="s">
        <v>252</v>
      </c>
      <c r="B62" s="132" t="s">
        <v>588</v>
      </c>
      <c r="C62" s="132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2" t="s">
        <v>252</v>
      </c>
      <c r="B63" s="132" t="s">
        <v>590</v>
      </c>
      <c r="C63" s="132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2"/>
      <c r="B64" s="5" t="s">
        <v>620</v>
      </c>
      <c r="C64" s="145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0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2"/>
      <c r="B65" s="5" t="s">
        <v>663</v>
      </c>
      <c r="C65" s="242" t="s">
        <v>664</v>
      </c>
      <c r="D65" s="243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44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2" t="s">
        <v>252</v>
      </c>
      <c r="B66" s="132" t="s">
        <v>592</v>
      </c>
      <c r="C66" s="132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2" t="s">
        <v>252</v>
      </c>
      <c r="B67" s="132" t="s">
        <v>602</v>
      </c>
      <c r="C67" s="132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2" t="s">
        <v>252</v>
      </c>
      <c r="B68" s="132" t="s">
        <v>606</v>
      </c>
      <c r="C68" s="132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2" t="s">
        <v>252</v>
      </c>
      <c r="B69" s="132" t="s">
        <v>608</v>
      </c>
      <c r="C69" s="132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2" t="s">
        <v>252</v>
      </c>
      <c r="B70" s="132" t="s">
        <v>610</v>
      </c>
      <c r="C70" s="132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2"/>
      <c r="B71" s="207" t="s">
        <v>657</v>
      </c>
      <c r="C71" s="207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2"/>
      <c r="B72" s="246" t="s">
        <v>666</v>
      </c>
      <c r="C72" s="246" t="s">
        <v>665</v>
      </c>
      <c r="D72" s="243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2"/>
      <c r="B73" s="5" t="s">
        <v>669</v>
      </c>
      <c r="C73" s="247" t="s">
        <v>669</v>
      </c>
      <c r="D73" s="243">
        <v>18</v>
      </c>
      <c r="E73" s="22"/>
      <c r="F73" s="23"/>
      <c r="G73" s="23"/>
      <c r="H73" s="22">
        <f>+[34]Main!$O$3</f>
        <v>237.44796100000002</v>
      </c>
      <c r="I73" s="248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131"/>
      <c r="C74" s="131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x14ac:dyDescent="0.2">
      <c r="B75" s="69" t="s">
        <v>247</v>
      </c>
      <c r="I75" s="106" t="s">
        <v>213</v>
      </c>
    </row>
    <row r="76" spans="1:23" x14ac:dyDescent="0.2">
      <c r="B76" s="106" t="s">
        <v>394</v>
      </c>
      <c r="E76" s="54">
        <v>30000</v>
      </c>
      <c r="I76" s="124" t="s">
        <v>452</v>
      </c>
    </row>
    <row r="77" spans="1:23" x14ac:dyDescent="0.2">
      <c r="B77" s="106" t="s">
        <v>395</v>
      </c>
      <c r="E77" s="54">
        <v>10000</v>
      </c>
      <c r="F77" s="106" t="s">
        <v>397</v>
      </c>
      <c r="G77" s="106" t="s">
        <v>396</v>
      </c>
      <c r="H77" s="106" t="s">
        <v>398</v>
      </c>
      <c r="I77" s="54">
        <v>2013</v>
      </c>
    </row>
    <row r="78" spans="1:23" x14ac:dyDescent="0.2">
      <c r="B78" s="106" t="s">
        <v>120</v>
      </c>
      <c r="E78" s="54">
        <v>10000</v>
      </c>
      <c r="F78" s="106"/>
      <c r="G78" s="106"/>
      <c r="H78" s="106"/>
    </row>
    <row r="79" spans="1:23" x14ac:dyDescent="0.2">
      <c r="B79" s="121" t="s">
        <v>98</v>
      </c>
      <c r="E79" s="54">
        <v>12000</v>
      </c>
    </row>
    <row r="80" spans="1:23" x14ac:dyDescent="0.2">
      <c r="B80" s="68" t="s">
        <v>274</v>
      </c>
      <c r="E80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8" t="s">
        <v>417</v>
      </c>
      <c r="Z2" s="118" t="s">
        <v>418</v>
      </c>
    </row>
    <row r="3" spans="1:26" s="20" customFormat="1" x14ac:dyDescent="0.2">
      <c r="A3" s="269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49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9">
        <f>G3/Y3</f>
        <v>463.16826727559055</v>
      </c>
    </row>
    <row r="4" spans="1:26" s="20" customFormat="1" x14ac:dyDescent="0.2">
      <c r="A4" s="269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0"/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69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69" t="s">
        <v>252</v>
      </c>
      <c r="B7" s="91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2"/>
      <c r="B8" s="91" t="s">
        <v>374</v>
      </c>
      <c r="C8" s="92" t="s">
        <v>375</v>
      </c>
      <c r="D8" s="21">
        <v>11.28</v>
      </c>
      <c r="E8" s="22">
        <f>+D8*H8</f>
        <v>18758.64</v>
      </c>
      <c r="F8" s="95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0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9">
        <f>G8/Y8</f>
        <v>51.220903999999997</v>
      </c>
    </row>
    <row r="9" spans="1:26" s="20" customFormat="1" x14ac:dyDescent="0.2">
      <c r="A9" s="269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69" t="s">
        <v>252</v>
      </c>
      <c r="B11" s="5" t="s">
        <v>76</v>
      </c>
      <c r="C11" s="189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69" t="s">
        <v>252</v>
      </c>
      <c r="B13" s="5" t="s">
        <v>320</v>
      </c>
      <c r="C13" s="189" t="s">
        <v>640</v>
      </c>
      <c r="D13" s="190">
        <v>100</v>
      </c>
      <c r="E13" s="110">
        <f>+D13*H13</f>
        <v>16587.6054</v>
      </c>
      <c r="F13" s="110">
        <f>+[38]Main!$J$5-[38]Main!$J$6</f>
        <v>591.05100000000004</v>
      </c>
      <c r="G13" s="110">
        <f>+E13-F13</f>
        <v>15996.554400000001</v>
      </c>
      <c r="H13" s="110">
        <f>+[38]Main!$J$3</f>
        <v>165.87605400000001</v>
      </c>
      <c r="I13" s="204" t="s">
        <v>614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89" t="s">
        <v>642</v>
      </c>
      <c r="D15" s="49">
        <v>23.43</v>
      </c>
      <c r="E15" s="110">
        <v>4600</v>
      </c>
    </row>
    <row r="16" spans="1:26" s="20" customFormat="1" x14ac:dyDescent="0.2">
      <c r="B16" s="5" t="s">
        <v>357</v>
      </c>
      <c r="C16" s="142" t="s">
        <v>619</v>
      </c>
      <c r="D16" s="21">
        <v>12.27</v>
      </c>
      <c r="E16" s="22">
        <f>+D16*H16</f>
        <v>2159.42446578</v>
      </c>
      <c r="F16" s="144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3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89" t="s">
        <v>641</v>
      </c>
      <c r="D17" s="190">
        <v>2.8</v>
      </c>
      <c r="E17" s="192">
        <f>+D17*H17</f>
        <v>269.08319199999994</v>
      </c>
      <c r="F17" s="110">
        <f>+[40]Main!$K$5-[40]Main!$K$6</f>
        <v>-41.52800000000002</v>
      </c>
      <c r="G17" s="22">
        <f>+E17-F17</f>
        <v>310.61119199999996</v>
      </c>
      <c r="H17" s="110">
        <f>+[40]Main!$K$3</f>
        <v>96.101139999999987</v>
      </c>
      <c r="I17" s="193" t="s">
        <v>614</v>
      </c>
      <c r="J17" s="191">
        <v>45575</v>
      </c>
    </row>
    <row r="18" spans="2:23" x14ac:dyDescent="0.2">
      <c r="B18" s="5" t="s">
        <v>667</v>
      </c>
      <c r="C18" s="246" t="s">
        <v>668</v>
      </c>
      <c r="D18" s="190">
        <v>4.05</v>
      </c>
      <c r="E18" s="192"/>
      <c r="F18" s="110"/>
      <c r="G18" s="22"/>
      <c r="H18" s="110"/>
      <c r="I18" s="193"/>
      <c r="J18" s="191"/>
    </row>
    <row r="19" spans="2:23" s="20" customFormat="1" x14ac:dyDescent="0.2">
      <c r="B19" s="136" t="s">
        <v>617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6" t="s">
        <v>618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3" t="s">
        <v>213</v>
      </c>
    </row>
    <row r="23" spans="2:23" x14ac:dyDescent="0.2">
      <c r="B23" s="70" t="s">
        <v>276</v>
      </c>
      <c r="E23" s="110">
        <v>400000</v>
      </c>
    </row>
    <row r="24" spans="2:23" x14ac:dyDescent="0.2">
      <c r="B24" s="49" t="s">
        <v>246</v>
      </c>
      <c r="E24" s="110">
        <v>30000</v>
      </c>
    </row>
    <row r="25" spans="2:23" x14ac:dyDescent="0.2">
      <c r="B25" s="146" t="s">
        <v>624</v>
      </c>
      <c r="C25" s="146" t="s">
        <v>623</v>
      </c>
      <c r="D25" s="21">
        <v>44.5</v>
      </c>
      <c r="E25" s="22">
        <v>34050</v>
      </c>
    </row>
    <row r="26" spans="2:23" x14ac:dyDescent="0.2">
      <c r="B26" s="84" t="s">
        <v>316</v>
      </c>
      <c r="E26" s="110">
        <v>14500</v>
      </c>
      <c r="F26" s="49">
        <v>2015</v>
      </c>
      <c r="H26" s="122" t="s">
        <v>447</v>
      </c>
    </row>
    <row r="27" spans="2:23" x14ac:dyDescent="0.2">
      <c r="B27" s="122" t="s">
        <v>445</v>
      </c>
      <c r="E27" s="110"/>
      <c r="F27" s="49">
        <v>2021</v>
      </c>
      <c r="H27" s="146" t="s">
        <v>625</v>
      </c>
    </row>
    <row r="28" spans="2:23" x14ac:dyDescent="0.2">
      <c r="B28" s="122" t="s">
        <v>446</v>
      </c>
      <c r="E28" s="49">
        <v>1000</v>
      </c>
      <c r="H28" s="122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9" t="s">
        <v>349</v>
      </c>
    </row>
    <row r="36" spans="2:2" x14ac:dyDescent="0.2">
      <c r="B36" s="49" t="s">
        <v>244</v>
      </c>
    </row>
    <row r="37" spans="2:2" x14ac:dyDescent="0.2">
      <c r="B37" s="89" t="s">
        <v>350</v>
      </c>
    </row>
    <row r="38" spans="2:2" x14ac:dyDescent="0.2">
      <c r="B38" s="111" t="s">
        <v>403</v>
      </c>
    </row>
    <row r="39" spans="2:2" x14ac:dyDescent="0.2">
      <c r="B39" s="89" t="s">
        <v>351</v>
      </c>
    </row>
    <row r="40" spans="2:2" x14ac:dyDescent="0.2">
      <c r="B40" s="89" t="s">
        <v>352</v>
      </c>
    </row>
    <row r="41" spans="2:2" x14ac:dyDescent="0.2">
      <c r="B41" s="89" t="s">
        <v>294</v>
      </c>
    </row>
    <row r="42" spans="2:2" x14ac:dyDescent="0.2">
      <c r="B42" s="89" t="s">
        <v>353</v>
      </c>
    </row>
    <row r="43" spans="2:2" x14ac:dyDescent="0.2">
      <c r="B43" s="89" t="s">
        <v>354</v>
      </c>
    </row>
    <row r="44" spans="2:2" x14ac:dyDescent="0.2">
      <c r="B44" s="89" t="s">
        <v>355</v>
      </c>
    </row>
    <row r="45" spans="2:2" x14ac:dyDescent="0.2">
      <c r="B45" s="89" t="s">
        <v>356</v>
      </c>
    </row>
    <row r="46" spans="2:2" x14ac:dyDescent="0.2">
      <c r="B46" s="89" t="s">
        <v>358</v>
      </c>
    </row>
    <row r="47" spans="2:2" x14ac:dyDescent="0.2">
      <c r="B47" s="89" t="s">
        <v>359</v>
      </c>
    </row>
    <row r="48" spans="2:2" x14ac:dyDescent="0.2">
      <c r="B48" s="89" t="s">
        <v>360</v>
      </c>
    </row>
    <row r="49" spans="2:2" x14ac:dyDescent="0.2">
      <c r="B49" s="89" t="s">
        <v>361</v>
      </c>
    </row>
    <row r="50" spans="2:2" x14ac:dyDescent="0.2">
      <c r="B50" s="89" t="s">
        <v>362</v>
      </c>
    </row>
    <row r="51" spans="2:2" x14ac:dyDescent="0.2">
      <c r="B51" s="89" t="s">
        <v>363</v>
      </c>
    </row>
    <row r="52" spans="2:2" x14ac:dyDescent="0.2">
      <c r="B52" s="89" t="s">
        <v>364</v>
      </c>
    </row>
    <row r="53" spans="2:2" x14ac:dyDescent="0.2">
      <c r="B53" s="89" t="s">
        <v>365</v>
      </c>
    </row>
    <row r="54" spans="2:2" x14ac:dyDescent="0.2">
      <c r="B54" s="89" t="s">
        <v>366</v>
      </c>
    </row>
    <row r="55" spans="2:2" x14ac:dyDescent="0.2">
      <c r="B55" s="89" t="s">
        <v>367</v>
      </c>
    </row>
    <row r="56" spans="2:2" x14ac:dyDescent="0.2">
      <c r="B56" s="89" t="s">
        <v>368</v>
      </c>
    </row>
    <row r="57" spans="2:2" x14ac:dyDescent="0.2">
      <c r="B57" s="89" t="s">
        <v>369</v>
      </c>
    </row>
    <row r="58" spans="2:2" x14ac:dyDescent="0.2">
      <c r="B58" s="89" t="s">
        <v>370</v>
      </c>
    </row>
    <row r="59" spans="2:2" x14ac:dyDescent="0.2">
      <c r="B59" s="146" t="s">
        <v>622</v>
      </c>
    </row>
    <row r="60" spans="2:2" x14ac:dyDescent="0.2">
      <c r="B60" s="146" t="s">
        <v>626</v>
      </c>
    </row>
    <row r="61" spans="2:2" x14ac:dyDescent="0.2">
      <c r="B61" s="146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52" bestFit="1" customWidth="1"/>
    <col min="2" max="2" width="15" style="152" customWidth="1"/>
    <col min="3" max="16384" width="9.140625" style="152"/>
  </cols>
  <sheetData>
    <row r="1" spans="1:24" x14ac:dyDescent="0.2">
      <c r="A1" s="5" t="s">
        <v>142</v>
      </c>
    </row>
    <row r="2" spans="1:24" x14ac:dyDescent="0.2">
      <c r="A2" s="5"/>
      <c r="B2" s="152" t="s">
        <v>0</v>
      </c>
      <c r="C2" s="152" t="s">
        <v>1</v>
      </c>
      <c r="D2" s="153" t="s">
        <v>2</v>
      </c>
      <c r="E2" s="154" t="s">
        <v>3</v>
      </c>
      <c r="F2" s="153" t="s">
        <v>384</v>
      </c>
      <c r="G2" s="153" t="s">
        <v>5</v>
      </c>
      <c r="H2" s="153" t="s">
        <v>212</v>
      </c>
      <c r="I2" s="153" t="s">
        <v>385</v>
      </c>
      <c r="J2" s="153" t="s">
        <v>223</v>
      </c>
    </row>
    <row r="3" spans="1:24" x14ac:dyDescent="0.2">
      <c r="A3" s="274" t="s">
        <v>252</v>
      </c>
      <c r="B3" s="5" t="s">
        <v>178</v>
      </c>
      <c r="C3" s="152" t="s">
        <v>179</v>
      </c>
      <c r="D3" s="155">
        <v>375.71</v>
      </c>
      <c r="E3" s="154">
        <f>+D3*H3</f>
        <v>57472.452251789997</v>
      </c>
      <c r="F3" s="154">
        <f>+[41]Main!$N$5-[41]Main!$N$6</f>
        <v>1696.7459999999999</v>
      </c>
      <c r="G3" s="154">
        <f t="shared" ref="G3:G8" si="0">E3-F3</f>
        <v>55775.706251789998</v>
      </c>
      <c r="H3" s="154">
        <f>+[41]Main!$N$3</f>
        <v>152.970249</v>
      </c>
      <c r="I3" s="153" t="s">
        <v>14</v>
      </c>
      <c r="J3" s="156">
        <v>44783</v>
      </c>
      <c r="K3" s="157"/>
      <c r="L3" s="157"/>
      <c r="M3" s="157"/>
      <c r="N3" s="157"/>
      <c r="O3" s="157"/>
      <c r="P3" s="158"/>
      <c r="Q3" s="157"/>
      <c r="R3" s="157"/>
      <c r="S3" s="159"/>
      <c r="T3" s="158"/>
      <c r="U3" s="157"/>
      <c r="V3" s="157"/>
      <c r="W3" s="159"/>
    </row>
    <row r="4" spans="1:24" x14ac:dyDescent="0.2">
      <c r="A4" s="274" t="s">
        <v>252</v>
      </c>
      <c r="B4" s="5" t="s">
        <v>176</v>
      </c>
      <c r="C4" s="152" t="s">
        <v>177</v>
      </c>
      <c r="D4" s="155">
        <v>39.74</v>
      </c>
      <c r="E4" s="154">
        <f>+D4*[42]Main!$L$3*EUR</f>
        <v>53089.738980000009</v>
      </c>
      <c r="F4" s="154">
        <f>+([42]Main!$L$5-[42]Main!$L$6)*EUR</f>
        <v>-490.25400000000008</v>
      </c>
      <c r="G4" s="154">
        <f t="shared" si="0"/>
        <v>53579.99298000001</v>
      </c>
      <c r="H4" s="154"/>
      <c r="I4" s="153" t="s">
        <v>199</v>
      </c>
      <c r="J4" s="153"/>
      <c r="K4" s="157"/>
      <c r="L4" s="157"/>
      <c r="M4" s="157"/>
      <c r="N4" s="157"/>
      <c r="O4" s="157"/>
      <c r="P4" s="158"/>
      <c r="Q4" s="157"/>
      <c r="R4" s="157"/>
      <c r="S4" s="159"/>
      <c r="T4" s="158"/>
      <c r="U4" s="157"/>
      <c r="V4" s="157"/>
      <c r="W4" s="159"/>
    </row>
    <row r="5" spans="1:24" x14ac:dyDescent="0.2">
      <c r="A5" s="274" t="s">
        <v>252</v>
      </c>
      <c r="B5" s="5" t="s">
        <v>48</v>
      </c>
      <c r="C5" s="152" t="s">
        <v>49</v>
      </c>
      <c r="D5" s="155">
        <v>253.59</v>
      </c>
      <c r="E5" s="154">
        <f>+D5*H5</f>
        <v>69438.013800000001</v>
      </c>
      <c r="F5" s="154">
        <f>+[43]Main!$K$5-[43]Main!$K$6</f>
        <v>-289.71199999999999</v>
      </c>
      <c r="G5" s="154">
        <f t="shared" si="0"/>
        <v>69727.7258</v>
      </c>
      <c r="H5" s="154">
        <f>+[43]Main!$K$3</f>
        <v>273.82</v>
      </c>
      <c r="I5" s="153" t="s">
        <v>220</v>
      </c>
      <c r="J5" s="153"/>
      <c r="K5" s="157"/>
      <c r="L5" s="157"/>
      <c r="M5" s="157"/>
      <c r="N5" s="157"/>
      <c r="O5" s="157"/>
      <c r="P5" s="158"/>
      <c r="Q5" s="157"/>
      <c r="R5" s="157"/>
      <c r="S5" s="159"/>
      <c r="T5" s="158"/>
      <c r="U5" s="157"/>
      <c r="V5" s="157"/>
      <c r="W5" s="159"/>
    </row>
    <row r="6" spans="1:24" x14ac:dyDescent="0.2">
      <c r="A6" s="274" t="s">
        <v>252</v>
      </c>
      <c r="B6" s="5" t="s">
        <v>46</v>
      </c>
      <c r="C6" s="152" t="s">
        <v>47</v>
      </c>
      <c r="D6" s="155">
        <v>203.73</v>
      </c>
      <c r="E6" s="154">
        <f>+D6*H6</f>
        <v>44264.86632465</v>
      </c>
      <c r="F6" s="154">
        <f>+[44]Main!$L$5-[44]Main!$L$6</f>
        <v>-1005</v>
      </c>
      <c r="G6" s="154">
        <f t="shared" si="0"/>
        <v>45269.86632465</v>
      </c>
      <c r="H6" s="154">
        <f>+[44]Main!$L$3</f>
        <v>217.27220500000001</v>
      </c>
      <c r="I6" s="153" t="s">
        <v>14</v>
      </c>
      <c r="J6" s="153"/>
      <c r="K6" s="157"/>
      <c r="L6" s="157"/>
      <c r="M6" s="157"/>
      <c r="N6" s="157"/>
      <c r="O6" s="157"/>
      <c r="P6" s="158"/>
      <c r="Q6" s="157"/>
      <c r="R6" s="157"/>
      <c r="S6" s="159"/>
      <c r="T6" s="158"/>
      <c r="U6" s="157"/>
      <c r="V6" s="157"/>
      <c r="W6" s="159"/>
      <c r="X6" s="152">
        <v>1982</v>
      </c>
    </row>
    <row r="7" spans="1:24" x14ac:dyDescent="0.2">
      <c r="A7" s="274" t="s">
        <v>252</v>
      </c>
      <c r="B7" s="5" t="s">
        <v>61</v>
      </c>
      <c r="C7" s="152" t="s">
        <v>62</v>
      </c>
      <c r="D7" s="155">
        <v>236.61</v>
      </c>
      <c r="E7" s="154">
        <f>+D7*H7</f>
        <v>20601.316825649999</v>
      </c>
      <c r="F7" s="154">
        <f>+[45]Main!$M$5-[45]Main!$M$6</f>
        <v>-235.76700000000005</v>
      </c>
      <c r="G7" s="154">
        <f t="shared" si="0"/>
        <v>20837.083825649999</v>
      </c>
      <c r="H7" s="154">
        <f>+[45]Main!$M$3</f>
        <v>87.068664999999996</v>
      </c>
      <c r="I7" s="153" t="s">
        <v>199</v>
      </c>
      <c r="J7" s="156">
        <v>44795</v>
      </c>
      <c r="K7" s="157"/>
      <c r="L7" s="157"/>
      <c r="M7" s="157"/>
      <c r="N7" s="157"/>
      <c r="O7" s="157"/>
      <c r="P7" s="158"/>
      <c r="Q7" s="157"/>
      <c r="R7" s="157"/>
      <c r="S7" s="159"/>
      <c r="T7" s="158"/>
      <c r="U7" s="157"/>
      <c r="V7" s="157"/>
      <c r="W7" s="159"/>
    </row>
    <row r="8" spans="1:24" x14ac:dyDescent="0.2">
      <c r="A8" s="274" t="s">
        <v>252</v>
      </c>
      <c r="B8" s="80" t="s">
        <v>218</v>
      </c>
      <c r="C8" s="152" t="s">
        <v>219</v>
      </c>
      <c r="D8" s="155">
        <v>122.15</v>
      </c>
      <c r="E8" s="154">
        <f>D8*H8/SEK</f>
        <v>31363.739288425048</v>
      </c>
      <c r="F8" s="154">
        <f>([46]Main!$L$5-[46]Main!$L$6)*EUR</f>
        <v>-3389.8630000000003</v>
      </c>
      <c r="G8" s="154">
        <f t="shared" si="0"/>
        <v>34753.602288425049</v>
      </c>
      <c r="H8" s="154">
        <f>[46]Main!$L$3</f>
        <v>2706.2939999999999</v>
      </c>
      <c r="I8" s="153" t="s">
        <v>379</v>
      </c>
      <c r="J8" s="156">
        <v>45056</v>
      </c>
      <c r="K8" s="157"/>
      <c r="L8" s="157"/>
      <c r="M8" s="157"/>
      <c r="N8" s="157"/>
      <c r="O8" s="159"/>
      <c r="P8" s="158"/>
      <c r="Q8" s="157"/>
      <c r="R8" s="157"/>
      <c r="S8" s="159"/>
      <c r="T8" s="158"/>
      <c r="U8" s="157"/>
      <c r="V8" s="157"/>
      <c r="W8" s="159"/>
      <c r="X8" s="152">
        <v>1992</v>
      </c>
    </row>
    <row r="9" spans="1:24" x14ac:dyDescent="0.2">
      <c r="A9" s="152" t="s">
        <v>252</v>
      </c>
      <c r="B9" s="160" t="s">
        <v>92</v>
      </c>
      <c r="C9" s="152" t="s">
        <v>92</v>
      </c>
      <c r="D9" s="155">
        <v>115.52</v>
      </c>
      <c r="E9" s="154">
        <v>13640</v>
      </c>
    </row>
    <row r="10" spans="1:24" x14ac:dyDescent="0.2">
      <c r="B10" s="152" t="s">
        <v>221</v>
      </c>
      <c r="C10" s="152" t="s">
        <v>222</v>
      </c>
      <c r="D10" s="161">
        <v>31.44</v>
      </c>
      <c r="E10" s="154">
        <v>2220</v>
      </c>
      <c r="F10" s="153"/>
      <c r="G10" s="153"/>
      <c r="H10" s="153"/>
      <c r="I10" s="153"/>
      <c r="J10" s="153"/>
      <c r="K10" s="157"/>
      <c r="L10" s="157"/>
      <c r="M10" s="157"/>
      <c r="N10" s="157"/>
      <c r="O10" s="157"/>
      <c r="P10" s="158"/>
      <c r="Q10" s="157"/>
      <c r="R10" s="157"/>
      <c r="S10" s="159"/>
      <c r="T10" s="158"/>
      <c r="U10" s="157"/>
      <c r="V10" s="157"/>
      <c r="W10" s="159"/>
    </row>
    <row r="11" spans="1:24" x14ac:dyDescent="0.2">
      <c r="B11" s="152" t="s">
        <v>314</v>
      </c>
      <c r="C11" s="152" t="s">
        <v>371</v>
      </c>
      <c r="D11" s="153"/>
      <c r="E11" s="153"/>
      <c r="F11" s="153"/>
      <c r="G11" s="153"/>
      <c r="H11" s="153"/>
      <c r="I11" s="153"/>
      <c r="J11" s="153"/>
    </row>
    <row r="12" spans="1:24" x14ac:dyDescent="0.2">
      <c r="B12" s="152" t="s">
        <v>315</v>
      </c>
      <c r="D12" s="153"/>
      <c r="E12" s="153"/>
      <c r="F12" s="153"/>
      <c r="G12" s="153"/>
      <c r="H12" s="153"/>
      <c r="I12" s="153"/>
      <c r="J12" s="153"/>
    </row>
    <row r="13" spans="1:24" x14ac:dyDescent="0.2">
      <c r="A13" s="274" t="s">
        <v>252</v>
      </c>
      <c r="B13" s="152" t="s">
        <v>488</v>
      </c>
      <c r="C13" s="152" t="s">
        <v>107</v>
      </c>
    </row>
    <row r="14" spans="1:24" x14ac:dyDescent="0.2">
      <c r="A14" s="152" t="s">
        <v>252</v>
      </c>
      <c r="B14" s="160" t="s">
        <v>90</v>
      </c>
      <c r="C14" s="152" t="s">
        <v>91</v>
      </c>
      <c r="D14" s="155">
        <v>206.61</v>
      </c>
      <c r="E14" s="154">
        <v>13880</v>
      </c>
    </row>
    <row r="15" spans="1:24" x14ac:dyDescent="0.2">
      <c r="A15" s="152" t="s">
        <v>252</v>
      </c>
      <c r="B15" s="152" t="s">
        <v>440</v>
      </c>
      <c r="C15" s="152" t="s">
        <v>439</v>
      </c>
    </row>
    <row r="16" spans="1:24" x14ac:dyDescent="0.2">
      <c r="A16" s="152" t="s">
        <v>252</v>
      </c>
      <c r="B16" s="152" t="s">
        <v>516</v>
      </c>
      <c r="C16" s="152" t="s">
        <v>517</v>
      </c>
    </row>
    <row r="17" spans="1:5" x14ac:dyDescent="0.2">
      <c r="A17" s="152" t="s">
        <v>252</v>
      </c>
      <c r="B17" s="152" t="s">
        <v>534</v>
      </c>
      <c r="C17" s="152" t="s">
        <v>535</v>
      </c>
    </row>
    <row r="18" spans="1:5" x14ac:dyDescent="0.2">
      <c r="A18" s="152" t="s">
        <v>252</v>
      </c>
      <c r="B18" s="152" t="s">
        <v>550</v>
      </c>
      <c r="C18" s="152" t="s">
        <v>551</v>
      </c>
    </row>
    <row r="19" spans="1:5" x14ac:dyDescent="0.2">
      <c r="A19" s="152" t="s">
        <v>252</v>
      </c>
      <c r="B19" s="152" t="s">
        <v>554</v>
      </c>
      <c r="C19" s="152" t="s">
        <v>555</v>
      </c>
    </row>
    <row r="20" spans="1:5" x14ac:dyDescent="0.2">
      <c r="A20" s="152" t="s">
        <v>252</v>
      </c>
      <c r="B20" s="152" t="s">
        <v>558</v>
      </c>
      <c r="C20" s="152" t="s">
        <v>559</v>
      </c>
    </row>
    <row r="22" spans="1:5" x14ac:dyDescent="0.2">
      <c r="B22" s="69" t="s">
        <v>247</v>
      </c>
    </row>
    <row r="23" spans="1:5" x14ac:dyDescent="0.2">
      <c r="B23" s="152" t="s">
        <v>402</v>
      </c>
      <c r="E23" s="152">
        <v>2400</v>
      </c>
    </row>
    <row r="24" spans="1:5" x14ac:dyDescent="0.2">
      <c r="B24" s="152" t="s">
        <v>381</v>
      </c>
      <c r="E24" s="152">
        <v>1500</v>
      </c>
    </row>
    <row r="25" spans="1:5" x14ac:dyDescent="0.2">
      <c r="B25" s="152" t="s">
        <v>383</v>
      </c>
      <c r="E25" s="152">
        <v>1000</v>
      </c>
    </row>
    <row r="26" spans="1:5" x14ac:dyDescent="0.2">
      <c r="B26" s="152" t="s">
        <v>401</v>
      </c>
      <c r="E26" s="152">
        <v>1000</v>
      </c>
    </row>
    <row r="27" spans="1:5" x14ac:dyDescent="0.2">
      <c r="B27" s="152" t="s">
        <v>372</v>
      </c>
    </row>
    <row r="28" spans="1:5" x14ac:dyDescent="0.2">
      <c r="B28" s="152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8" t="s">
        <v>419</v>
      </c>
    </row>
    <row r="3" spans="1:27" x14ac:dyDescent="0.2">
      <c r="A3" s="271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8">
        <f>+[2]Model!$BT$50</f>
        <v>7.0000000000000007E-2</v>
      </c>
      <c r="AA3" s="126" t="s">
        <v>465</v>
      </c>
    </row>
    <row r="4" spans="1:27" x14ac:dyDescent="0.2">
      <c r="A4" s="269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9"/>
    </row>
    <row r="5" spans="1:27" s="20" customFormat="1" x14ac:dyDescent="0.2">
      <c r="A5" s="271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1" t="s">
        <v>614</v>
      </c>
      <c r="J5" s="37">
        <v>45548</v>
      </c>
      <c r="K5" s="24"/>
      <c r="L5" s="24"/>
      <c r="M5" s="140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1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2" t="s">
        <v>379</v>
      </c>
      <c r="J6" s="37">
        <v>44994</v>
      </c>
      <c r="K6" s="24"/>
      <c r="L6" s="24"/>
      <c r="M6" s="14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0"/>
      <c r="B7" s="5" t="s">
        <v>258</v>
      </c>
      <c r="C7" s="100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2" t="s">
        <v>379</v>
      </c>
      <c r="J7" s="37">
        <v>44994</v>
      </c>
      <c r="K7" s="24"/>
      <c r="L7" s="24"/>
      <c r="M7" s="14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1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1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1" t="s">
        <v>252</v>
      </c>
      <c r="B10" s="67" t="s">
        <v>265</v>
      </c>
      <c r="C10" s="67" t="s">
        <v>266</v>
      </c>
      <c r="D10" s="184">
        <v>81.010000000000005</v>
      </c>
      <c r="E10" s="44">
        <v>52220</v>
      </c>
    </row>
    <row r="11" spans="1:27" x14ac:dyDescent="0.2">
      <c r="A11" s="271" t="s">
        <v>252</v>
      </c>
      <c r="B11" s="72" t="s">
        <v>283</v>
      </c>
      <c r="C11" s="72" t="s">
        <v>284</v>
      </c>
      <c r="D11" s="184">
        <v>98.73</v>
      </c>
      <c r="E11" s="44">
        <v>56400</v>
      </c>
    </row>
    <row r="12" spans="1:27" x14ac:dyDescent="0.2">
      <c r="A12" s="271" t="s">
        <v>252</v>
      </c>
      <c r="B12" s="5" t="s">
        <v>164</v>
      </c>
      <c r="C12" s="10" t="s">
        <v>165</v>
      </c>
      <c r="D12" s="184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5" t="s">
        <v>614</v>
      </c>
      <c r="J12" s="52">
        <v>45568</v>
      </c>
      <c r="X12" s="10">
        <v>1982</v>
      </c>
    </row>
    <row r="13" spans="1:27" s="1" customFormat="1" x14ac:dyDescent="0.2">
      <c r="A13" s="271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99">
        <v>45573</v>
      </c>
      <c r="X13" s="1">
        <v>2004</v>
      </c>
      <c r="Y13" s="1">
        <v>56</v>
      </c>
      <c r="Z13" s="120">
        <f>G13/Y13</f>
        <v>612.81624321428569</v>
      </c>
    </row>
    <row r="14" spans="1:27" x14ac:dyDescent="0.2">
      <c r="A14" s="66"/>
      <c r="B14" s="5" t="s">
        <v>651</v>
      </c>
      <c r="C14" s="201" t="s">
        <v>652</v>
      </c>
      <c r="D14" s="184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3" t="s">
        <v>614</v>
      </c>
      <c r="J14" s="52">
        <v>45587</v>
      </c>
    </row>
    <row r="15" spans="1:27" s="1" customFormat="1" x14ac:dyDescent="0.2">
      <c r="B15" s="87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1" t="s">
        <v>252</v>
      </c>
      <c r="B16" s="5" t="s">
        <v>166</v>
      </c>
      <c r="C16" s="10" t="s">
        <v>167</v>
      </c>
      <c r="D16" s="184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6" t="s">
        <v>670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A21" s="271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1" t="s">
        <v>252</v>
      </c>
      <c r="B23" s="80" t="s">
        <v>74</v>
      </c>
      <c r="C23" s="20" t="s">
        <v>75</v>
      </c>
      <c r="D23" s="21">
        <v>102.23</v>
      </c>
      <c r="E23" s="22">
        <f>+D23*[53]Main!$K$3</f>
        <v>20147.20788088</v>
      </c>
      <c r="F23" s="22">
        <f>+[53]Main!$K$5-[53]Main!$K$6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653</v>
      </c>
      <c r="C24" s="1" t="s">
        <v>654</v>
      </c>
      <c r="D24" s="205">
        <v>12.55</v>
      </c>
      <c r="E24" s="3">
        <f>+D24*H24</f>
        <v>1641.7643438000002</v>
      </c>
      <c r="F24" s="3">
        <f>+[54]Main!$L$5-[54]Main!$L$6</f>
        <v>585.51599999999996</v>
      </c>
      <c r="G24" s="3">
        <f>+E24-F24</f>
        <v>1056.2483438000004</v>
      </c>
      <c r="H24" s="3">
        <f>+[54]Main!$L$3</f>
        <v>130.81787600000001</v>
      </c>
      <c r="I24" s="4" t="s">
        <v>655</v>
      </c>
      <c r="J24" s="99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7" t="s">
        <v>478</v>
      </c>
      <c r="C26" s="127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0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6" t="s">
        <v>399</v>
      </c>
    </row>
    <row r="34" spans="2:10" x14ac:dyDescent="0.2">
      <c r="B34" s="126" t="s">
        <v>462</v>
      </c>
    </row>
    <row r="35" spans="2:10" x14ac:dyDescent="0.2">
      <c r="B35" s="122" t="s">
        <v>443</v>
      </c>
      <c r="E35" s="10">
        <v>100</v>
      </c>
      <c r="H35" s="122" t="s">
        <v>444</v>
      </c>
    </row>
    <row r="36" spans="2:10" x14ac:dyDescent="0.2">
      <c r="B36" s="126" t="s">
        <v>463</v>
      </c>
      <c r="H36" s="122"/>
      <c r="J36" s="126" t="s">
        <v>464</v>
      </c>
    </row>
    <row r="37" spans="2:10" x14ac:dyDescent="0.2">
      <c r="B37" s="126" t="s">
        <v>468</v>
      </c>
      <c r="H37" s="122"/>
      <c r="J37" s="126"/>
    </row>
    <row r="38" spans="2:10" x14ac:dyDescent="0.2">
      <c r="B38" s="126" t="s">
        <v>469</v>
      </c>
      <c r="H38" s="122"/>
      <c r="J38" s="126"/>
    </row>
    <row r="39" spans="2:10" x14ac:dyDescent="0.2">
      <c r="B39" s="126" t="s">
        <v>470</v>
      </c>
    </row>
    <row r="40" spans="2:10" x14ac:dyDescent="0.2">
      <c r="B40" s="126" t="s">
        <v>476</v>
      </c>
      <c r="J40" s="126" t="s">
        <v>477</v>
      </c>
    </row>
    <row r="41" spans="2:10" x14ac:dyDescent="0.2">
      <c r="B41" s="126" t="s">
        <v>471</v>
      </c>
    </row>
    <row r="42" spans="2:10" x14ac:dyDescent="0.2">
      <c r="B42" s="126" t="s">
        <v>473</v>
      </c>
    </row>
    <row r="43" spans="2:10" x14ac:dyDescent="0.2">
      <c r="B43" s="126"/>
    </row>
    <row r="44" spans="2:10" x14ac:dyDescent="0.2">
      <c r="B44" s="126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58"/>
  <sheetViews>
    <sheetView tabSelected="1" zoomScale="115" zoomScaleNormal="11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D32" sqref="D32"/>
    </sheetView>
  </sheetViews>
  <sheetFormatPr defaultColWidth="9.140625" defaultRowHeight="12.75" x14ac:dyDescent="0.2"/>
  <cols>
    <col min="1" max="1" width="5" style="167" bestFit="1" customWidth="1"/>
    <col min="2" max="2" width="18.28515625" style="167" customWidth="1"/>
    <col min="3" max="3" width="10.42578125" style="167" bestFit="1" customWidth="1"/>
    <col min="4" max="4" width="9.140625" style="168"/>
    <col min="5" max="5" width="9.140625" style="166"/>
    <col min="6" max="7" width="9.140625" style="168"/>
    <col min="8" max="8" width="9.140625" style="166"/>
    <col min="9" max="9" width="9.140625" style="168"/>
    <col min="10" max="10" width="10.42578125" style="167" bestFit="1" customWidth="1"/>
    <col min="11" max="16384" width="9.140625" style="167"/>
  </cols>
  <sheetData>
    <row r="1" spans="1:26" x14ac:dyDescent="0.2">
      <c r="A1" s="5" t="s">
        <v>142</v>
      </c>
    </row>
    <row r="2" spans="1:26" x14ac:dyDescent="0.2">
      <c r="B2" s="169" t="s">
        <v>0</v>
      </c>
      <c r="C2" s="170" t="s">
        <v>1</v>
      </c>
      <c r="D2" s="171" t="s">
        <v>2</v>
      </c>
      <c r="E2" s="172" t="s">
        <v>3</v>
      </c>
      <c r="F2" s="173" t="s">
        <v>4</v>
      </c>
      <c r="G2" s="173" t="s">
        <v>5</v>
      </c>
      <c r="H2" s="172" t="s">
        <v>212</v>
      </c>
      <c r="I2" s="173" t="s">
        <v>6</v>
      </c>
      <c r="J2" s="173" t="s">
        <v>223</v>
      </c>
      <c r="K2" s="174" t="s">
        <v>207</v>
      </c>
      <c r="L2" s="174" t="s">
        <v>211</v>
      </c>
      <c r="M2" s="174" t="s">
        <v>208</v>
      </c>
      <c r="N2" s="174" t="s">
        <v>209</v>
      </c>
      <c r="O2" s="175" t="s">
        <v>210</v>
      </c>
      <c r="P2" s="176" t="s">
        <v>228</v>
      </c>
      <c r="Q2" s="174" t="s">
        <v>229</v>
      </c>
      <c r="R2" s="174" t="s">
        <v>230</v>
      </c>
      <c r="S2" s="175">
        <v>2025</v>
      </c>
      <c r="T2" s="174">
        <v>2026</v>
      </c>
      <c r="U2" s="176" t="s">
        <v>227</v>
      </c>
      <c r="V2" s="174">
        <v>2023</v>
      </c>
      <c r="W2" s="174">
        <v>2024</v>
      </c>
      <c r="X2" s="175">
        <v>2025</v>
      </c>
      <c r="Y2" s="175">
        <v>2026</v>
      </c>
      <c r="Z2" s="177" t="s">
        <v>213</v>
      </c>
    </row>
    <row r="3" spans="1:26" s="178" customFormat="1" x14ac:dyDescent="0.2">
      <c r="A3" s="272" t="s">
        <v>252</v>
      </c>
      <c r="B3" s="117" t="s">
        <v>161</v>
      </c>
      <c r="C3" s="178" t="s">
        <v>162</v>
      </c>
      <c r="D3" s="179">
        <v>315</v>
      </c>
      <c r="E3" s="166">
        <f>+D3*H3</f>
        <v>667800</v>
      </c>
      <c r="F3" s="166">
        <f>+[55]Main!$K$5-[55]Main!$K$6</f>
        <v>-1406</v>
      </c>
      <c r="G3" s="166">
        <f>+E3-F3</f>
        <v>669206</v>
      </c>
      <c r="H3" s="166">
        <f>+[55]Main!$K$3</f>
        <v>2120</v>
      </c>
      <c r="I3" s="316" t="s">
        <v>670</v>
      </c>
      <c r="J3" s="181">
        <v>45575</v>
      </c>
      <c r="S3" s="318">
        <f t="shared" ref="S3:S14" si="0">($G3/$H3)/X3</f>
        <v>27.934797128068123</v>
      </c>
      <c r="T3" s="318">
        <f t="shared" ref="T3:T14" si="1">($G3/$H3)/Y3</f>
        <v>24.738495889276631</v>
      </c>
      <c r="X3" s="317">
        <v>11.3</v>
      </c>
      <c r="Y3" s="317">
        <v>12.76</v>
      </c>
    </row>
    <row r="4" spans="1:26" s="178" customFormat="1" x14ac:dyDescent="0.2">
      <c r="A4" s="272" t="s">
        <v>252</v>
      </c>
      <c r="B4" s="117" t="s">
        <v>163</v>
      </c>
      <c r="C4" s="178" t="s">
        <v>313</v>
      </c>
      <c r="D4" s="179">
        <v>486.54</v>
      </c>
      <c r="E4" s="166">
        <v>329430</v>
      </c>
      <c r="F4" s="316">
        <f>[56]Main!$J$5-[56]Main!$J$6</f>
        <v>-8962</v>
      </c>
      <c r="G4" s="166">
        <f>+E4-F4</f>
        <v>338392</v>
      </c>
      <c r="H4" s="166">
        <f>+[56]Main!$J$3</f>
        <v>927</v>
      </c>
      <c r="I4" s="316" t="s">
        <v>670</v>
      </c>
      <c r="S4" s="318">
        <f t="shared" si="0"/>
        <v>22.972933524235863</v>
      </c>
      <c r="T4" s="318">
        <f t="shared" si="1"/>
        <v>19.531295543076933</v>
      </c>
      <c r="X4" s="317">
        <v>15.89</v>
      </c>
      <c r="Y4" s="317">
        <v>18.690000000000001</v>
      </c>
    </row>
    <row r="5" spans="1:26" x14ac:dyDescent="0.2">
      <c r="A5" s="272" t="s">
        <v>252</v>
      </c>
      <c r="B5" s="91" t="s">
        <v>26</v>
      </c>
      <c r="C5" s="167" t="s">
        <v>27</v>
      </c>
      <c r="D5" s="180">
        <v>551.38</v>
      </c>
      <c r="E5" s="166">
        <f>+D5*H5</f>
        <v>154386.4</v>
      </c>
      <c r="F5" s="166">
        <f>[57]Main!$L$5-[57]Main!$L$6</f>
        <v>-1833</v>
      </c>
      <c r="G5" s="166">
        <f>E5-F5</f>
        <v>156219.4</v>
      </c>
      <c r="H5" s="166">
        <f>+[57]Main!$L$3</f>
        <v>280</v>
      </c>
      <c r="I5" s="187" t="s">
        <v>614</v>
      </c>
      <c r="J5" s="181">
        <v>45573</v>
      </c>
      <c r="K5" s="182"/>
      <c r="L5" s="182"/>
      <c r="M5" s="182"/>
      <c r="N5" s="182"/>
      <c r="Q5" s="182"/>
      <c r="R5" s="182"/>
      <c r="S5" s="318">
        <f t="shared" si="0"/>
        <v>28.788773404098482</v>
      </c>
      <c r="T5" s="318">
        <f t="shared" si="1"/>
        <v>25.360292207792209</v>
      </c>
      <c r="U5" s="182"/>
      <c r="V5" s="182"/>
      <c r="W5" s="182"/>
      <c r="X5" s="179">
        <v>19.38</v>
      </c>
      <c r="Y5" s="317">
        <v>22</v>
      </c>
      <c r="Z5" s="167">
        <v>1984</v>
      </c>
    </row>
    <row r="6" spans="1:26" s="178" customFormat="1" x14ac:dyDescent="0.2">
      <c r="A6" s="272" t="s">
        <v>252</v>
      </c>
      <c r="B6" s="117" t="s">
        <v>256</v>
      </c>
      <c r="C6" s="178" t="s">
        <v>257</v>
      </c>
      <c r="D6" s="179">
        <v>446.75</v>
      </c>
      <c r="E6" s="166">
        <f>+D6*H6</f>
        <v>137509.65</v>
      </c>
      <c r="F6" s="166">
        <f>+[58]Main!$Q$5-[58]Main!$Q$6</f>
        <v>-7938</v>
      </c>
      <c r="G6" s="166">
        <f>+E6-F6</f>
        <v>145447.65</v>
      </c>
      <c r="H6" s="166">
        <f>+[58]Main!$Q$3</f>
        <v>307.8</v>
      </c>
      <c r="I6" s="256" t="s">
        <v>670</v>
      </c>
      <c r="J6" s="181">
        <v>45700</v>
      </c>
      <c r="O6" s="167"/>
      <c r="P6" s="167"/>
      <c r="S6" s="318">
        <f t="shared" si="0"/>
        <v>27.553322080711983</v>
      </c>
      <c r="T6" s="318">
        <f t="shared" si="1"/>
        <v>24.585820691165999</v>
      </c>
      <c r="X6" s="179">
        <v>17.149999999999999</v>
      </c>
      <c r="Y6" s="317">
        <v>19.22</v>
      </c>
      <c r="Z6" s="167">
        <v>1925</v>
      </c>
    </row>
    <row r="7" spans="1:26" s="178" customFormat="1" x14ac:dyDescent="0.2">
      <c r="A7" s="272" t="s">
        <v>252</v>
      </c>
      <c r="B7" s="178" t="s">
        <v>260</v>
      </c>
      <c r="C7" s="178" t="s">
        <v>261</v>
      </c>
      <c r="D7" s="179">
        <v>280.72000000000003</v>
      </c>
      <c r="E7" s="166">
        <f>+D7*H7</f>
        <v>114561.83200000002</v>
      </c>
      <c r="F7" s="166"/>
      <c r="G7" s="166">
        <f>E7-F7</f>
        <v>114561.83200000002</v>
      </c>
      <c r="H7" s="166">
        <v>408.1</v>
      </c>
      <c r="I7" s="166"/>
      <c r="O7" s="167"/>
      <c r="P7" s="167"/>
      <c r="S7" s="318">
        <f t="shared" si="0"/>
        <v>28.213065326633171</v>
      </c>
      <c r="T7" s="318">
        <f t="shared" si="1"/>
        <v>25.777777777777779</v>
      </c>
      <c r="X7" s="179">
        <v>9.9499999999999993</v>
      </c>
      <c r="Y7" s="317">
        <v>10.89</v>
      </c>
    </row>
    <row r="8" spans="1:26" x14ac:dyDescent="0.2">
      <c r="A8" s="272" t="s">
        <v>252</v>
      </c>
      <c r="B8" s="167" t="s">
        <v>264</v>
      </c>
      <c r="C8" s="188" t="s">
        <v>638</v>
      </c>
      <c r="D8" s="168">
        <v>198.02</v>
      </c>
      <c r="E8" s="166">
        <f>+D8*H8</f>
        <v>111683.28</v>
      </c>
      <c r="G8" s="166">
        <f>E8-F8</f>
        <v>111683.28</v>
      </c>
      <c r="H8" s="166">
        <v>564</v>
      </c>
      <c r="S8" s="318">
        <f t="shared" si="0"/>
        <v>19.337890625</v>
      </c>
      <c r="T8" s="318">
        <f t="shared" si="1"/>
        <v>16.501666666666669</v>
      </c>
      <c r="X8" s="317">
        <v>10.24</v>
      </c>
      <c r="Y8" s="317">
        <v>12</v>
      </c>
    </row>
    <row r="9" spans="1:26" x14ac:dyDescent="0.2">
      <c r="A9" s="272" t="s">
        <v>252</v>
      </c>
      <c r="B9" s="167" t="s">
        <v>267</v>
      </c>
      <c r="C9" s="167" t="s">
        <v>268</v>
      </c>
      <c r="D9" s="168">
        <v>153.22</v>
      </c>
      <c r="E9" s="166">
        <f>+D9*H9</f>
        <v>87978.923999999999</v>
      </c>
      <c r="G9" s="166">
        <f>+E9-F9</f>
        <v>87978.923999999999</v>
      </c>
      <c r="H9" s="166">
        <v>574.20000000000005</v>
      </c>
      <c r="S9" s="318">
        <f t="shared" si="0"/>
        <v>22.565537555228275</v>
      </c>
      <c r="T9" s="318">
        <f t="shared" si="1"/>
        <v>20.240422721268164</v>
      </c>
      <c r="X9" s="317">
        <v>6.79</v>
      </c>
      <c r="Y9" s="317">
        <v>7.57</v>
      </c>
    </row>
    <row r="10" spans="1:26" s="178" customFormat="1" x14ac:dyDescent="0.2">
      <c r="A10" s="272" t="s">
        <v>252</v>
      </c>
      <c r="B10" s="117" t="s">
        <v>31</v>
      </c>
      <c r="C10" s="178" t="s">
        <v>32</v>
      </c>
      <c r="D10" s="179">
        <v>59.35</v>
      </c>
      <c r="E10" s="166">
        <f>D10*H10</f>
        <v>60180.9</v>
      </c>
      <c r="F10" s="166">
        <f>[59]Main!$M$5-[59]Main!$M$6</f>
        <v>5527</v>
      </c>
      <c r="G10" s="166">
        <f>E10-F10</f>
        <v>54653.9</v>
      </c>
      <c r="H10" s="166">
        <f>[59]Main!$M$3</f>
        <v>1014</v>
      </c>
      <c r="I10" s="253" t="s">
        <v>670</v>
      </c>
      <c r="J10" s="181">
        <v>45755</v>
      </c>
      <c r="O10" s="167"/>
      <c r="P10" s="167"/>
      <c r="S10" s="318">
        <f t="shared" si="0"/>
        <v>10.715568521808008</v>
      </c>
      <c r="T10" s="318">
        <f t="shared" si="1"/>
        <v>9.5566151887755826</v>
      </c>
      <c r="X10" s="317">
        <v>5.03</v>
      </c>
      <c r="Y10" s="317">
        <v>5.64</v>
      </c>
    </row>
    <row r="11" spans="1:26" s="178" customFormat="1" x14ac:dyDescent="0.2">
      <c r="A11" s="272" t="s">
        <v>252</v>
      </c>
      <c r="B11" s="117" t="s">
        <v>242</v>
      </c>
      <c r="C11" s="254" t="s">
        <v>671</v>
      </c>
      <c r="D11" s="179">
        <v>85.73</v>
      </c>
      <c r="E11" s="166">
        <f>+D11*H11</f>
        <v>53126.881000000008</v>
      </c>
      <c r="F11" s="166"/>
      <c r="G11" s="166">
        <f>+E11-F11</f>
        <v>53126.881000000008</v>
      </c>
      <c r="H11" s="166">
        <v>619.70000000000005</v>
      </c>
      <c r="I11" s="166"/>
      <c r="O11" s="167"/>
      <c r="P11" s="167"/>
      <c r="S11" s="318">
        <f t="shared" si="0"/>
        <v>19.484090909090909</v>
      </c>
      <c r="T11" s="318">
        <f t="shared" si="1"/>
        <v>15.817343173431736</v>
      </c>
      <c r="X11" s="317">
        <v>4.4000000000000004</v>
      </c>
      <c r="Y11" s="317">
        <v>5.42</v>
      </c>
    </row>
    <row r="12" spans="1:26" s="178" customFormat="1" x14ac:dyDescent="0.2">
      <c r="A12" s="272" t="s">
        <v>252</v>
      </c>
      <c r="B12" s="178" t="s">
        <v>269</v>
      </c>
      <c r="C12" s="178" t="s">
        <v>270</v>
      </c>
      <c r="D12" s="179">
        <v>138.08000000000001</v>
      </c>
      <c r="E12" s="166">
        <f>+D12*H12</f>
        <v>49722.608000000007</v>
      </c>
      <c r="F12" s="166"/>
      <c r="G12" s="166">
        <f>+E12-F12</f>
        <v>49722.608000000007</v>
      </c>
      <c r="H12" s="166">
        <v>360.1</v>
      </c>
      <c r="I12" s="166"/>
      <c r="O12" s="167"/>
      <c r="P12" s="167"/>
      <c r="S12" s="318">
        <f t="shared" si="0"/>
        <v>27.616000000000003</v>
      </c>
      <c r="T12" s="318">
        <f t="shared" si="1"/>
        <v>26.003766478342754</v>
      </c>
      <c r="X12" s="317">
        <v>5</v>
      </c>
      <c r="Y12" s="317">
        <v>5.31</v>
      </c>
    </row>
    <row r="13" spans="1:26" s="178" customFormat="1" x14ac:dyDescent="0.2">
      <c r="A13" s="272" t="s">
        <v>252</v>
      </c>
      <c r="B13" s="178" t="s">
        <v>287</v>
      </c>
      <c r="C13" s="178" t="s">
        <v>287</v>
      </c>
      <c r="D13" s="179">
        <v>512</v>
      </c>
      <c r="E13" s="166">
        <f>+D13*H13</f>
        <v>39782.400000000001</v>
      </c>
      <c r="F13" s="166"/>
      <c r="G13" s="166">
        <f>+E13-F13</f>
        <v>39782.400000000001</v>
      </c>
      <c r="H13" s="166">
        <v>77.7</v>
      </c>
      <c r="I13" s="166"/>
      <c r="O13" s="167"/>
      <c r="P13" s="167"/>
      <c r="S13" s="318">
        <f t="shared" si="0"/>
        <v>30.206489675516224</v>
      </c>
      <c r="T13" s="318">
        <f t="shared" si="1"/>
        <v>26.736292428198436</v>
      </c>
      <c r="X13" s="317">
        <v>16.95</v>
      </c>
      <c r="Y13" s="317">
        <v>19.149999999999999</v>
      </c>
    </row>
    <row r="14" spans="1:26" s="178" customFormat="1" x14ac:dyDescent="0.2">
      <c r="A14" s="272" t="s">
        <v>252</v>
      </c>
      <c r="B14" s="117" t="s">
        <v>630</v>
      </c>
      <c r="C14" s="178" t="s">
        <v>631</v>
      </c>
      <c r="D14" s="179">
        <v>35.299999999999997</v>
      </c>
      <c r="E14" s="166">
        <f>+D14*H14</f>
        <v>31224.756199999996</v>
      </c>
      <c r="F14" s="166">
        <f>+[60]Main!$L$5-[60]Main!$L$6</f>
        <v>7251</v>
      </c>
      <c r="G14" s="166">
        <f>+E14-F14</f>
        <v>23973.756199999996</v>
      </c>
      <c r="H14" s="166">
        <f>+[60]Main!$L$3</f>
        <v>884.55399999999997</v>
      </c>
      <c r="I14" s="166" t="s">
        <v>614</v>
      </c>
      <c r="J14" s="181">
        <v>45559</v>
      </c>
      <c r="O14" s="167"/>
      <c r="P14" s="167"/>
      <c r="S14" s="318">
        <f t="shared" si="0"/>
        <v>20.37793125292945</v>
      </c>
      <c r="T14" s="318">
        <f t="shared" si="1"/>
        <v>16.730029979256894</v>
      </c>
      <c r="X14" s="317">
        <v>1.33</v>
      </c>
      <c r="Y14" s="317">
        <v>1.62</v>
      </c>
    </row>
    <row r="15" spans="1:26" s="178" customFormat="1" x14ac:dyDescent="0.2">
      <c r="A15" s="272" t="s">
        <v>252</v>
      </c>
      <c r="B15" s="178" t="s">
        <v>271</v>
      </c>
      <c r="C15" s="178" t="s">
        <v>272</v>
      </c>
      <c r="D15" s="179"/>
      <c r="E15" s="166"/>
      <c r="F15" s="166"/>
      <c r="G15" s="166"/>
      <c r="H15" s="166"/>
      <c r="I15" s="166"/>
      <c r="O15" s="167"/>
      <c r="P15" s="167"/>
      <c r="X15" s="317"/>
      <c r="Y15" s="317"/>
    </row>
    <row r="16" spans="1:26" s="178" customFormat="1" x14ac:dyDescent="0.2">
      <c r="A16" s="320" t="s">
        <v>252</v>
      </c>
      <c r="B16" s="321" t="s">
        <v>710</v>
      </c>
      <c r="C16" s="321" t="s">
        <v>711</v>
      </c>
      <c r="D16" s="179"/>
      <c r="E16" s="166"/>
      <c r="F16" s="166"/>
      <c r="G16" s="166"/>
      <c r="H16" s="166"/>
      <c r="I16" s="166"/>
      <c r="O16" s="167"/>
      <c r="P16" s="167"/>
      <c r="X16" s="317"/>
      <c r="Y16" s="317"/>
    </row>
    <row r="17" spans="1:25" s="178" customFormat="1" x14ac:dyDescent="0.2">
      <c r="A17" s="272" t="s">
        <v>252</v>
      </c>
      <c r="B17" s="279" t="s">
        <v>683</v>
      </c>
      <c r="C17" s="279" t="s">
        <v>684</v>
      </c>
      <c r="D17" s="179"/>
      <c r="E17" s="166"/>
      <c r="F17" s="166"/>
      <c r="G17" s="166"/>
      <c r="H17" s="166"/>
      <c r="I17" s="166"/>
      <c r="O17" s="167"/>
      <c r="P17" s="167"/>
      <c r="X17" s="317"/>
      <c r="Y17" s="317"/>
    </row>
    <row r="18" spans="1:25" s="178" customFormat="1" x14ac:dyDescent="0.2">
      <c r="A18" s="272" t="s">
        <v>252</v>
      </c>
      <c r="B18" s="280" t="s">
        <v>685</v>
      </c>
      <c r="C18" s="280" t="s">
        <v>686</v>
      </c>
      <c r="D18" s="179"/>
      <c r="E18" s="166"/>
      <c r="F18" s="166"/>
      <c r="G18" s="166"/>
      <c r="H18" s="166"/>
      <c r="I18" s="166"/>
      <c r="O18" s="167"/>
      <c r="P18" s="167"/>
      <c r="X18" s="317"/>
      <c r="Y18" s="317"/>
    </row>
    <row r="19" spans="1:25" s="178" customFormat="1" x14ac:dyDescent="0.2">
      <c r="A19" s="272" t="s">
        <v>252</v>
      </c>
      <c r="B19" s="283" t="s">
        <v>101</v>
      </c>
      <c r="C19" s="283" t="s">
        <v>102</v>
      </c>
      <c r="D19" s="179"/>
      <c r="E19" s="166"/>
      <c r="F19" s="166"/>
      <c r="G19" s="166"/>
      <c r="H19" s="166"/>
      <c r="I19" s="166"/>
      <c r="O19" s="167"/>
      <c r="P19" s="167"/>
      <c r="X19" s="317"/>
      <c r="Y19" s="317"/>
    </row>
    <row r="20" spans="1:25" s="178" customFormat="1" x14ac:dyDescent="0.2">
      <c r="B20" s="178" t="s">
        <v>288</v>
      </c>
      <c r="C20" s="178" t="s">
        <v>289</v>
      </c>
      <c r="D20" s="179">
        <v>98.94</v>
      </c>
      <c r="E20" s="166"/>
      <c r="F20" s="166"/>
      <c r="G20" s="166"/>
      <c r="H20" s="166"/>
      <c r="I20" s="166"/>
      <c r="O20" s="167"/>
      <c r="P20" s="167"/>
      <c r="X20" s="317"/>
      <c r="Y20" s="317"/>
    </row>
    <row r="21" spans="1:25" s="178" customFormat="1" x14ac:dyDescent="0.2">
      <c r="A21" s="272" t="s">
        <v>252</v>
      </c>
      <c r="B21" s="276" t="s">
        <v>679</v>
      </c>
      <c r="C21" s="276" t="s">
        <v>680</v>
      </c>
      <c r="D21" s="179"/>
      <c r="E21" s="166"/>
      <c r="F21" s="166"/>
      <c r="G21" s="166"/>
      <c r="H21" s="166"/>
      <c r="I21" s="166"/>
      <c r="O21" s="167"/>
      <c r="P21" s="167"/>
      <c r="X21" s="317"/>
      <c r="Y21" s="317"/>
    </row>
    <row r="22" spans="1:25" s="178" customFormat="1" x14ac:dyDescent="0.2">
      <c r="A22" s="272" t="s">
        <v>252</v>
      </c>
      <c r="B22" s="178" t="s">
        <v>292</v>
      </c>
      <c r="C22" s="178" t="s">
        <v>293</v>
      </c>
      <c r="D22" s="179"/>
      <c r="E22" s="166"/>
      <c r="F22" s="166"/>
      <c r="G22" s="166"/>
      <c r="H22" s="166"/>
      <c r="I22" s="166"/>
      <c r="O22" s="167"/>
      <c r="P22" s="167"/>
    </row>
    <row r="23" spans="1:25" s="178" customFormat="1" x14ac:dyDescent="0.2">
      <c r="A23" s="272" t="s">
        <v>252</v>
      </c>
      <c r="B23" s="186" t="s">
        <v>636</v>
      </c>
      <c r="C23" s="186" t="s">
        <v>637</v>
      </c>
      <c r="D23" s="179">
        <v>27.5</v>
      </c>
      <c r="E23" s="166"/>
      <c r="F23" s="166"/>
      <c r="G23" s="166"/>
      <c r="H23" s="166"/>
      <c r="I23" s="166"/>
      <c r="O23" s="167"/>
      <c r="P23" s="167"/>
    </row>
    <row r="24" spans="1:25" s="178" customFormat="1" x14ac:dyDescent="0.2">
      <c r="A24" s="272" t="s">
        <v>252</v>
      </c>
      <c r="B24" s="178" t="s">
        <v>295</v>
      </c>
      <c r="C24" s="178" t="s">
        <v>296</v>
      </c>
      <c r="D24" s="179">
        <v>142.76</v>
      </c>
      <c r="E24" s="166"/>
      <c r="F24" s="166"/>
      <c r="G24" s="166"/>
      <c r="H24" s="166"/>
      <c r="I24" s="166"/>
      <c r="O24" s="167"/>
      <c r="P24" s="167"/>
    </row>
    <row r="25" spans="1:25" s="178" customFormat="1" x14ac:dyDescent="0.2">
      <c r="A25" s="272" t="s">
        <v>252</v>
      </c>
      <c r="B25" s="178" t="s">
        <v>305</v>
      </c>
      <c r="C25" s="178" t="s">
        <v>306</v>
      </c>
      <c r="D25" s="179">
        <v>72.069999999999993</v>
      </c>
      <c r="E25" s="166"/>
      <c r="F25" s="166"/>
      <c r="G25" s="166"/>
      <c r="H25" s="166"/>
      <c r="I25" s="166"/>
      <c r="O25" s="167"/>
      <c r="P25" s="167"/>
    </row>
    <row r="26" spans="1:25" s="178" customFormat="1" x14ac:dyDescent="0.2">
      <c r="A26" s="272" t="s">
        <v>252</v>
      </c>
      <c r="B26" s="178" t="s">
        <v>70</v>
      </c>
      <c r="C26" s="178" t="s">
        <v>71</v>
      </c>
      <c r="D26" s="179">
        <v>68.930000000000007</v>
      </c>
      <c r="E26" s="166">
        <v>18053</v>
      </c>
      <c r="F26" s="166"/>
      <c r="G26" s="166"/>
      <c r="H26" s="166"/>
      <c r="I26" s="166"/>
      <c r="O26" s="167"/>
      <c r="P26" s="167"/>
    </row>
    <row r="27" spans="1:25" s="178" customFormat="1" x14ac:dyDescent="0.2">
      <c r="A27" s="272" t="s">
        <v>252</v>
      </c>
      <c r="B27" s="305" t="s">
        <v>699</v>
      </c>
      <c r="C27" s="305" t="s">
        <v>700</v>
      </c>
      <c r="D27" s="179"/>
      <c r="E27" s="166"/>
      <c r="F27" s="166"/>
      <c r="G27" s="166"/>
      <c r="H27" s="166"/>
      <c r="I27" s="166"/>
      <c r="O27" s="167"/>
      <c r="P27" s="167"/>
    </row>
    <row r="28" spans="1:25" s="178" customFormat="1" x14ac:dyDescent="0.2">
      <c r="A28" s="178" t="s">
        <v>252</v>
      </c>
      <c r="B28" s="178" t="s">
        <v>82</v>
      </c>
      <c r="C28" s="178" t="s">
        <v>83</v>
      </c>
      <c r="D28" s="179">
        <v>58.75</v>
      </c>
      <c r="E28" s="166">
        <v>14980</v>
      </c>
      <c r="F28" s="166"/>
      <c r="G28" s="166"/>
      <c r="H28" s="166"/>
      <c r="I28" s="166"/>
      <c r="O28" s="167"/>
      <c r="P28" s="167"/>
    </row>
    <row r="29" spans="1:25" s="178" customFormat="1" x14ac:dyDescent="0.2">
      <c r="A29" s="178" t="s">
        <v>252</v>
      </c>
      <c r="B29" s="178" t="s">
        <v>103</v>
      </c>
      <c r="C29" s="178" t="s">
        <v>104</v>
      </c>
      <c r="D29" s="179">
        <v>184.44</v>
      </c>
      <c r="E29" s="166">
        <v>10400</v>
      </c>
      <c r="F29" s="166"/>
      <c r="G29" s="166"/>
      <c r="H29" s="166"/>
      <c r="I29" s="166"/>
      <c r="O29" s="167"/>
      <c r="P29" s="167"/>
    </row>
    <row r="30" spans="1:25" x14ac:dyDescent="0.2">
      <c r="A30" s="272" t="s">
        <v>252</v>
      </c>
      <c r="B30" s="183" t="s">
        <v>299</v>
      </c>
      <c r="C30" s="167" t="s">
        <v>300</v>
      </c>
      <c r="D30" s="180">
        <v>175.2</v>
      </c>
      <c r="E30" s="166">
        <v>27500</v>
      </c>
      <c r="F30" s="166"/>
      <c r="G30" s="166"/>
      <c r="J30" s="168"/>
      <c r="K30" s="182"/>
      <c r="L30" s="182"/>
      <c r="M30" s="182"/>
      <c r="N30" s="182"/>
      <c r="Q30" s="182"/>
      <c r="R30" s="182"/>
      <c r="S30" s="182"/>
      <c r="T30" s="182"/>
      <c r="U30" s="182"/>
      <c r="V30" s="182"/>
      <c r="W30" s="182"/>
      <c r="X30" s="182"/>
      <c r="Y30" s="182"/>
    </row>
    <row r="31" spans="1:25" x14ac:dyDescent="0.2">
      <c r="A31" s="323" t="s">
        <v>252</v>
      </c>
      <c r="B31" s="324" t="s">
        <v>714</v>
      </c>
      <c r="C31" s="325" t="s">
        <v>715</v>
      </c>
      <c r="D31" s="180"/>
      <c r="F31" s="166"/>
      <c r="G31" s="166"/>
      <c r="J31" s="168"/>
      <c r="K31" s="182"/>
      <c r="L31" s="182"/>
      <c r="M31" s="182"/>
      <c r="N31" s="182"/>
      <c r="Q31" s="182"/>
      <c r="R31" s="182"/>
      <c r="S31" s="182"/>
      <c r="T31" s="182"/>
      <c r="U31" s="182"/>
      <c r="V31" s="182"/>
      <c r="W31" s="182"/>
      <c r="X31" s="182"/>
      <c r="Y31" s="182"/>
    </row>
    <row r="32" spans="1:25" x14ac:dyDescent="0.2">
      <c r="A32" s="323" t="s">
        <v>252</v>
      </c>
      <c r="B32" s="326" t="s">
        <v>716</v>
      </c>
      <c r="C32" s="327" t="s">
        <v>717</v>
      </c>
      <c r="D32" s="180"/>
      <c r="F32" s="166"/>
      <c r="G32" s="166"/>
      <c r="J32" s="168"/>
      <c r="K32" s="182"/>
      <c r="L32" s="182"/>
      <c r="M32" s="182"/>
      <c r="N32" s="182"/>
      <c r="Q32" s="182"/>
      <c r="R32" s="182"/>
      <c r="S32" s="182"/>
      <c r="T32" s="182"/>
      <c r="U32" s="182"/>
      <c r="V32" s="182"/>
      <c r="W32" s="182"/>
      <c r="X32" s="182"/>
      <c r="Y32" s="182"/>
    </row>
    <row r="33" spans="1:5" x14ac:dyDescent="0.2">
      <c r="A33" s="167" t="s">
        <v>252</v>
      </c>
      <c r="B33" s="183" t="s">
        <v>64</v>
      </c>
      <c r="C33" s="167" t="s">
        <v>65</v>
      </c>
      <c r="D33" s="180">
        <v>312</v>
      </c>
      <c r="E33" s="166">
        <v>19090</v>
      </c>
    </row>
    <row r="34" spans="1:5" x14ac:dyDescent="0.2">
      <c r="B34" s="194" t="s">
        <v>643</v>
      </c>
      <c r="C34" s="194" t="s">
        <v>644</v>
      </c>
      <c r="D34" s="180">
        <v>8.1300000000000008</v>
      </c>
      <c r="E34" s="166">
        <v>1700</v>
      </c>
    </row>
    <row r="35" spans="1:5" x14ac:dyDescent="0.2">
      <c r="A35" s="167" t="s">
        <v>252</v>
      </c>
      <c r="B35" s="167" t="s">
        <v>424</v>
      </c>
      <c r="C35" s="167" t="s">
        <v>425</v>
      </c>
    </row>
    <row r="36" spans="1:5" x14ac:dyDescent="0.2">
      <c r="A36" s="167" t="s">
        <v>252</v>
      </c>
      <c r="B36" s="167" t="s">
        <v>430</v>
      </c>
      <c r="C36" s="167" t="s">
        <v>431</v>
      </c>
    </row>
    <row r="37" spans="1:5" x14ac:dyDescent="0.2">
      <c r="A37" s="167" t="s">
        <v>252</v>
      </c>
      <c r="B37" s="167" t="s">
        <v>486</v>
      </c>
      <c r="C37" s="167" t="s">
        <v>487</v>
      </c>
    </row>
    <row r="38" spans="1:5" x14ac:dyDescent="0.2">
      <c r="A38" s="167" t="s">
        <v>252</v>
      </c>
      <c r="B38" s="167" t="s">
        <v>518</v>
      </c>
      <c r="C38" s="167" t="s">
        <v>519</v>
      </c>
    </row>
    <row r="39" spans="1:5" x14ac:dyDescent="0.2">
      <c r="A39" s="167" t="s">
        <v>252</v>
      </c>
      <c r="B39" s="167" t="s">
        <v>542</v>
      </c>
      <c r="C39" s="167" t="s">
        <v>543</v>
      </c>
    </row>
    <row r="40" spans="1:5" x14ac:dyDescent="0.2">
      <c r="A40" s="167" t="s">
        <v>252</v>
      </c>
      <c r="B40" s="167" t="s">
        <v>572</v>
      </c>
      <c r="C40" s="167" t="s">
        <v>573</v>
      </c>
    </row>
    <row r="41" spans="1:5" x14ac:dyDescent="0.2">
      <c r="B41" s="5" t="s">
        <v>649</v>
      </c>
      <c r="C41" s="198" t="s">
        <v>650</v>
      </c>
      <c r="D41" s="168">
        <v>8.89</v>
      </c>
    </row>
    <row r="42" spans="1:5" x14ac:dyDescent="0.2">
      <c r="A42" s="272" t="s">
        <v>252</v>
      </c>
      <c r="B42" s="307" t="s">
        <v>701</v>
      </c>
      <c r="C42" s="307" t="s">
        <v>702</v>
      </c>
    </row>
    <row r="43" spans="1:5" x14ac:dyDescent="0.2">
      <c r="A43" s="167" t="s">
        <v>252</v>
      </c>
      <c r="B43" s="167" t="s">
        <v>586</v>
      </c>
      <c r="C43" s="167" t="s">
        <v>587</v>
      </c>
    </row>
    <row r="44" spans="1:5" x14ac:dyDescent="0.2">
      <c r="A44" s="167" t="s">
        <v>252</v>
      </c>
      <c r="B44" s="167" t="s">
        <v>594</v>
      </c>
      <c r="C44" s="167" t="s">
        <v>595</v>
      </c>
    </row>
    <row r="45" spans="1:5" x14ac:dyDescent="0.2">
      <c r="A45" s="167" t="s">
        <v>252</v>
      </c>
      <c r="B45" s="167" t="s">
        <v>596</v>
      </c>
      <c r="C45" s="167" t="s">
        <v>597</v>
      </c>
    </row>
    <row r="46" spans="1:5" x14ac:dyDescent="0.2">
      <c r="B46" s="5" t="s">
        <v>659</v>
      </c>
      <c r="C46" s="241" t="s">
        <v>661</v>
      </c>
      <c r="D46" s="179">
        <v>89.5</v>
      </c>
    </row>
    <row r="47" spans="1:5" x14ac:dyDescent="0.2">
      <c r="B47" s="5" t="s">
        <v>660</v>
      </c>
      <c r="C47" s="241" t="s">
        <v>662</v>
      </c>
    </row>
    <row r="48" spans="1:5" x14ac:dyDescent="0.2">
      <c r="A48" s="167" t="s">
        <v>252</v>
      </c>
      <c r="B48" s="167" t="s">
        <v>598</v>
      </c>
      <c r="C48" s="167" t="s">
        <v>599</v>
      </c>
    </row>
    <row r="49" spans="1:9" x14ac:dyDescent="0.2">
      <c r="A49" s="167" t="s">
        <v>252</v>
      </c>
      <c r="B49" s="167" t="s">
        <v>604</v>
      </c>
      <c r="C49" s="167" t="s">
        <v>605</v>
      </c>
    </row>
    <row r="51" spans="1:9" s="178" customFormat="1" x14ac:dyDescent="0.2">
      <c r="B51" s="47" t="s">
        <v>33</v>
      </c>
      <c r="C51" s="47" t="s">
        <v>150</v>
      </c>
      <c r="D51" s="48">
        <v>0</v>
      </c>
      <c r="E51" s="9">
        <v>100000</v>
      </c>
      <c r="F51" s="166"/>
      <c r="G51" s="166"/>
      <c r="H51" s="166"/>
      <c r="I51" s="166"/>
    </row>
    <row r="52" spans="1:9" x14ac:dyDescent="0.2">
      <c r="B52" s="107" t="s">
        <v>58</v>
      </c>
      <c r="C52" s="107"/>
      <c r="D52" s="108">
        <v>0</v>
      </c>
      <c r="E52" s="109">
        <v>26000</v>
      </c>
    </row>
    <row r="53" spans="1:9" x14ac:dyDescent="0.2">
      <c r="B53" s="178" t="s">
        <v>86</v>
      </c>
      <c r="C53" s="178"/>
      <c r="D53" s="48">
        <v>0</v>
      </c>
      <c r="E53" s="166">
        <v>15000</v>
      </c>
    </row>
    <row r="54" spans="1:9" x14ac:dyDescent="0.2">
      <c r="B54" s="167" t="s">
        <v>241</v>
      </c>
      <c r="D54" s="48">
        <v>0</v>
      </c>
      <c r="E54" s="166">
        <v>75</v>
      </c>
    </row>
    <row r="55" spans="1:9" x14ac:dyDescent="0.2">
      <c r="B55" s="167" t="s">
        <v>243</v>
      </c>
      <c r="D55" s="48">
        <v>0</v>
      </c>
    </row>
    <row r="56" spans="1:9" x14ac:dyDescent="0.2">
      <c r="B56" s="167" t="s">
        <v>273</v>
      </c>
      <c r="E56" s="166">
        <v>424</v>
      </c>
    </row>
    <row r="57" spans="1:9" x14ac:dyDescent="0.2">
      <c r="B57" s="167" t="s">
        <v>275</v>
      </c>
      <c r="E57" s="166">
        <v>159.5</v>
      </c>
    </row>
    <row r="58" spans="1:9" x14ac:dyDescent="0.2">
      <c r="B58" s="167" t="s">
        <v>400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6" r:id="rId5" xr:uid="{132B7EB0-8BB8-4C45-9D4A-8D6FD8E92C4F}"/>
    <hyperlink ref="B47" r:id="rId6" xr:uid="{978BA968-9397-4F51-8BD6-DF24F3265F24}"/>
    <hyperlink ref="B11" r:id="rId7" xr:uid="{4D2153E5-B181-4376-B814-CEB9F02158B7}"/>
    <hyperlink ref="B6" r:id="rId8" xr:uid="{3FE14BBE-9F87-497A-818B-F2351807C428}"/>
    <hyperlink ref="B41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58" bestFit="1" customWidth="1"/>
    <col min="2" max="2" width="11.42578125" style="258" bestFit="1" customWidth="1"/>
    <col min="3" max="16384" width="9.140625" style="258"/>
  </cols>
  <sheetData>
    <row r="1" spans="1:24" x14ac:dyDescent="0.2">
      <c r="A1" s="5" t="s">
        <v>142</v>
      </c>
    </row>
    <row r="2" spans="1:24" x14ac:dyDescent="0.2">
      <c r="B2" s="259" t="s">
        <v>0</v>
      </c>
      <c r="C2" s="260" t="s">
        <v>1</v>
      </c>
      <c r="D2" s="261" t="s">
        <v>2</v>
      </c>
      <c r="E2" s="262" t="s">
        <v>3</v>
      </c>
      <c r="F2" s="263" t="s">
        <v>4</v>
      </c>
      <c r="G2" s="263" t="s">
        <v>5</v>
      </c>
      <c r="H2" s="263" t="s">
        <v>212</v>
      </c>
      <c r="I2" s="263" t="s">
        <v>6</v>
      </c>
      <c r="J2" s="263" t="s">
        <v>223</v>
      </c>
      <c r="K2" s="264" t="s">
        <v>207</v>
      </c>
      <c r="L2" s="264" t="s">
        <v>211</v>
      </c>
      <c r="M2" s="264" t="s">
        <v>208</v>
      </c>
      <c r="N2" s="264" t="s">
        <v>209</v>
      </c>
      <c r="O2" s="265" t="s">
        <v>210</v>
      </c>
      <c r="P2" s="266" t="s">
        <v>228</v>
      </c>
      <c r="Q2" s="267" t="s">
        <v>229</v>
      </c>
      <c r="R2" s="267" t="s">
        <v>230</v>
      </c>
      <c r="S2" s="265">
        <v>2025</v>
      </c>
      <c r="T2" s="266" t="s">
        <v>227</v>
      </c>
      <c r="U2" s="264">
        <v>2023</v>
      </c>
      <c r="V2" s="264">
        <v>2024</v>
      </c>
      <c r="W2" s="265">
        <v>2025</v>
      </c>
      <c r="X2" s="258" t="s">
        <v>213</v>
      </c>
    </row>
    <row r="3" spans="1:24" x14ac:dyDescent="0.2">
      <c r="B3" s="257" t="s">
        <v>143</v>
      </c>
      <c r="C3" s="258" t="s">
        <v>144</v>
      </c>
      <c r="D3" s="268">
        <v>26.99</v>
      </c>
      <c r="E3" s="256">
        <v>1400</v>
      </c>
    </row>
    <row r="4" spans="1:24" x14ac:dyDescent="0.2">
      <c r="B4" s="80" t="s">
        <v>673</v>
      </c>
      <c r="C4" s="258" t="s">
        <v>674</v>
      </c>
      <c r="D4" s="268">
        <v>83.95</v>
      </c>
      <c r="E4" s="256"/>
    </row>
    <row r="5" spans="1:24" x14ac:dyDescent="0.2">
      <c r="A5" s="258" t="s">
        <v>252</v>
      </c>
      <c r="B5" s="257" t="s">
        <v>530</v>
      </c>
      <c r="C5" s="258" t="s">
        <v>531</v>
      </c>
      <c r="D5" s="268"/>
      <c r="E5" s="256"/>
    </row>
    <row r="6" spans="1:24" x14ac:dyDescent="0.2">
      <c r="A6" s="258" t="s">
        <v>252</v>
      </c>
      <c r="B6" s="257" t="s">
        <v>391</v>
      </c>
      <c r="C6" s="258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2"/>
  <sheetViews>
    <sheetView zoomScale="145" zoomScaleNormal="145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4" width="9.140625" style="10"/>
    <col min="5" max="5" width="10" style="10" customWidth="1"/>
    <col min="6" max="6" width="9.140625" style="10"/>
    <col min="7" max="7" width="10" style="10" customWidth="1"/>
    <col min="8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3" t="s">
        <v>252</v>
      </c>
      <c r="B3" s="5" t="s">
        <v>11</v>
      </c>
      <c r="C3" s="1" t="s">
        <v>12</v>
      </c>
      <c r="D3" s="2">
        <v>188.72</v>
      </c>
      <c r="E3" s="3">
        <f>+D3*H3</f>
        <v>1984392.8774297598</v>
      </c>
      <c r="F3" s="3">
        <f>[9]Main!$K$5-[9]Main!$K$6</f>
        <v>33161</v>
      </c>
      <c r="G3" s="3">
        <f>+E3-F3</f>
        <v>1951231.8774297598</v>
      </c>
      <c r="H3" s="44">
        <f>+[9]Main!$K$3</f>
        <v>10515.011007999999</v>
      </c>
      <c r="I3" s="4" t="s">
        <v>655</v>
      </c>
      <c r="J3" s="251">
        <v>45689</v>
      </c>
    </row>
    <row r="4" spans="1:24" x14ac:dyDescent="0.2">
      <c r="A4" s="273" t="s">
        <v>252</v>
      </c>
      <c r="B4" s="5" t="s">
        <v>42</v>
      </c>
      <c r="C4" s="10" t="s">
        <v>43</v>
      </c>
      <c r="D4" s="184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50" t="s">
        <v>655</v>
      </c>
      <c r="J4" s="52">
        <v>45689</v>
      </c>
    </row>
    <row r="5" spans="1:24" s="20" customFormat="1" x14ac:dyDescent="0.2">
      <c r="A5" s="273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3" t="s">
        <v>614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3" t="s">
        <v>252</v>
      </c>
      <c r="B6" s="5" t="s">
        <v>17</v>
      </c>
      <c r="C6" s="162" t="s">
        <v>632</v>
      </c>
      <c r="D6" s="163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614</v>
      </c>
      <c r="J6" s="52">
        <v>45756</v>
      </c>
    </row>
    <row r="7" spans="1:24" s="20" customFormat="1" x14ac:dyDescent="0.2">
      <c r="A7" s="273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9" t="s">
        <v>670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">
      <c r="A8" s="273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">
      <c r="A9" s="273" t="s">
        <v>252</v>
      </c>
      <c r="B9" s="64" t="s">
        <v>253</v>
      </c>
      <c r="C9" s="64" t="s">
        <v>254</v>
      </c>
    </row>
    <row r="10" spans="1:24" x14ac:dyDescent="0.2">
      <c r="A10" s="273" t="s">
        <v>252</v>
      </c>
      <c r="B10" s="11" t="s">
        <v>197</v>
      </c>
      <c r="C10" s="11" t="s">
        <v>198</v>
      </c>
      <c r="D10" s="184">
        <v>119.23</v>
      </c>
    </row>
    <row r="11" spans="1:24" x14ac:dyDescent="0.2">
      <c r="A11" s="273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8" t="s">
        <v>348</v>
      </c>
      <c r="J11" s="52">
        <v>44971</v>
      </c>
    </row>
    <row r="12" spans="1:24" x14ac:dyDescent="0.2">
      <c r="A12" s="273" t="s">
        <v>252</v>
      </c>
      <c r="B12" s="11" t="s">
        <v>195</v>
      </c>
      <c r="C12" s="11" t="s">
        <v>196</v>
      </c>
    </row>
    <row r="13" spans="1:24" x14ac:dyDescent="0.2">
      <c r="A13" s="273" t="s">
        <v>252</v>
      </c>
      <c r="B13" s="72" t="s">
        <v>283</v>
      </c>
      <c r="C13" s="72" t="s">
        <v>284</v>
      </c>
    </row>
    <row r="14" spans="1:24" x14ac:dyDescent="0.2">
      <c r="A14" s="273" t="s">
        <v>252</v>
      </c>
      <c r="B14" s="77" t="s">
        <v>301</v>
      </c>
      <c r="C14" s="77" t="s">
        <v>302</v>
      </c>
      <c r="D14" s="184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5" t="s">
        <v>655</v>
      </c>
      <c r="J14" s="52">
        <v>45712</v>
      </c>
    </row>
    <row r="15" spans="1:24" s="20" customFormat="1" x14ac:dyDescent="0.2">
      <c r="A15" s="273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3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3" t="s">
        <v>252</v>
      </c>
      <c r="B17" s="258" t="s">
        <v>675</v>
      </c>
      <c r="C17" s="258" t="s">
        <v>676</v>
      </c>
    </row>
    <row r="18" spans="1:23" x14ac:dyDescent="0.2">
      <c r="A18" s="273" t="s">
        <v>252</v>
      </c>
      <c r="B18" s="281" t="s">
        <v>689</v>
      </c>
      <c r="C18" s="282" t="s">
        <v>690</v>
      </c>
    </row>
    <row r="19" spans="1:23" x14ac:dyDescent="0.2">
      <c r="A19" s="273" t="s">
        <v>252</v>
      </c>
      <c r="B19" s="284" t="s">
        <v>691</v>
      </c>
      <c r="C19" s="284" t="s">
        <v>692</v>
      </c>
    </row>
    <row r="20" spans="1:23" x14ac:dyDescent="0.2">
      <c r="B20" s="5" t="s">
        <v>509</v>
      </c>
      <c r="C20" s="129" t="s">
        <v>510</v>
      </c>
      <c r="D20" s="184">
        <v>305.11</v>
      </c>
    </row>
    <row r="21" spans="1:23" x14ac:dyDescent="0.2">
      <c r="A21" s="77"/>
      <c r="B21" s="77" t="s">
        <v>303</v>
      </c>
      <c r="C21" s="77" t="s">
        <v>304</v>
      </c>
    </row>
    <row r="22" spans="1:23" x14ac:dyDescent="0.2">
      <c r="A22" s="78"/>
      <c r="B22" s="78" t="s">
        <v>307</v>
      </c>
      <c r="C22" s="78" t="s">
        <v>308</v>
      </c>
    </row>
    <row r="23" spans="1:23" x14ac:dyDescent="0.2">
      <c r="A23" s="79"/>
      <c r="B23" s="79" t="s">
        <v>309</v>
      </c>
      <c r="C23" s="79" t="s">
        <v>310</v>
      </c>
    </row>
    <row r="24" spans="1:23" x14ac:dyDescent="0.2">
      <c r="A24" s="273" t="s">
        <v>252</v>
      </c>
      <c r="B24" s="10" t="s">
        <v>157</v>
      </c>
      <c r="C24" s="10" t="s">
        <v>158</v>
      </c>
    </row>
    <row r="25" spans="1:23" x14ac:dyDescent="0.2">
      <c r="A25" s="273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">
      <c r="A26" s="322" t="s">
        <v>252</v>
      </c>
      <c r="B26" s="1" t="s">
        <v>712</v>
      </c>
      <c r="C26" s="1" t="s">
        <v>713</v>
      </c>
      <c r="D26" s="2"/>
      <c r="E26" s="3"/>
    </row>
    <row r="27" spans="1:23" x14ac:dyDescent="0.2">
      <c r="B27" s="10" t="s">
        <v>159</v>
      </c>
      <c r="C27" s="10" t="s">
        <v>160</v>
      </c>
    </row>
    <row r="28" spans="1:23" s="20" customFormat="1" x14ac:dyDescent="0.2">
      <c r="B28" s="20" t="s">
        <v>131</v>
      </c>
      <c r="C28" s="20" t="s">
        <v>132</v>
      </c>
      <c r="D28" s="21">
        <v>17.63</v>
      </c>
      <c r="E28" s="22">
        <v>6480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5" t="s">
        <v>376</v>
      </c>
      <c r="C29" s="94" t="s">
        <v>377</v>
      </c>
      <c r="D29" s="10">
        <v>8.86</v>
      </c>
      <c r="E29" s="44">
        <f>+D29*H29</f>
        <v>963.51364147999993</v>
      </c>
      <c r="F29" s="44">
        <f>+[66]Main!$K$5-[66]Main!$K$6</f>
        <v>-1163.2909999999999</v>
      </c>
      <c r="G29" s="44">
        <f>+E29-F29</f>
        <v>2126.8046414800001</v>
      </c>
      <c r="H29" s="44">
        <f>+[66]Main!$K$3</f>
        <v>108.748718</v>
      </c>
      <c r="I29" s="97" t="s">
        <v>348</v>
      </c>
      <c r="J29" s="52">
        <v>44965</v>
      </c>
    </row>
    <row r="30" spans="1:23" x14ac:dyDescent="0.2">
      <c r="B30" s="5" t="s">
        <v>628</v>
      </c>
      <c r="C30" s="151" t="s">
        <v>629</v>
      </c>
      <c r="D30" s="10">
        <v>1.77</v>
      </c>
      <c r="E30" s="44">
        <f>+D30*H30</f>
        <v>183.49568582999999</v>
      </c>
      <c r="F30" s="44">
        <f>+[67]Main!$K$5-[67]Main!$K$6</f>
        <v>4.47199999999998</v>
      </c>
      <c r="G30" s="44">
        <f>+E30-F30</f>
        <v>179.02368583000001</v>
      </c>
      <c r="H30" s="44">
        <f>+[67]Main!$K$3</f>
        <v>103.66987899999999</v>
      </c>
      <c r="I30" s="195" t="s">
        <v>614</v>
      </c>
      <c r="J30" s="52">
        <v>45556</v>
      </c>
    </row>
    <row r="31" spans="1:23" x14ac:dyDescent="0.2">
      <c r="B31" s="96" t="s">
        <v>378</v>
      </c>
      <c r="E31" s="44"/>
      <c r="F31" s="44"/>
      <c r="G31" s="44"/>
    </row>
    <row r="32" spans="1:23" x14ac:dyDescent="0.2">
      <c r="B32" s="5" t="s">
        <v>647</v>
      </c>
      <c r="C32" s="198" t="s">
        <v>648</v>
      </c>
      <c r="D32" s="10">
        <v>1.02</v>
      </c>
      <c r="E32" s="44">
        <f>+D32*H32</f>
        <v>114.86102394</v>
      </c>
      <c r="F32" s="44">
        <f>+[68]Main!$J$5-[68]Main!$J$6</f>
        <v>69.837999999999994</v>
      </c>
      <c r="G32" s="44">
        <f>+E32-F32</f>
        <v>45.023023940000002</v>
      </c>
      <c r="H32" s="44">
        <f>+[68]Main!$J$3</f>
        <v>112.608847</v>
      </c>
      <c r="I32" s="199" t="s">
        <v>614</v>
      </c>
      <c r="J32" s="52">
        <v>45583</v>
      </c>
    </row>
    <row r="33" spans="1:12" x14ac:dyDescent="0.2">
      <c r="B33" s="132" t="s">
        <v>552</v>
      </c>
      <c r="C33" s="132" t="s">
        <v>553</v>
      </c>
    </row>
    <row r="34" spans="1:12" x14ac:dyDescent="0.2">
      <c r="A34" s="273" t="s">
        <v>252</v>
      </c>
      <c r="B34" s="258" t="s">
        <v>677</v>
      </c>
      <c r="C34" s="258" t="s">
        <v>678</v>
      </c>
    </row>
    <row r="35" spans="1:12" x14ac:dyDescent="0.2">
      <c r="B35" s="132" t="s">
        <v>560</v>
      </c>
      <c r="C35" s="132" t="s">
        <v>561</v>
      </c>
    </row>
    <row r="36" spans="1:12" x14ac:dyDescent="0.2">
      <c r="B36" s="133" t="s">
        <v>613</v>
      </c>
      <c r="C36" s="133" t="s">
        <v>612</v>
      </c>
    </row>
    <row r="37" spans="1:12" x14ac:dyDescent="0.2">
      <c r="B37" s="5" t="s">
        <v>645</v>
      </c>
      <c r="C37" s="196" t="s">
        <v>646</v>
      </c>
      <c r="D37" s="184">
        <v>41.16</v>
      </c>
    </row>
    <row r="39" spans="1:12" x14ac:dyDescent="0.2">
      <c r="B39" s="1" t="s">
        <v>115</v>
      </c>
      <c r="C39" s="1"/>
      <c r="D39" s="2"/>
      <c r="E39" s="3">
        <v>8333</v>
      </c>
    </row>
    <row r="40" spans="1:12" x14ac:dyDescent="0.2">
      <c r="B40" s="20" t="s">
        <v>63</v>
      </c>
      <c r="C40" s="20"/>
      <c r="D40" s="21"/>
      <c r="E40" s="22">
        <v>22000</v>
      </c>
    </row>
    <row r="41" spans="1:12" x14ac:dyDescent="0.2">
      <c r="B41" s="20" t="s">
        <v>55</v>
      </c>
      <c r="C41" s="20"/>
      <c r="D41" s="21"/>
      <c r="E41" s="22">
        <v>30000</v>
      </c>
    </row>
    <row r="42" spans="1:12" x14ac:dyDescent="0.2">
      <c r="B42" s="124" t="s">
        <v>450</v>
      </c>
      <c r="L42" s="124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29" r:id="rId6" xr:uid="{E112D5EE-DF74-4C8E-8A8A-40FA1E1DA6A2}"/>
    <hyperlink ref="B30" r:id="rId7" xr:uid="{803C9F9C-5FB9-4D21-9B63-E7586C7DD545}"/>
    <hyperlink ref="B37" r:id="rId8" xr:uid="{B9AD6732-3E45-4F0C-8171-C60C9015033B}"/>
    <hyperlink ref="B32" r:id="rId9" xr:uid="{B9878397-9C9E-4F92-A581-0B74CE163EA7}"/>
    <hyperlink ref="B4" r:id="rId10" xr:uid="{F5EB23D2-9CA1-4670-BCFD-EEE188C17DBB}"/>
    <hyperlink ref="B16" r:id="rId11" xr:uid="{4A2120E9-733C-4D1E-9693-EC5B041CD1E7}"/>
    <hyperlink ref="B20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287" bestFit="1" customWidth="1"/>
    <col min="2" max="2" width="17" style="287" bestFit="1" customWidth="1"/>
    <col min="3" max="9" width="9.140625" style="287"/>
    <col min="10" max="10" width="9.140625" style="288"/>
    <col min="11" max="24" width="9.140625" style="287"/>
    <col min="25" max="27" width="9.140625" style="300"/>
    <col min="28" max="30" width="9.140625" style="288"/>
    <col min="31" max="16384" width="9.140625" style="287"/>
  </cols>
  <sheetData>
    <row r="1" spans="1:30" x14ac:dyDescent="0.2">
      <c r="A1" s="5" t="s">
        <v>142</v>
      </c>
    </row>
    <row r="2" spans="1:30" x14ac:dyDescent="0.2">
      <c r="B2" s="289" t="s">
        <v>0</v>
      </c>
      <c r="C2" s="290" t="s">
        <v>1</v>
      </c>
      <c r="D2" s="291" t="s">
        <v>2</v>
      </c>
      <c r="E2" s="292" t="s">
        <v>3</v>
      </c>
      <c r="F2" s="293" t="s">
        <v>4</v>
      </c>
      <c r="G2" s="293" t="s">
        <v>5</v>
      </c>
      <c r="H2" s="293" t="s">
        <v>212</v>
      </c>
      <c r="I2" s="293" t="s">
        <v>6</v>
      </c>
      <c r="J2" s="293" t="s">
        <v>223</v>
      </c>
      <c r="K2" s="294" t="s">
        <v>207</v>
      </c>
      <c r="L2" s="294" t="s">
        <v>211</v>
      </c>
      <c r="M2" s="294" t="s">
        <v>208</v>
      </c>
      <c r="N2" s="294" t="s">
        <v>209</v>
      </c>
      <c r="O2" s="295" t="s">
        <v>210</v>
      </c>
      <c r="P2" s="296" t="s">
        <v>228</v>
      </c>
      <c r="Q2" s="297" t="s">
        <v>229</v>
      </c>
      <c r="R2" s="297" t="s">
        <v>230</v>
      </c>
      <c r="S2" s="295">
        <v>2025</v>
      </c>
      <c r="T2" s="296" t="s">
        <v>227</v>
      </c>
      <c r="U2" s="294">
        <v>2023</v>
      </c>
      <c r="V2" s="294">
        <v>2024</v>
      </c>
      <c r="W2" s="295">
        <v>2025</v>
      </c>
      <c r="X2" s="287" t="s">
        <v>213</v>
      </c>
      <c r="Y2" s="309" t="s">
        <v>703</v>
      </c>
      <c r="Z2" s="309" t="s">
        <v>704</v>
      </c>
      <c r="AA2" s="309" t="s">
        <v>705</v>
      </c>
      <c r="AB2" s="308" t="s">
        <v>706</v>
      </c>
      <c r="AC2" s="308" t="s">
        <v>707</v>
      </c>
      <c r="AD2" s="308" t="s">
        <v>708</v>
      </c>
    </row>
    <row r="3" spans="1:30" s="50" customFormat="1" x14ac:dyDescent="0.2">
      <c r="B3" s="50" t="s">
        <v>709</v>
      </c>
      <c r="D3" s="311"/>
      <c r="E3" s="312"/>
      <c r="F3" s="313"/>
      <c r="G3" s="313"/>
      <c r="H3" s="313"/>
      <c r="I3" s="313"/>
      <c r="J3" s="313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Y3" s="312"/>
      <c r="Z3" s="312"/>
      <c r="AA3" s="312"/>
      <c r="AB3" s="315">
        <f>AVERAGE(AB4:AB21)</f>
        <v>14.234379720025654</v>
      </c>
      <c r="AC3" s="315">
        <f>AVERAGE(AC4:AC21)</f>
        <v>11.880419803115229</v>
      </c>
      <c r="AD3" s="315">
        <f>AVERAGE(AD4:AD21)</f>
        <v>9.8948530840896094</v>
      </c>
    </row>
    <row r="4" spans="1:30" x14ac:dyDescent="0.2">
      <c r="A4" s="298" t="s">
        <v>252</v>
      </c>
      <c r="B4" s="287" t="s">
        <v>151</v>
      </c>
      <c r="C4" s="287" t="s">
        <v>152</v>
      </c>
      <c r="D4" s="303">
        <v>169.6</v>
      </c>
      <c r="E4" s="301">
        <v>112279</v>
      </c>
      <c r="F4" s="301">
        <v>0</v>
      </c>
      <c r="G4" s="301">
        <f t="shared" ref="G4:G11" si="0">+E4-F4</f>
        <v>112279</v>
      </c>
      <c r="Y4" s="300">
        <v>8480</v>
      </c>
      <c r="Z4" s="300">
        <v>9710</v>
      </c>
      <c r="AA4" s="300">
        <v>11080</v>
      </c>
      <c r="AB4" s="310">
        <f t="shared" ref="AB4:AD9" si="1">$G4/Y4</f>
        <v>13.240448113207547</v>
      </c>
      <c r="AC4" s="310">
        <f t="shared" si="1"/>
        <v>11.563233779608652</v>
      </c>
      <c r="AD4" s="310">
        <f t="shared" si="1"/>
        <v>10.133483754512635</v>
      </c>
    </row>
    <row r="5" spans="1:30" x14ac:dyDescent="0.2">
      <c r="A5" s="298" t="s">
        <v>252</v>
      </c>
      <c r="B5" s="287" t="s">
        <v>290</v>
      </c>
      <c r="C5" s="287" t="s">
        <v>291</v>
      </c>
      <c r="D5" s="303">
        <v>77.58</v>
      </c>
      <c r="E5" s="301">
        <v>97863</v>
      </c>
      <c r="F5" s="301">
        <v>0</v>
      </c>
      <c r="G5" s="301">
        <f t="shared" si="0"/>
        <v>97863</v>
      </c>
      <c r="Y5" s="300">
        <v>7000</v>
      </c>
      <c r="Z5" s="300">
        <v>8350</v>
      </c>
      <c r="AA5" s="300">
        <v>9920</v>
      </c>
      <c r="AB5" s="310">
        <f t="shared" si="1"/>
        <v>13.980428571428572</v>
      </c>
      <c r="AC5" s="310">
        <f t="shared" si="1"/>
        <v>11.720119760479042</v>
      </c>
      <c r="AD5" s="310">
        <f t="shared" si="1"/>
        <v>9.8652217741935484</v>
      </c>
    </row>
    <row r="6" spans="1:30" x14ac:dyDescent="0.2">
      <c r="A6" s="298" t="s">
        <v>252</v>
      </c>
      <c r="B6" s="5" t="s">
        <v>153</v>
      </c>
      <c r="C6" s="287" t="s">
        <v>154</v>
      </c>
      <c r="D6" s="303">
        <v>360</v>
      </c>
      <c r="E6" s="301">
        <f>+D6*H6</f>
        <v>89234.429399999994</v>
      </c>
      <c r="F6" s="301">
        <f>+[69]Main!$I$5-[69]Main!$I$6</f>
        <v>3651.8559999999998</v>
      </c>
      <c r="G6" s="301">
        <f t="shared" si="0"/>
        <v>85582.573399999994</v>
      </c>
      <c r="H6" s="301">
        <f>+[69]Main!$I$3</f>
        <v>247.87341499999999</v>
      </c>
      <c r="I6" s="308" t="s">
        <v>670</v>
      </c>
      <c r="J6" s="302">
        <v>45748</v>
      </c>
      <c r="Y6" s="300">
        <v>3880</v>
      </c>
      <c r="Z6" s="300">
        <v>4710</v>
      </c>
      <c r="AA6" s="300">
        <v>5710</v>
      </c>
      <c r="AB6" s="310">
        <f t="shared" si="1"/>
        <v>22.057364278350512</v>
      </c>
      <c r="AC6" s="310">
        <f t="shared" si="1"/>
        <v>18.170397749469213</v>
      </c>
      <c r="AD6" s="310">
        <f t="shared" si="1"/>
        <v>14.988191488616462</v>
      </c>
    </row>
    <row r="7" spans="1:30" x14ac:dyDescent="0.2">
      <c r="A7" s="298" t="s">
        <v>252</v>
      </c>
      <c r="B7" s="287" t="s">
        <v>156</v>
      </c>
      <c r="C7" s="287" t="s">
        <v>155</v>
      </c>
      <c r="D7" s="287">
        <v>95.85</v>
      </c>
      <c r="E7" s="301">
        <v>73737</v>
      </c>
      <c r="F7" s="287">
        <v>0</v>
      </c>
      <c r="G7" s="301">
        <f t="shared" si="0"/>
        <v>73737</v>
      </c>
      <c r="Y7" s="300">
        <v>5960</v>
      </c>
      <c r="Z7" s="300">
        <v>6780</v>
      </c>
      <c r="AA7" s="300">
        <v>7630</v>
      </c>
      <c r="AB7" s="310">
        <f t="shared" si="1"/>
        <v>12.371979865771813</v>
      </c>
      <c r="AC7" s="310">
        <f t="shared" si="1"/>
        <v>10.875663716814159</v>
      </c>
      <c r="AD7" s="310">
        <f t="shared" si="1"/>
        <v>9.6640891218872866</v>
      </c>
    </row>
    <row r="8" spans="1:30" x14ac:dyDescent="0.2">
      <c r="A8" s="298" t="s">
        <v>252</v>
      </c>
      <c r="B8" s="5" t="s">
        <v>188</v>
      </c>
      <c r="C8" s="287" t="s">
        <v>189</v>
      </c>
      <c r="D8" s="303">
        <v>147</v>
      </c>
      <c r="E8" s="301">
        <f>+D8*H8</f>
        <v>50230.301897999998</v>
      </c>
      <c r="F8" s="301">
        <f>+[70]Main!$N$5-[70]Main!$N$6</f>
        <v>472.05500000000006</v>
      </c>
      <c r="G8" s="301">
        <f t="shared" si="0"/>
        <v>49758.246897999998</v>
      </c>
      <c r="H8" s="301">
        <f>+[70]Main!$N$3</f>
        <v>341.70273399999996</v>
      </c>
      <c r="I8" s="288" t="s">
        <v>614</v>
      </c>
      <c r="J8" s="302">
        <v>45561</v>
      </c>
      <c r="Y8" s="300">
        <v>1670</v>
      </c>
      <c r="Z8" s="300">
        <v>2100</v>
      </c>
      <c r="AA8" s="300">
        <v>2660</v>
      </c>
      <c r="AB8" s="310">
        <f t="shared" si="1"/>
        <v>29.795357423952094</v>
      </c>
      <c r="AC8" s="315">
        <f t="shared" si="1"/>
        <v>23.694403284761904</v>
      </c>
      <c r="AD8" s="310">
        <f t="shared" si="1"/>
        <v>18.706107856390975</v>
      </c>
    </row>
    <row r="9" spans="1:30" x14ac:dyDescent="0.2">
      <c r="A9" s="298" t="s">
        <v>252</v>
      </c>
      <c r="B9" s="5" t="s">
        <v>180</v>
      </c>
      <c r="C9" s="287" t="s">
        <v>181</v>
      </c>
      <c r="D9" s="299">
        <v>215</v>
      </c>
      <c r="E9" s="300">
        <f>+D9*H9</f>
        <v>32989.303945</v>
      </c>
      <c r="F9" s="301">
        <f>+[71]Main!$K$5-[71]Main!$K$6</f>
        <v>1162.098</v>
      </c>
      <c r="G9" s="301">
        <f t="shared" si="0"/>
        <v>31827.205945000002</v>
      </c>
      <c r="H9" s="301">
        <f>[71]Main!$K$3</f>
        <v>153.43862300000001</v>
      </c>
      <c r="I9" s="288" t="s">
        <v>655</v>
      </c>
      <c r="J9" s="302">
        <v>45702</v>
      </c>
      <c r="Y9" s="300">
        <v>2380</v>
      </c>
      <c r="Z9" s="300">
        <v>2860</v>
      </c>
      <c r="AA9" s="300">
        <v>3440</v>
      </c>
      <c r="AB9" s="310">
        <f t="shared" si="1"/>
        <v>13.372775607142858</v>
      </c>
      <c r="AC9" s="310">
        <f t="shared" si="1"/>
        <v>11.128393687062937</v>
      </c>
      <c r="AD9" s="310">
        <f t="shared" si="1"/>
        <v>9.2520947514534893</v>
      </c>
    </row>
    <row r="10" spans="1:30" x14ac:dyDescent="0.2">
      <c r="A10" s="298" t="s">
        <v>252</v>
      </c>
      <c r="B10" s="287" t="s">
        <v>80</v>
      </c>
      <c r="C10" s="287" t="s">
        <v>81</v>
      </c>
      <c r="D10" s="299">
        <v>229.05</v>
      </c>
      <c r="E10" s="300">
        <v>24821</v>
      </c>
      <c r="F10" s="288">
        <v>0</v>
      </c>
      <c r="G10" s="301">
        <f t="shared" si="0"/>
        <v>24821</v>
      </c>
      <c r="H10" s="288"/>
    </row>
    <row r="11" spans="1:30" x14ac:dyDescent="0.2">
      <c r="B11" s="5" t="s">
        <v>192</v>
      </c>
      <c r="C11" s="287" t="s">
        <v>193</v>
      </c>
      <c r="D11" s="303">
        <v>82.09</v>
      </c>
      <c r="E11" s="301">
        <f>+D11*H11</f>
        <v>12339.566530239999</v>
      </c>
      <c r="F11" s="301">
        <f>+[23]Main!$K$5-[23]Main!$K$6</f>
        <v>-1673.636</v>
      </c>
      <c r="G11" s="301">
        <f t="shared" si="0"/>
        <v>14013.20253024</v>
      </c>
      <c r="H11" s="301">
        <f>+[23]Main!$K$3</f>
        <v>150.31753599999999</v>
      </c>
      <c r="I11" s="288" t="s">
        <v>670</v>
      </c>
      <c r="J11" s="302">
        <v>45719</v>
      </c>
      <c r="Y11" s="300">
        <v>3990</v>
      </c>
      <c r="Z11" s="300">
        <v>4120</v>
      </c>
      <c r="AA11" s="300">
        <v>4350</v>
      </c>
      <c r="AB11" s="310">
        <f>$G11/Y11</f>
        <v>3.5120808346466164</v>
      </c>
      <c r="AC11" s="310">
        <f>$G11/Z11</f>
        <v>3.4012627500582524</v>
      </c>
      <c r="AD11" s="310">
        <f>$G11/AA11</f>
        <v>3.2214258690206896</v>
      </c>
    </row>
    <row r="12" spans="1:30" x14ac:dyDescent="0.2">
      <c r="A12" s="287" t="s">
        <v>252</v>
      </c>
      <c r="B12" s="287" t="s">
        <v>432</v>
      </c>
      <c r="C12" s="287" t="s">
        <v>433</v>
      </c>
    </row>
    <row r="13" spans="1:30" x14ac:dyDescent="0.2">
      <c r="A13" s="287" t="s">
        <v>252</v>
      </c>
      <c r="B13" s="287" t="s">
        <v>94</v>
      </c>
      <c r="C13" s="287" t="s">
        <v>95</v>
      </c>
    </row>
    <row r="14" spans="1:30" x14ac:dyDescent="0.2">
      <c r="A14" s="287" t="s">
        <v>252</v>
      </c>
      <c r="B14" s="287" t="s">
        <v>503</v>
      </c>
      <c r="C14" s="287" t="s">
        <v>504</v>
      </c>
    </row>
    <row r="15" spans="1:30" x14ac:dyDescent="0.2">
      <c r="A15" s="287" t="s">
        <v>252</v>
      </c>
      <c r="B15" s="287" t="s">
        <v>532</v>
      </c>
      <c r="C15" s="287" t="s">
        <v>533</v>
      </c>
    </row>
    <row r="16" spans="1:30" x14ac:dyDescent="0.2">
      <c r="A16" s="287" t="s">
        <v>252</v>
      </c>
      <c r="B16" s="5" t="s">
        <v>538</v>
      </c>
      <c r="C16" s="287" t="s">
        <v>539</v>
      </c>
      <c r="D16" s="303">
        <v>17.7</v>
      </c>
      <c r="E16" s="301">
        <f>+D16*H16</f>
        <v>5583.6024758999993</v>
      </c>
      <c r="F16" s="301">
        <f>+[72]Main!$J$5-[72]Main!$J$6</f>
        <v>1123.8009999999999</v>
      </c>
      <c r="G16" s="301">
        <f>+E16-F16</f>
        <v>4459.8014758999998</v>
      </c>
      <c r="H16" s="301">
        <f>+[72]Main!$J$3</f>
        <v>315.45776699999999</v>
      </c>
      <c r="I16" s="308" t="s">
        <v>655</v>
      </c>
      <c r="J16" s="302">
        <v>45748</v>
      </c>
      <c r="Y16" s="300">
        <v>804.35</v>
      </c>
      <c r="Z16" s="300">
        <v>993.3</v>
      </c>
      <c r="AA16" s="300">
        <v>1340</v>
      </c>
      <c r="AB16" s="310">
        <f>$G16/Y16</f>
        <v>5.5446030657052274</v>
      </c>
      <c r="AC16" s="310">
        <f>$G16/Z16</f>
        <v>4.4898836966676736</v>
      </c>
      <c r="AD16" s="310">
        <f>$G16/AA16</f>
        <v>3.3282100566417907</v>
      </c>
    </row>
    <row r="17" spans="1:5" x14ac:dyDescent="0.2">
      <c r="A17" s="287" t="s">
        <v>252</v>
      </c>
      <c r="B17" s="287" t="s">
        <v>556</v>
      </c>
      <c r="C17" s="287" t="s">
        <v>557</v>
      </c>
    </row>
    <row r="18" spans="1:5" x14ac:dyDescent="0.2">
      <c r="A18" s="287" t="s">
        <v>252</v>
      </c>
      <c r="B18" s="287" t="s">
        <v>570</v>
      </c>
      <c r="C18" s="287" t="s">
        <v>571</v>
      </c>
    </row>
    <row r="19" spans="1:5" x14ac:dyDescent="0.2">
      <c r="A19" s="287" t="s">
        <v>252</v>
      </c>
      <c r="B19" s="287" t="s">
        <v>600</v>
      </c>
      <c r="C19" s="287" t="s">
        <v>601</v>
      </c>
    </row>
    <row r="20" spans="1:5" x14ac:dyDescent="0.2">
      <c r="B20" s="287" t="s">
        <v>695</v>
      </c>
      <c r="C20" s="287" t="s">
        <v>696</v>
      </c>
      <c r="D20" s="303"/>
    </row>
    <row r="23" spans="1:5" x14ac:dyDescent="0.2">
      <c r="B23" s="287" t="s">
        <v>656</v>
      </c>
      <c r="C23" s="287" t="s">
        <v>247</v>
      </c>
      <c r="E23" s="287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2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5" t="s">
        <v>388</v>
      </c>
      <c r="D11" s="105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2025-04-14T02:57:47Z</dcterms:modified>
  <cp:category/>
  <cp:contentStatus/>
</cp:coreProperties>
</file>