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D07CC7D2-8453-4B5D-A9C5-39FA8EB377F2}" xr6:coauthVersionLast="47" xr6:coauthVersionMax="47" xr10:uidLastSave="{00000000-0000-0000-0000-000000000000}"/>
  <bookViews>
    <workbookView xWindow="53310" yWindow="3970" windowWidth="23530" windowHeight="16500" xr2:uid="{79B82797-CA5A-45D2-8A30-BD70659F48DF}"/>
  </bookViews>
  <sheets>
    <sheet name="Main" sheetId="1" r:id="rId1"/>
    <sheet name="Model" sheetId="3" r:id="rId2"/>
    <sheet name="Trikafta" sheetId="9" r:id="rId3"/>
    <sheet name="Orkambi" sheetId="11" r:id="rId4"/>
    <sheet name="Symdeko" sheetId="6" r:id="rId5"/>
    <sheet name="Kalydeco" sheetId="2" r:id="rId6"/>
    <sheet name="Casgevy" sheetId="8" r:id="rId7"/>
    <sheet name="VX-880" sheetId="7" r:id="rId8"/>
    <sheet name="vanzacaftor" sheetId="12" r:id="rId9"/>
    <sheet name="VX-548" sheetId="13" r:id="rId10"/>
    <sheet name="VX-522" sheetId="15" r:id="rId11"/>
    <sheet name="inaxaplin" sheetId="10" r:id="rId12"/>
    <sheet name="VX-634" sheetId="14" r:id="rId13"/>
    <sheet name="IP" sheetId="4" r:id="rId14"/>
    <sheet name="Compounds" sheetId="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K31" i="3" l="1"/>
  <c r="BK32" i="3" s="1"/>
  <c r="AY4" i="3"/>
  <c r="AX4" i="3"/>
  <c r="AS4" i="3"/>
  <c r="AF8" i="3"/>
  <c r="AE8" i="3"/>
  <c r="AD8" i="3"/>
  <c r="AC8" i="3"/>
  <c r="Z20" i="3"/>
  <c r="Z15" i="3"/>
  <c r="Z13" i="3"/>
  <c r="AA27" i="3"/>
  <c r="AA20" i="3"/>
  <c r="AA15" i="3"/>
  <c r="AB20" i="3"/>
  <c r="AB15" i="3"/>
  <c r="AF13" i="3"/>
  <c r="AE13" i="3"/>
  <c r="AD13" i="3"/>
  <c r="AC13" i="3"/>
  <c r="M5" i="1"/>
  <c r="P46" i="3"/>
  <c r="P50" i="3" s="1"/>
  <c r="P37" i="3"/>
  <c r="P32" i="3"/>
  <c r="M65" i="3"/>
  <c r="M66" i="3" s="1"/>
  <c r="O46" i="3"/>
  <c r="O50" i="3" s="1"/>
  <c r="O37" i="3"/>
  <c r="O32" i="3"/>
  <c r="O41" i="3" s="1"/>
  <c r="N74" i="3"/>
  <c r="O74" i="3" s="1"/>
  <c r="P74" i="3" s="1"/>
  <c r="N72" i="3"/>
  <c r="O72" i="3" s="1"/>
  <c r="P72" i="3" s="1"/>
  <c r="N70" i="3"/>
  <c r="O70" i="3" s="1"/>
  <c r="P70" i="3" s="1"/>
  <c r="N69" i="3"/>
  <c r="O69" i="3" s="1"/>
  <c r="P69" i="3" s="1"/>
  <c r="N68" i="3"/>
  <c r="O68" i="3" s="1"/>
  <c r="P68" i="3" s="1"/>
  <c r="N63" i="3"/>
  <c r="O63" i="3" s="1"/>
  <c r="P63" i="3" s="1"/>
  <c r="N59" i="3"/>
  <c r="O59" i="3" s="1"/>
  <c r="P59" i="3" s="1"/>
  <c r="N58" i="3"/>
  <c r="O58" i="3" s="1"/>
  <c r="P58" i="3" s="1"/>
  <c r="N57" i="3"/>
  <c r="O57" i="3" s="1"/>
  <c r="P57" i="3" s="1"/>
  <c r="N56" i="3"/>
  <c r="O56" i="3" s="1"/>
  <c r="P56" i="3" s="1"/>
  <c r="N55" i="3"/>
  <c r="O55" i="3" s="1"/>
  <c r="P55" i="3" s="1"/>
  <c r="N54" i="3"/>
  <c r="O54" i="3" s="1"/>
  <c r="P54" i="3" s="1"/>
  <c r="N53" i="3"/>
  <c r="O53" i="3" s="1"/>
  <c r="P53" i="3" s="1"/>
  <c r="N46" i="3"/>
  <c r="N50" i="3" s="1"/>
  <c r="N37" i="3"/>
  <c r="N32" i="3"/>
  <c r="M71" i="3"/>
  <c r="M73" i="3" s="1"/>
  <c r="M60" i="3"/>
  <c r="M61" i="3" s="1"/>
  <c r="M46" i="3"/>
  <c r="M50" i="3" s="1"/>
  <c r="M37" i="3"/>
  <c r="M32" i="3"/>
  <c r="M41" i="3" s="1"/>
  <c r="T46" i="3"/>
  <c r="T50" i="3" s="1"/>
  <c r="T37" i="3"/>
  <c r="T32" i="3"/>
  <c r="R74" i="3"/>
  <c r="S74" i="3" s="1"/>
  <c r="T74" i="3" s="1"/>
  <c r="R72" i="3"/>
  <c r="S72" i="3" s="1"/>
  <c r="T72" i="3" s="1"/>
  <c r="R71" i="3"/>
  <c r="S71" i="3" s="1"/>
  <c r="T71" i="3" s="1"/>
  <c r="R69" i="3"/>
  <c r="S69" i="3" s="1"/>
  <c r="T69" i="3" s="1"/>
  <c r="R68" i="3"/>
  <c r="S68" i="3" s="1"/>
  <c r="T68" i="3" s="1"/>
  <c r="R63" i="3"/>
  <c r="S63" i="3" s="1"/>
  <c r="R59" i="3"/>
  <c r="S59" i="3" s="1"/>
  <c r="T59" i="3" s="1"/>
  <c r="R58" i="3"/>
  <c r="S58" i="3" s="1"/>
  <c r="T58" i="3" s="1"/>
  <c r="R57" i="3"/>
  <c r="S57" i="3" s="1"/>
  <c r="T57" i="3" s="1"/>
  <c r="R56" i="3"/>
  <c r="S56" i="3" s="1"/>
  <c r="T56" i="3" s="1"/>
  <c r="R55" i="3"/>
  <c r="S55" i="3" s="1"/>
  <c r="T55" i="3" s="1"/>
  <c r="R54" i="3"/>
  <c r="S54" i="3" s="1"/>
  <c r="T54" i="3" s="1"/>
  <c r="R53" i="3"/>
  <c r="S53" i="3" s="1"/>
  <c r="T53" i="3" s="1"/>
  <c r="R46" i="3"/>
  <c r="R50" i="3" s="1"/>
  <c r="R37" i="3"/>
  <c r="R32" i="3"/>
  <c r="AB50" i="3"/>
  <c r="AA50" i="3"/>
  <c r="Z50" i="3"/>
  <c r="X46" i="3"/>
  <c r="X50" i="3" s="1"/>
  <c r="X37" i="3"/>
  <c r="X32" i="3"/>
  <c r="AQ32" i="3" s="1"/>
  <c r="AQ14" i="3"/>
  <c r="AQ17" i="3"/>
  <c r="AQ16" i="3"/>
  <c r="AQ22" i="3"/>
  <c r="AQ25" i="3"/>
  <c r="AQ11" i="3"/>
  <c r="AR11" i="3" s="1"/>
  <c r="AS11" i="3" s="1"/>
  <c r="AT11" i="3" s="1"/>
  <c r="AU11" i="3" s="1"/>
  <c r="AV11" i="3" s="1"/>
  <c r="AW11" i="3" s="1"/>
  <c r="AX11" i="3" s="1"/>
  <c r="AY11" i="3" s="1"/>
  <c r="AZ11" i="3" s="1"/>
  <c r="BA11" i="3" s="1"/>
  <c r="BB11" i="3" s="1"/>
  <c r="AQ8" i="3"/>
  <c r="W46" i="3"/>
  <c r="W50" i="3" s="1"/>
  <c r="W32" i="3"/>
  <c r="W37" i="3"/>
  <c r="W20" i="3"/>
  <c r="V74" i="3"/>
  <c r="W74" i="3" s="1"/>
  <c r="X74" i="3" s="1"/>
  <c r="V72" i="3"/>
  <c r="W72" i="3" s="1"/>
  <c r="X72" i="3" s="1"/>
  <c r="V71" i="3"/>
  <c r="W71" i="3" s="1"/>
  <c r="X71" i="3" s="1"/>
  <c r="V70" i="3"/>
  <c r="W70" i="3" s="1"/>
  <c r="X70" i="3" s="1"/>
  <c r="V69" i="3"/>
  <c r="W69" i="3" s="1"/>
  <c r="X69" i="3" s="1"/>
  <c r="V68" i="3"/>
  <c r="W68" i="3" s="1"/>
  <c r="X68" i="3" s="1"/>
  <c r="V63" i="3"/>
  <c r="W63" i="3" s="1"/>
  <c r="V59" i="3"/>
  <c r="W59" i="3" s="1"/>
  <c r="X59" i="3" s="1"/>
  <c r="V58" i="3"/>
  <c r="W58" i="3" s="1"/>
  <c r="V56" i="3"/>
  <c r="W56" i="3" s="1"/>
  <c r="X56" i="3" s="1"/>
  <c r="V57" i="3"/>
  <c r="W57" i="3" s="1"/>
  <c r="X57" i="3" s="1"/>
  <c r="V55" i="3"/>
  <c r="W55" i="3" s="1"/>
  <c r="X55" i="3" s="1"/>
  <c r="V54" i="3"/>
  <c r="W54" i="3" s="1"/>
  <c r="X54" i="3" s="1"/>
  <c r="V53" i="3"/>
  <c r="W53" i="3" s="1"/>
  <c r="X53" i="3" s="1"/>
  <c r="V46" i="3"/>
  <c r="V50" i="3" s="1"/>
  <c r="V32" i="3"/>
  <c r="V37" i="3"/>
  <c r="V20" i="3"/>
  <c r="V18" i="3"/>
  <c r="U73" i="3"/>
  <c r="U65" i="3"/>
  <c r="U66" i="3" s="1"/>
  <c r="U60" i="3"/>
  <c r="U61" i="3" s="1"/>
  <c r="U20" i="3"/>
  <c r="Y71" i="3"/>
  <c r="Y73" i="3" s="1"/>
  <c r="Y65" i="3"/>
  <c r="Y66" i="3" s="1"/>
  <c r="Y60" i="3"/>
  <c r="Y61" i="3" s="1"/>
  <c r="Y20" i="3"/>
  <c r="Y46" i="3"/>
  <c r="Y50" i="3" s="1"/>
  <c r="Y32" i="3"/>
  <c r="Y37" i="3"/>
  <c r="X20" i="3"/>
  <c r="X13" i="3"/>
  <c r="N60" i="3" l="1"/>
  <c r="T41" i="3"/>
  <c r="W41" i="3"/>
  <c r="N71" i="3"/>
  <c r="O71" i="3" s="1"/>
  <c r="P71" i="3" s="1"/>
  <c r="T63" i="3"/>
  <c r="N41" i="3"/>
  <c r="P41" i="3"/>
  <c r="N61" i="3"/>
  <c r="N65" i="3"/>
  <c r="O65" i="3" s="1"/>
  <c r="P65" i="3" s="1"/>
  <c r="P66" i="3" s="1"/>
  <c r="Z29" i="3"/>
  <c r="N66" i="3"/>
  <c r="O60" i="3"/>
  <c r="P60" i="3" s="1"/>
  <c r="N73" i="3"/>
  <c r="R41" i="3"/>
  <c r="P73" i="3"/>
  <c r="P61" i="3"/>
  <c r="M75" i="3"/>
  <c r="O66" i="3"/>
  <c r="O73" i="3"/>
  <c r="O61" i="3"/>
  <c r="N75" i="3"/>
  <c r="T73" i="3"/>
  <c r="S73" i="3"/>
  <c r="AA13" i="3"/>
  <c r="AB13" i="3"/>
  <c r="AB29" i="3" s="1"/>
  <c r="AA18" i="3"/>
  <c r="AQ20" i="3"/>
  <c r="Y41" i="3"/>
  <c r="R73" i="3"/>
  <c r="AB18" i="3"/>
  <c r="Z18" i="3"/>
  <c r="Y75" i="3"/>
  <c r="X58" i="3"/>
  <c r="X63" i="3"/>
  <c r="V60" i="3"/>
  <c r="W60" i="3" s="1"/>
  <c r="X60" i="3" s="1"/>
  <c r="V65" i="3"/>
  <c r="W65" i="3" s="1"/>
  <c r="X65" i="3" s="1"/>
  <c r="V66" i="3"/>
  <c r="U75" i="3"/>
  <c r="X73" i="3"/>
  <c r="X41" i="3"/>
  <c r="W73" i="3"/>
  <c r="V73" i="3"/>
  <c r="V41" i="3"/>
  <c r="X15" i="3"/>
  <c r="Y18" i="3"/>
  <c r="Y13" i="3"/>
  <c r="Y29" i="3" s="1"/>
  <c r="T20" i="3"/>
  <c r="U18" i="3"/>
  <c r="U46" i="3"/>
  <c r="U50" i="3" s="1"/>
  <c r="U37" i="3"/>
  <c r="U32" i="3"/>
  <c r="U41" i="3" s="1"/>
  <c r="AY3" i="3"/>
  <c r="AZ3" i="3" s="1"/>
  <c r="BA3" i="3" s="1"/>
  <c r="BB3" i="3" s="1"/>
  <c r="BC3" i="3" s="1"/>
  <c r="BD3" i="3" s="1"/>
  <c r="S20" i="3"/>
  <c r="S18" i="3"/>
  <c r="S46" i="3"/>
  <c r="S50" i="3" s="1"/>
  <c r="S37" i="3"/>
  <c r="S32" i="3"/>
  <c r="S41" i="3" s="1"/>
  <c r="C20" i="3"/>
  <c r="C18" i="3"/>
  <c r="G20" i="3"/>
  <c r="C13" i="3"/>
  <c r="C29" i="3" s="1"/>
  <c r="G18" i="3"/>
  <c r="G13" i="3"/>
  <c r="G29" i="3" s="1"/>
  <c r="D20" i="3"/>
  <c r="D18" i="3"/>
  <c r="H20" i="3"/>
  <c r="H13" i="3"/>
  <c r="H15" i="3" s="1"/>
  <c r="H28" i="3" s="1"/>
  <c r="D13" i="3"/>
  <c r="D15" i="3" s="1"/>
  <c r="D28" i="3" s="1"/>
  <c r="H18" i="3"/>
  <c r="E20" i="3"/>
  <c r="E18" i="3"/>
  <c r="I20" i="3"/>
  <c r="I18" i="3"/>
  <c r="I13" i="3"/>
  <c r="I29" i="3" s="1"/>
  <c r="E13" i="3"/>
  <c r="E15" i="3" s="1"/>
  <c r="E28" i="3" s="1"/>
  <c r="F20" i="3"/>
  <c r="F18" i="3"/>
  <c r="J20" i="3"/>
  <c r="J18" i="3"/>
  <c r="F13" i="3"/>
  <c r="F15" i="3" s="1"/>
  <c r="F28" i="3" s="1"/>
  <c r="J13" i="3"/>
  <c r="J15" i="3" s="1"/>
  <c r="J28" i="3" s="1"/>
  <c r="K20" i="3"/>
  <c r="K18" i="3"/>
  <c r="O20" i="3"/>
  <c r="K13" i="3"/>
  <c r="K15" i="3" s="1"/>
  <c r="K28" i="3" s="1"/>
  <c r="N20" i="3"/>
  <c r="R20" i="3"/>
  <c r="R18" i="3"/>
  <c r="U13" i="3"/>
  <c r="U15" i="3" s="1"/>
  <c r="AZ4" i="3"/>
  <c r="BA4" i="3" s="1"/>
  <c r="BB4" i="3" s="1"/>
  <c r="BC4" i="3" s="1"/>
  <c r="BD4" i="3" s="1"/>
  <c r="BE4" i="3" s="1"/>
  <c r="BF4" i="3" s="1"/>
  <c r="BG4" i="3" s="1"/>
  <c r="BH4" i="3" s="1"/>
  <c r="AV6" i="3"/>
  <c r="AW6" i="3" s="1"/>
  <c r="AX6" i="3" s="1"/>
  <c r="AY6" i="3" s="1"/>
  <c r="AZ6" i="3" s="1"/>
  <c r="BA6" i="3" s="1"/>
  <c r="BB6" i="3" s="1"/>
  <c r="BC6" i="3" s="1"/>
  <c r="BD6" i="3" s="1"/>
  <c r="BE6" i="3" s="1"/>
  <c r="BF6" i="3" s="1"/>
  <c r="BG6" i="3" s="1"/>
  <c r="BH6" i="3" s="1"/>
  <c r="Q73" i="3"/>
  <c r="Q65" i="3"/>
  <c r="Q60" i="3"/>
  <c r="Q46" i="3"/>
  <c r="Q50" i="3" s="1"/>
  <c r="Q37" i="3"/>
  <c r="Q32" i="3"/>
  <c r="L20" i="3"/>
  <c r="P18" i="3"/>
  <c r="P20" i="3"/>
  <c r="L18" i="3"/>
  <c r="AO18" i="3"/>
  <c r="AN18" i="3"/>
  <c r="AN13" i="3"/>
  <c r="AN15" i="3" s="1"/>
  <c r="AO14" i="3"/>
  <c r="AO12" i="3"/>
  <c r="AO10" i="3"/>
  <c r="AO9" i="3"/>
  <c r="AO8" i="3"/>
  <c r="L13" i="3"/>
  <c r="L15" i="3" s="1"/>
  <c r="L28" i="3" s="1"/>
  <c r="M20" i="3"/>
  <c r="Q20" i="3"/>
  <c r="AP12" i="3"/>
  <c r="AP9" i="3"/>
  <c r="AJ2" i="3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Q18" i="3"/>
  <c r="O18" i="3"/>
  <c r="N18" i="3"/>
  <c r="M18" i="3"/>
  <c r="P13" i="3"/>
  <c r="P15" i="3" s="1"/>
  <c r="O13" i="3"/>
  <c r="O29" i="3" s="1"/>
  <c r="N13" i="3"/>
  <c r="N15" i="3" s="1"/>
  <c r="M13" i="3"/>
  <c r="M15" i="3" s="1"/>
  <c r="M28" i="3" s="1"/>
  <c r="Q13" i="3"/>
  <c r="Q15" i="3" s="1"/>
  <c r="Q28" i="3" s="1"/>
  <c r="M4" i="1"/>
  <c r="Z28" i="3" l="1"/>
  <c r="P75" i="3"/>
  <c r="X61" i="3"/>
  <c r="Z19" i="3"/>
  <c r="Z21" i="3" s="1"/>
  <c r="Z30" i="3" s="1"/>
  <c r="O75" i="3"/>
  <c r="AB28" i="3"/>
  <c r="AB27" i="3"/>
  <c r="AA28" i="3"/>
  <c r="Q66" i="3"/>
  <c r="R65" i="3"/>
  <c r="X66" i="3"/>
  <c r="AA29" i="3"/>
  <c r="AB19" i="3"/>
  <c r="AB21" i="3" s="1"/>
  <c r="Q61" i="3"/>
  <c r="R60" i="3"/>
  <c r="W61" i="3"/>
  <c r="X75" i="3"/>
  <c r="W66" i="3"/>
  <c r="V61" i="3"/>
  <c r="V75" i="3" s="1"/>
  <c r="Y15" i="3"/>
  <c r="Y28" i="3" s="1"/>
  <c r="Y19" i="3"/>
  <c r="Y21" i="3" s="1"/>
  <c r="Y30" i="3" s="1"/>
  <c r="Y27" i="3"/>
  <c r="W18" i="3"/>
  <c r="X18" i="3"/>
  <c r="X19" i="3" s="1"/>
  <c r="V13" i="3"/>
  <c r="Z27" i="3" s="1"/>
  <c r="X28" i="3"/>
  <c r="C15" i="3"/>
  <c r="C28" i="3" s="1"/>
  <c r="U19" i="3"/>
  <c r="U21" i="3" s="1"/>
  <c r="U30" i="3" s="1"/>
  <c r="X29" i="3"/>
  <c r="W13" i="3"/>
  <c r="U28" i="3"/>
  <c r="U27" i="3"/>
  <c r="U29" i="3"/>
  <c r="H27" i="3"/>
  <c r="K27" i="3"/>
  <c r="G27" i="3"/>
  <c r="BE3" i="3"/>
  <c r="G15" i="3"/>
  <c r="G28" i="3" s="1"/>
  <c r="D29" i="3"/>
  <c r="E29" i="3"/>
  <c r="F29" i="3"/>
  <c r="J27" i="3"/>
  <c r="I27" i="3"/>
  <c r="H29" i="3"/>
  <c r="J29" i="3"/>
  <c r="L27" i="3"/>
  <c r="D19" i="3"/>
  <c r="D21" i="3" s="1"/>
  <c r="H19" i="3"/>
  <c r="H21" i="3" s="1"/>
  <c r="I15" i="3"/>
  <c r="I28" i="3" s="1"/>
  <c r="J19" i="3"/>
  <c r="J21" i="3" s="1"/>
  <c r="N27" i="3"/>
  <c r="M27" i="3"/>
  <c r="E19" i="3"/>
  <c r="E21" i="3" s="1"/>
  <c r="I19" i="3"/>
  <c r="I21" i="3" s="1"/>
  <c r="F19" i="3"/>
  <c r="F21" i="3" s="1"/>
  <c r="F30" i="3" s="1"/>
  <c r="O15" i="3"/>
  <c r="O19" i="3" s="1"/>
  <c r="O21" i="3" s="1"/>
  <c r="Q29" i="3"/>
  <c r="N29" i="3"/>
  <c r="O27" i="3"/>
  <c r="K29" i="3"/>
  <c r="L29" i="3"/>
  <c r="M29" i="3"/>
  <c r="P29" i="3"/>
  <c r="K19" i="3"/>
  <c r="K21" i="3" s="1"/>
  <c r="P27" i="3"/>
  <c r="Q27" i="3"/>
  <c r="N28" i="3"/>
  <c r="N19" i="3"/>
  <c r="N21" i="3" s="1"/>
  <c r="N30" i="3" s="1"/>
  <c r="AP25" i="3"/>
  <c r="AR25" i="3" s="1"/>
  <c r="AS25" i="3" s="1"/>
  <c r="AT25" i="3" s="1"/>
  <c r="AU25" i="3" s="1"/>
  <c r="AV25" i="3" s="1"/>
  <c r="AW25" i="3" s="1"/>
  <c r="AX25" i="3" s="1"/>
  <c r="AY25" i="3" s="1"/>
  <c r="AZ25" i="3" s="1"/>
  <c r="BA25" i="3" s="1"/>
  <c r="BB25" i="3" s="1"/>
  <c r="BC25" i="3" s="1"/>
  <c r="BD25" i="3" s="1"/>
  <c r="BE25" i="3" s="1"/>
  <c r="BF25" i="3" s="1"/>
  <c r="BG25" i="3" s="1"/>
  <c r="BH25" i="3" s="1"/>
  <c r="P19" i="3"/>
  <c r="P21" i="3" s="1"/>
  <c r="P30" i="3" s="1"/>
  <c r="AO13" i="3"/>
  <c r="AO15" i="3" s="1"/>
  <c r="AO28" i="3" s="1"/>
  <c r="Q41" i="3"/>
  <c r="AP17" i="3"/>
  <c r="P28" i="3"/>
  <c r="M19" i="3"/>
  <c r="M21" i="3" s="1"/>
  <c r="M23" i="3" s="1"/>
  <c r="AN19" i="3"/>
  <c r="L19" i="3"/>
  <c r="L21" i="3" s="1"/>
  <c r="AP10" i="3"/>
  <c r="S13" i="3"/>
  <c r="S15" i="3" s="1"/>
  <c r="S19" i="3" s="1"/>
  <c r="T13" i="3"/>
  <c r="T27" i="3" s="1"/>
  <c r="R13" i="3"/>
  <c r="AP8" i="3"/>
  <c r="Q19" i="3"/>
  <c r="Q21" i="3" s="1"/>
  <c r="M7" i="1"/>
  <c r="AA19" i="3" l="1"/>
  <c r="AA21" i="3" s="1"/>
  <c r="W75" i="3"/>
  <c r="M24" i="3"/>
  <c r="M52" i="3"/>
  <c r="Q75" i="3"/>
  <c r="AA30" i="3"/>
  <c r="AB30" i="3"/>
  <c r="Z23" i="3"/>
  <c r="S60" i="3"/>
  <c r="R61" i="3"/>
  <c r="S65" i="3"/>
  <c r="R66" i="3"/>
  <c r="R75" i="3" s="1"/>
  <c r="Y23" i="3"/>
  <c r="W29" i="3"/>
  <c r="W15" i="3"/>
  <c r="V15" i="3"/>
  <c r="V28" i="3" s="1"/>
  <c r="V27" i="3"/>
  <c r="V29" i="3"/>
  <c r="U23" i="3"/>
  <c r="Y24" i="3"/>
  <c r="Y52" i="3"/>
  <c r="X21" i="3"/>
  <c r="X30" i="3" s="1"/>
  <c r="X27" i="3"/>
  <c r="W27" i="3"/>
  <c r="C19" i="3"/>
  <c r="C21" i="3" s="1"/>
  <c r="C30" i="3" s="1"/>
  <c r="BF3" i="3"/>
  <c r="S27" i="3"/>
  <c r="G19" i="3"/>
  <c r="G21" i="3" s="1"/>
  <c r="G23" i="3" s="1"/>
  <c r="G24" i="3" s="1"/>
  <c r="E23" i="3"/>
  <c r="E24" i="3" s="1"/>
  <c r="E30" i="3"/>
  <c r="H23" i="3"/>
  <c r="H24" i="3" s="1"/>
  <c r="H30" i="3"/>
  <c r="D23" i="3"/>
  <c r="D24" i="3" s="1"/>
  <c r="D30" i="3"/>
  <c r="J23" i="3"/>
  <c r="J24" i="3" s="1"/>
  <c r="J30" i="3"/>
  <c r="F23" i="3"/>
  <c r="F24" i="3" s="1"/>
  <c r="I23" i="3"/>
  <c r="I24" i="3" s="1"/>
  <c r="I30" i="3"/>
  <c r="O28" i="3"/>
  <c r="O30" i="3"/>
  <c r="O23" i="3"/>
  <c r="K23" i="3"/>
  <c r="K24" i="3" s="1"/>
  <c r="K30" i="3"/>
  <c r="R27" i="3"/>
  <c r="R29" i="3"/>
  <c r="S29" i="3"/>
  <c r="N23" i="3"/>
  <c r="AP20" i="3"/>
  <c r="AR8" i="3"/>
  <c r="AQ13" i="3"/>
  <c r="M30" i="3"/>
  <c r="AO19" i="3"/>
  <c r="P23" i="3"/>
  <c r="Q30" i="3"/>
  <c r="Q23" i="3"/>
  <c r="R15" i="3"/>
  <c r="R19" i="3" s="1"/>
  <c r="T15" i="3"/>
  <c r="S28" i="3"/>
  <c r="L30" i="3"/>
  <c r="L23" i="3"/>
  <c r="L24" i="3" s="1"/>
  <c r="AP13" i="3"/>
  <c r="AA23" i="3" l="1"/>
  <c r="T65" i="3"/>
  <c r="T66" i="3" s="1"/>
  <c r="S66" i="3"/>
  <c r="N24" i="3"/>
  <c r="N52" i="3"/>
  <c r="O24" i="3"/>
  <c r="O52" i="3"/>
  <c r="P24" i="3"/>
  <c r="P52" i="3"/>
  <c r="Z24" i="3"/>
  <c r="Z52" i="3"/>
  <c r="Z32" i="3"/>
  <c r="C23" i="3"/>
  <c r="C24" i="3" s="1"/>
  <c r="S61" i="3"/>
  <c r="T60" i="3"/>
  <c r="T61" i="3" s="1"/>
  <c r="AA24" i="3"/>
  <c r="AA52" i="3"/>
  <c r="AB23" i="3"/>
  <c r="V19" i="3"/>
  <c r="V21" i="3" s="1"/>
  <c r="V30" i="3" s="1"/>
  <c r="U24" i="3"/>
  <c r="U52" i="3"/>
  <c r="X23" i="3"/>
  <c r="W28" i="3"/>
  <c r="W19" i="3"/>
  <c r="W21" i="3" s="1"/>
  <c r="T28" i="3"/>
  <c r="BG3" i="3"/>
  <c r="BH3" i="3" s="1"/>
  <c r="G30" i="3"/>
  <c r="T18" i="3"/>
  <c r="T19" i="3" s="1"/>
  <c r="T29" i="3"/>
  <c r="AP16" i="3"/>
  <c r="AP29" i="3" s="1"/>
  <c r="AQ29" i="3"/>
  <c r="AQ15" i="3"/>
  <c r="AQ28" i="3" s="1"/>
  <c r="AS8" i="3"/>
  <c r="AR13" i="3"/>
  <c r="R28" i="3"/>
  <c r="R21" i="3"/>
  <c r="S21" i="3"/>
  <c r="AP14" i="3"/>
  <c r="AP15" i="3" s="1"/>
  <c r="Q52" i="3"/>
  <c r="Q24" i="3"/>
  <c r="AA32" i="3" l="1"/>
  <c r="Z41" i="3"/>
  <c r="S75" i="3"/>
  <c r="AB24" i="3"/>
  <c r="AB52" i="3"/>
  <c r="T75" i="3"/>
  <c r="X24" i="3"/>
  <c r="X52" i="3"/>
  <c r="V23" i="3"/>
  <c r="W30" i="3"/>
  <c r="T21" i="3"/>
  <c r="AP18" i="3"/>
  <c r="AP19" i="3" s="1"/>
  <c r="AP21" i="3" s="1"/>
  <c r="AR16" i="3"/>
  <c r="AR29" i="3" s="1"/>
  <c r="AR14" i="3"/>
  <c r="AR15" i="3" s="1"/>
  <c r="AR28" i="3" s="1"/>
  <c r="AT8" i="3"/>
  <c r="AS13" i="3"/>
  <c r="AQ18" i="3"/>
  <c r="AQ19" i="3" s="1"/>
  <c r="AP28" i="3"/>
  <c r="T23" i="3"/>
  <c r="T30" i="3"/>
  <c r="S30" i="3"/>
  <c r="S23" i="3"/>
  <c r="AB32" i="3" l="1"/>
  <c r="AB41" i="3" s="1"/>
  <c r="AA41" i="3"/>
  <c r="T24" i="3"/>
  <c r="T52" i="3"/>
  <c r="V24" i="3"/>
  <c r="V52" i="3"/>
  <c r="W23" i="3"/>
  <c r="S24" i="3"/>
  <c r="S52" i="3"/>
  <c r="R30" i="3"/>
  <c r="AP22" i="3"/>
  <c r="AP30" i="3" s="1"/>
  <c r="AS16" i="3"/>
  <c r="AS29" i="3" s="1"/>
  <c r="AS14" i="3"/>
  <c r="AS15" i="3" s="1"/>
  <c r="AS28" i="3" s="1"/>
  <c r="AR18" i="3"/>
  <c r="AR19" i="3" s="1"/>
  <c r="AU8" i="3"/>
  <c r="AT13" i="3"/>
  <c r="R23" i="3"/>
  <c r="R52" i="3" s="1"/>
  <c r="W24" i="3" l="1"/>
  <c r="W52" i="3"/>
  <c r="AP23" i="3"/>
  <c r="AP24" i="3" s="1"/>
  <c r="AT16" i="3"/>
  <c r="AT29" i="3" s="1"/>
  <c r="AT14" i="3"/>
  <c r="AT15" i="3" s="1"/>
  <c r="AT28" i="3" s="1"/>
  <c r="AV8" i="3"/>
  <c r="AU13" i="3"/>
  <c r="AS18" i="3"/>
  <c r="AS19" i="3" s="1"/>
  <c r="AP32" i="3"/>
  <c r="R24" i="3"/>
  <c r="AQ21" i="3" l="1"/>
  <c r="AU16" i="3"/>
  <c r="AU29" i="3" s="1"/>
  <c r="AU14" i="3"/>
  <c r="AU15" i="3" s="1"/>
  <c r="AU28" i="3" s="1"/>
  <c r="AT18" i="3"/>
  <c r="AT19" i="3" s="1"/>
  <c r="AW8" i="3"/>
  <c r="AV13" i="3"/>
  <c r="AV16" i="3" l="1"/>
  <c r="AV29" i="3" s="1"/>
  <c r="AV14" i="3"/>
  <c r="AV15" i="3" s="1"/>
  <c r="AV28" i="3" s="1"/>
  <c r="AQ30" i="3"/>
  <c r="AX8" i="3"/>
  <c r="AX13" i="3" s="1"/>
  <c r="AW13" i="3"/>
  <c r="AU18" i="3"/>
  <c r="AU19" i="3" s="1"/>
  <c r="AQ23" i="3" l="1"/>
  <c r="AW14" i="3"/>
  <c r="AW15" i="3" s="1"/>
  <c r="AW28" i="3" s="1"/>
  <c r="AW16" i="3"/>
  <c r="AW29" i="3" s="1"/>
  <c r="AV18" i="3"/>
  <c r="AV19" i="3" s="1"/>
  <c r="AY8" i="3"/>
  <c r="AQ24" i="3" l="1"/>
  <c r="AX16" i="3"/>
  <c r="AX29" i="3" s="1"/>
  <c r="AX14" i="3"/>
  <c r="AX15" i="3" s="1"/>
  <c r="AX28" i="3" s="1"/>
  <c r="AR20" i="3"/>
  <c r="AR21" i="3" s="1"/>
  <c r="AZ8" i="3"/>
  <c r="AY13" i="3"/>
  <c r="AW18" i="3"/>
  <c r="AW19" i="3" s="1"/>
  <c r="AR22" i="3" l="1"/>
  <c r="AR30" i="3" s="1"/>
  <c r="AY14" i="3"/>
  <c r="AY15" i="3" s="1"/>
  <c r="AY28" i="3" s="1"/>
  <c r="AY16" i="3"/>
  <c r="AY29" i="3" s="1"/>
  <c r="AX18" i="3"/>
  <c r="AX19" i="3" s="1"/>
  <c r="BA8" i="3"/>
  <c r="AZ13" i="3"/>
  <c r="AR23" i="3" l="1"/>
  <c r="AR24" i="3" s="1"/>
  <c r="AZ14" i="3"/>
  <c r="AZ15" i="3" s="1"/>
  <c r="AZ28" i="3" s="1"/>
  <c r="AZ16" i="3"/>
  <c r="AZ29" i="3" s="1"/>
  <c r="BB8" i="3"/>
  <c r="BA13" i="3"/>
  <c r="AY18" i="3"/>
  <c r="AY19" i="3" s="1"/>
  <c r="AR32" i="3" l="1"/>
  <c r="AS20" i="3" s="1"/>
  <c r="AS21" i="3" s="1"/>
  <c r="BA16" i="3"/>
  <c r="BA29" i="3" s="1"/>
  <c r="BA14" i="3"/>
  <c r="BA15" i="3" s="1"/>
  <c r="BA28" i="3" s="1"/>
  <c r="AZ18" i="3"/>
  <c r="AZ19" i="3" s="1"/>
  <c r="BC8" i="3"/>
  <c r="BB13" i="3"/>
  <c r="BC13" i="3" l="1"/>
  <c r="BC14" i="3" s="1"/>
  <c r="BC15" i="3" s="1"/>
  <c r="BC28" i="3" s="1"/>
  <c r="BD8" i="3"/>
  <c r="BB14" i="3"/>
  <c r="BB15" i="3" s="1"/>
  <c r="BB28" i="3" s="1"/>
  <c r="BB16" i="3"/>
  <c r="BB29" i="3" s="1"/>
  <c r="AS22" i="3"/>
  <c r="AS30" i="3" s="1"/>
  <c r="BA18" i="3"/>
  <c r="BA19" i="3" s="1"/>
  <c r="BC16" i="3" l="1"/>
  <c r="BC29" i="3" s="1"/>
  <c r="BE8" i="3"/>
  <c r="BD13" i="3"/>
  <c r="AS23" i="3"/>
  <c r="BB18" i="3"/>
  <c r="BB19" i="3" s="1"/>
  <c r="BC18" i="3" l="1"/>
  <c r="BC19" i="3" s="1"/>
  <c r="BD16" i="3"/>
  <c r="BD18" i="3" s="1"/>
  <c r="BD14" i="3"/>
  <c r="BD15" i="3" s="1"/>
  <c r="BF8" i="3"/>
  <c r="BE13" i="3"/>
  <c r="AS24" i="3"/>
  <c r="AS32" i="3"/>
  <c r="BD19" i="3" l="1"/>
  <c r="BE16" i="3"/>
  <c r="BE18" i="3" s="1"/>
  <c r="BE14" i="3"/>
  <c r="BE15" i="3" s="1"/>
  <c r="BG8" i="3"/>
  <c r="BF13" i="3"/>
  <c r="AT20" i="3"/>
  <c r="AT21" i="3" s="1"/>
  <c r="BE19" i="3" l="1"/>
  <c r="BF14" i="3"/>
  <c r="BF15" i="3" s="1"/>
  <c r="BF16" i="3"/>
  <c r="BF18" i="3" s="1"/>
  <c r="BH8" i="3"/>
  <c r="BH13" i="3" s="1"/>
  <c r="BG13" i="3"/>
  <c r="AT22" i="3"/>
  <c r="AT30" i="3" s="1"/>
  <c r="BG14" i="3" l="1"/>
  <c r="BG15" i="3" s="1"/>
  <c r="BG16" i="3"/>
  <c r="BG18" i="3" s="1"/>
  <c r="BH14" i="3"/>
  <c r="BH15" i="3" s="1"/>
  <c r="BH16" i="3"/>
  <c r="BH18" i="3" s="1"/>
  <c r="BF19" i="3"/>
  <c r="AT23" i="3"/>
  <c r="AT24" i="3" l="1"/>
  <c r="BH19" i="3"/>
  <c r="BG19" i="3"/>
  <c r="AT32" i="3"/>
  <c r="AU20" i="3" s="1"/>
  <c r="AU21" i="3" s="1"/>
  <c r="AU22" i="3" l="1"/>
  <c r="AU30" i="3" s="1"/>
  <c r="AU23" i="3" l="1"/>
  <c r="AU24" i="3" l="1"/>
  <c r="AU32" i="3"/>
  <c r="AV20" i="3" s="1"/>
  <c r="AV21" i="3" s="1"/>
  <c r="AV22" i="3" l="1"/>
  <c r="AV30" i="3" s="1"/>
  <c r="AV23" i="3" l="1"/>
  <c r="AV32" i="3" l="1"/>
  <c r="AW20" i="3" s="1"/>
  <c r="AW21" i="3" s="1"/>
  <c r="AV24" i="3"/>
  <c r="AW22" i="3" l="1"/>
  <c r="AW30" i="3" s="1"/>
  <c r="AW23" i="3" l="1"/>
  <c r="AW24" i="3" l="1"/>
  <c r="AW32" i="3"/>
  <c r="AX20" i="3" s="1"/>
  <c r="AX21" i="3" s="1"/>
  <c r="AX22" i="3" l="1"/>
  <c r="AX30" i="3" s="1"/>
  <c r="AX23" i="3" l="1"/>
  <c r="AX24" i="3" s="1"/>
  <c r="AX32" i="3" l="1"/>
  <c r="AY20" i="3" s="1"/>
  <c r="AY21" i="3" s="1"/>
  <c r="AY22" i="3" l="1"/>
  <c r="AY30" i="3" s="1"/>
  <c r="AY23" i="3" l="1"/>
  <c r="AY24" i="3" l="1"/>
  <c r="AY32" i="3"/>
  <c r="AZ20" i="3" s="1"/>
  <c r="AZ21" i="3" s="1"/>
  <c r="AZ22" i="3" l="1"/>
  <c r="AZ30" i="3" s="1"/>
  <c r="AZ23" i="3" l="1"/>
  <c r="AZ24" i="3" l="1"/>
  <c r="AZ32" i="3"/>
  <c r="BA20" i="3" s="1"/>
  <c r="BA21" i="3" s="1"/>
  <c r="BA22" i="3" l="1"/>
  <c r="BA30" i="3" s="1"/>
  <c r="BA23" i="3" l="1"/>
  <c r="BA24" i="3" s="1"/>
  <c r="BA32" i="3" l="1"/>
  <c r="BB20" i="3" s="1"/>
  <c r="BB21" i="3" s="1"/>
  <c r="BB22" i="3" l="1"/>
  <c r="BB30" i="3" s="1"/>
  <c r="BB23" i="3" l="1"/>
  <c r="BB24" i="3" s="1"/>
  <c r="BB32" i="3" l="1"/>
  <c r="BC20" i="3" s="1"/>
  <c r="BC21" i="3" s="1"/>
  <c r="BC22" i="3" l="1"/>
  <c r="BC30" i="3" s="1"/>
  <c r="BC23" i="3" l="1"/>
  <c r="BC32" i="3" s="1"/>
  <c r="BD20" i="3" l="1"/>
  <c r="BD21" i="3" s="1"/>
  <c r="BD22" i="3" s="1"/>
  <c r="BD23" i="3" s="1"/>
  <c r="BD32" i="3" s="1"/>
  <c r="BC24" i="3"/>
  <c r="BE20" i="3" l="1"/>
  <c r="BD24" i="3"/>
  <c r="BE21" i="3" l="1"/>
  <c r="BE22" i="3" s="1"/>
  <c r="BE23" i="3" s="1"/>
  <c r="BE32" i="3" s="1"/>
  <c r="BF20" i="3" s="1"/>
  <c r="BF21" i="3" l="1"/>
  <c r="BF22" i="3" s="1"/>
  <c r="BE24" i="3"/>
  <c r="BF23" i="3" l="1"/>
  <c r="BF32" i="3" s="1"/>
  <c r="BG20" i="3" s="1"/>
  <c r="BF24" i="3" l="1"/>
  <c r="BG21" i="3" l="1"/>
  <c r="BG22" i="3" s="1"/>
  <c r="BG23" i="3" l="1"/>
  <c r="BG32" i="3" s="1"/>
  <c r="BG24" i="3" l="1"/>
  <c r="BH20" i="3"/>
  <c r="BH21" i="3" s="1"/>
  <c r="BH22" i="3" l="1"/>
  <c r="BH23" i="3" s="1"/>
  <c r="BH24" i="3" l="1"/>
  <c r="BI23" i="3"/>
  <c r="BJ23" i="3" s="1"/>
  <c r="BK23" i="3" s="1"/>
  <c r="BL23" i="3" s="1"/>
  <c r="BM23" i="3" s="1"/>
  <c r="BN23" i="3" s="1"/>
  <c r="BO23" i="3" s="1"/>
  <c r="BP23" i="3" s="1"/>
  <c r="BQ23" i="3" s="1"/>
  <c r="BR23" i="3" s="1"/>
  <c r="BS23" i="3" s="1"/>
  <c r="BT23" i="3" s="1"/>
  <c r="BU23" i="3" s="1"/>
  <c r="BV23" i="3" s="1"/>
  <c r="BW23" i="3" s="1"/>
  <c r="BX23" i="3" s="1"/>
  <c r="BY23" i="3" s="1"/>
  <c r="BZ23" i="3" s="1"/>
  <c r="CA23" i="3" s="1"/>
  <c r="CB23" i="3" s="1"/>
  <c r="CC23" i="3" s="1"/>
  <c r="CD23" i="3" s="1"/>
  <c r="CE23" i="3" s="1"/>
  <c r="CF23" i="3" s="1"/>
  <c r="CG23" i="3" s="1"/>
  <c r="CH23" i="3" s="1"/>
  <c r="CI23" i="3" s="1"/>
  <c r="CJ23" i="3" s="1"/>
  <c r="CK23" i="3" s="1"/>
  <c r="CL23" i="3" s="1"/>
  <c r="CM23" i="3" s="1"/>
  <c r="CN23" i="3" s="1"/>
  <c r="CO23" i="3" s="1"/>
  <c r="CP23" i="3" s="1"/>
  <c r="BH32" i="3"/>
  <c r="CQ23" i="3" l="1"/>
  <c r="CR23" i="3" s="1"/>
  <c r="CS23" i="3" s="1"/>
  <c r="CT23" i="3" s="1"/>
  <c r="CU23" i="3" s="1"/>
  <c r="CV23" i="3" s="1"/>
  <c r="CW23" i="3" s="1"/>
  <c r="CX23" i="3" s="1"/>
  <c r="CY23" i="3" s="1"/>
  <c r="CZ23" i="3" s="1"/>
  <c r="DA23" i="3" s="1"/>
  <c r="DB23" i="3" s="1"/>
  <c r="DC23" i="3" s="1"/>
  <c r="DD23" i="3" s="1"/>
  <c r="DE23" i="3" s="1"/>
  <c r="DF23" i="3" s="1"/>
  <c r="DG23" i="3" s="1"/>
  <c r="DH23" i="3" s="1"/>
  <c r="DI23" i="3" s="1"/>
  <c r="DJ23" i="3" s="1"/>
  <c r="DK23" i="3" s="1"/>
  <c r="DL23" i="3" s="1"/>
  <c r="DM23" i="3" s="1"/>
  <c r="DN23" i="3" s="1"/>
  <c r="DO23" i="3" s="1"/>
  <c r="DP2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tc={40D7F6D4-94FB-41AD-9B66-6EAA39E6AF95}</author>
    <author>tc={1C045D63-D9FC-44DC-A757-A0BD3F5361CF}</author>
  </authors>
  <commentList>
    <comment ref="AP13" authorId="0" shapeId="0" xr:uid="{40D7F6D4-94FB-41AD-9B66-6EAA39E6AF95}">
      <text>
        <t>[Threaded comment]
Your version of Excel allows you to read this threaded comment; however, any edits to it will get removed if the file is opened in a newer version of Excel. Learn more: https://go.microsoft.com/fwlink/?linkid=870924
Comment:
    Q122: reiterates 8.4-8.6B guidance
Q222: increases to 8.6-8.8B
Q322: increases full year product guidance to 8.8-8.9B</t>
      </text>
    </comment>
    <comment ref="AR13" authorId="1" shapeId="0" xr:uid="{1C045D63-D9FC-44DC-A757-A0BD3F5361CF}">
      <text>
        <t>[Threaded comment]
Your version of Excel allows you to read this threaded comment; however, any edits to it will get removed if the file is opened in a newer version of Excel. Learn more: https://go.microsoft.com/fwlink/?linkid=870924
Comment:
    Q124: Product 10.55-10.75, reiterated from last quarter
Q423: Product 10.55-10.75</t>
      </text>
    </comment>
  </commentList>
</comments>
</file>

<file path=xl/sharedStrings.xml><?xml version="1.0" encoding="utf-8"?>
<sst xmlns="http://schemas.openxmlformats.org/spreadsheetml/2006/main" count="546" uniqueCount="368">
  <si>
    <t>Price</t>
  </si>
  <si>
    <t>Shares</t>
  </si>
  <si>
    <t>MC</t>
  </si>
  <si>
    <t>Cash</t>
  </si>
  <si>
    <t>Debt</t>
  </si>
  <si>
    <t>EV</t>
  </si>
  <si>
    <t>Q122</t>
  </si>
  <si>
    <t>Brand</t>
  </si>
  <si>
    <t>Generic</t>
  </si>
  <si>
    <t>Indication</t>
  </si>
  <si>
    <t>MOA</t>
  </si>
  <si>
    <t>Approval</t>
  </si>
  <si>
    <t>IP</t>
  </si>
  <si>
    <t>Kalydeco</t>
  </si>
  <si>
    <t>ivacaftor</t>
  </si>
  <si>
    <t>Cystic Fibrosis</t>
  </si>
  <si>
    <t>Cystic Fibrosis (G551D)</t>
  </si>
  <si>
    <t>CFTR potentiator</t>
  </si>
  <si>
    <t>Economics</t>
  </si>
  <si>
    <t>Mitsubishi Tanabe in Japan?</t>
  </si>
  <si>
    <t>Main</t>
  </si>
  <si>
    <t>Trikafta</t>
  </si>
  <si>
    <t>Symdeko</t>
  </si>
  <si>
    <t>Orkambi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</si>
  <si>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</si>
  <si>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</si>
  <si>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</si>
  <si>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</si>
  <si>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</si>
  <si>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</si>
  <si>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</si>
  <si>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</si>
  <si>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</si>
  <si>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</si>
  <si>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</si>
  <si>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</si>
  <si>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CTX001</t>
  </si>
  <si>
    <t>Phase</t>
  </si>
  <si>
    <t>CRSP</t>
  </si>
  <si>
    <t>CFF/RPRX</t>
  </si>
  <si>
    <t>VX-147</t>
  </si>
  <si>
    <t>APOL1 FSGS</t>
  </si>
  <si>
    <t>II/III</t>
  </si>
  <si>
    <t>SCD/TDT</t>
  </si>
  <si>
    <t>III</t>
  </si>
  <si>
    <t>MRNA</t>
  </si>
  <si>
    <t>VX-121</t>
  </si>
  <si>
    <t>Pain</t>
  </si>
  <si>
    <t>Nav1.8</t>
  </si>
  <si>
    <t>mRNA</t>
  </si>
  <si>
    <t>CRISPR</t>
  </si>
  <si>
    <t>VX-880</t>
  </si>
  <si>
    <t>T1D</t>
  </si>
  <si>
    <t>cell therapy</t>
  </si>
  <si>
    <t>corrector</t>
  </si>
  <si>
    <t>I</t>
  </si>
  <si>
    <t>DMD</t>
  </si>
  <si>
    <t>COGS</t>
  </si>
  <si>
    <t>Gross Profit</t>
  </si>
  <si>
    <t>SG&amp;A</t>
  </si>
  <si>
    <t>R&amp;D</t>
  </si>
  <si>
    <t>OpEx</t>
  </si>
  <si>
    <t>OpInc</t>
  </si>
  <si>
    <t>Patent</t>
  </si>
  <si>
    <t>Crystalline forms of C.sub.21H.sub.22Cl.sub.2N.sub.4O.sub.2</t>
  </si>
  <si>
    <t>Title</t>
  </si>
  <si>
    <t>Assignee</t>
  </si>
  <si>
    <t>Biomed Valley Discoveries, Inc. (Kansas City, MO); Vertex Pharmaceuticals Incorporated (Boston, MA)</t>
  </si>
  <si>
    <t>Inventors</t>
  </si>
  <si>
    <t>DeCrescenzo; Gary (Parkville, MO), Welsch; Dean (Parkville, MO), Vlahova; Petinka I. (West Lafayette, IN), Boerrigter; Stephan X. M. (West Lafayette, IN), Aronov; Alexander (Newton, MA), Keshavarz-Shokri; Ali (San Diego, CA), Scangas; Alexander N. (Wilmington, MA), Stavropoulos; Kathy (Quincy, MA), Littler; Benjamin (Carlsbad, CA), Kadiyala; Irina Nikolaevna (Newton, MA), Alargova; Rossitza Gueorguieva (Brighton, MA)</t>
  </si>
  <si>
    <t>Importance</t>
  </si>
  <si>
    <t>BVD-523</t>
  </si>
  <si>
    <t>ulixertinib</t>
  </si>
  <si>
    <t>ERK</t>
  </si>
  <si>
    <t>Compounds useful as inhibitors of ATR kinase</t>
  </si>
  <si>
    <t>Filed</t>
  </si>
  <si>
    <t>Issued</t>
  </si>
  <si>
    <t>Vertex</t>
  </si>
  <si>
    <t>Ahmad; Nadia (Didcot, GB), Boyall; Dean (Faringdon, GB), Charrier; Jean-Damien (Wantage, GB), Davis; Chris (Salisbury, GB), Davis; Rebecca (Witney, GB), Durrant; Steven (Abingdon, GB), Etxebarria I Jardi; Gorka (Abingdon, GB), Fraysse; Damien (Abingdon, GB), Jimenez; Juan-Miguel (Abingdon, GB), Kay; David (Purton, GB), Knegtel; Ronald (Abingdon, GB), Middleton; Donald (Sandwich, GB), O'Donnell; Michael (Abingdon, GB), Panesar; Maninder (Didcot, GB), Pierard; Francoise (Abingdon, GB), Pinder; Joanne (Didcot, GB), Shaw; David (Oxford, GB), Storck; Pierre-Henri (Abingdon, GB), Studley; John (Witney, GB), Twin; Heather (Wantage, GB)</t>
  </si>
  <si>
    <t>Notes</t>
  </si>
  <si>
    <t>Outlicensed ERK inhibitor</t>
  </si>
  <si>
    <t>ATR inhibitor</t>
  </si>
  <si>
    <t>Materials and methods for treatment of Duchenne Muscular Dystrophy</t>
  </si>
  <si>
    <t>Kabadi; Ami Meda (Cambridge, MA), Cowan; Chad Albert (Cambridge, MA), Lundberg; Ante Sven (Cambridge, MA)</t>
  </si>
  <si>
    <t>2016?! CRISPR patent</t>
  </si>
  <si>
    <t>Deuterated pyridone amides and prodrugs thereof as modulators of sodium channels</t>
  </si>
  <si>
    <t>Jiang; Licong (San Diego, CA), Hadida Ruah; Sara Sabina (La Jolla, CA)</t>
  </si>
  <si>
    <t>Tanoury; Gerald J. (Marlborough, MA), Nugent; William Aloysius (Manomet, MA), Dvornikovs; Vadims (Lancaster, MA), Rose; Peter Jamison (Littleton, MA)</t>
  </si>
  <si>
    <t>Methods of preparing inhibitors of influenza viruses replication</t>
  </si>
  <si>
    <t>Why still filing on this post sale to JNJ?</t>
  </si>
  <si>
    <t>Solid forms of n-[2,4-bis(1,1-dimethylethyl)-5-hydroxyphenyl]-1,4-dihydro-4-oxoquinoline- -3-carboxamide</t>
  </si>
  <si>
    <t xml:space="preserve">	Hurter; Patricia (Harvard, MA), Rowe; William (Medford, MA), Young; Christopher R. (Waltham, MA), Costache; Adriana (Cambridge, MA), Connelly; Patrick R. (Harvard, MA), Krawiec; Mariusz (Marlborough, MA), Gong; Yuchuan (Waukegan, IL), Feng; Yushi (Zionsville, IN), Trudeau; Martin (Shannon, CA)</t>
  </si>
  <si>
    <t>Molecule</t>
  </si>
  <si>
    <t>N-[2,4-bis(1,1-dimethylethyl)-5-hydroxyphenyl]-1,4-dihydro-4-oxoquinoline-3-carboxamide</t>
  </si>
  <si>
    <t>Materials and methods for treatment of hemoglobinopathies</t>
  </si>
  <si>
    <t>Chakraborty; Tirtha (Cambridge, MA), Mishra; Bibhu Prasad (Wakefield, MA)</t>
  </si>
  <si>
    <t>CRISPR for HbF; where is CRSP?</t>
  </si>
  <si>
    <t>Methods of treatment for cystic fibrosis</t>
  </si>
  <si>
    <t>Chen; Weichao George (San Diego, CA), Haseltine; Eric L. (Melrose, MA), Moskowitz; Samuel (Waban, MA), Robertson; Sarah (Somerville, MA), Waltz; David (Waban, MA)</t>
  </si>
  <si>
    <t>telaprevir</t>
  </si>
  <si>
    <t>HCV</t>
  </si>
  <si>
    <t>Protease Inhibitor</t>
  </si>
  <si>
    <t>Incivek, aka Incivo, aka Telavic</t>
  </si>
  <si>
    <t>Approved</t>
  </si>
  <si>
    <t>VX-222</t>
  </si>
  <si>
    <t>Non-Nucleoside Polymerase Inhibitor</t>
  </si>
  <si>
    <t>II</t>
  </si>
  <si>
    <t>ALS-2158</t>
  </si>
  <si>
    <t>ALS-2200</t>
  </si>
  <si>
    <t>NS5B Polymerase Inhibitor</t>
  </si>
  <si>
    <t>Oncology</t>
  </si>
  <si>
    <t>lumacaftor</t>
  </si>
  <si>
    <t>Orkambi, fka VX-809</t>
  </si>
  <si>
    <t>CFTR corrector</t>
  </si>
  <si>
    <t>lumacaftor/ivacaftor</t>
  </si>
  <si>
    <t>tezacaftor</t>
  </si>
  <si>
    <t>Symdeko, Trikafta, VX-661</t>
  </si>
  <si>
    <t>elexacaftor</t>
  </si>
  <si>
    <t>tezacaftor/ivacaftor</t>
  </si>
  <si>
    <t>elexacaftor/ivacaftor/tezacaftor</t>
  </si>
  <si>
    <t>Regulatory</t>
  </si>
  <si>
    <t>Interest</t>
  </si>
  <si>
    <t>Pretax</t>
  </si>
  <si>
    <t>Taxes</t>
  </si>
  <si>
    <t>Net Income</t>
  </si>
  <si>
    <t>EPS</t>
  </si>
  <si>
    <t>VERV</t>
  </si>
  <si>
    <t>Liver Disease</t>
  </si>
  <si>
    <t>7/20/22: Verve collaboration for liver disease. $25m upfront.</t>
  </si>
  <si>
    <t>7/18/22: Q2 earnings date.</t>
  </si>
  <si>
    <t>7/11/22: To acquire Viacyte for $320m.</t>
  </si>
  <si>
    <t>Type 1 Diabetes</t>
  </si>
  <si>
    <t>stem cell-derived, fully differentiated pancreatic islet cell replacement therapy</t>
  </si>
  <si>
    <t>Administration</t>
  </si>
  <si>
    <t>infusion into hepatic portal vein with immunosuppression</t>
  </si>
  <si>
    <t>Clinical Trials</t>
  </si>
  <si>
    <t>Phase I/II n=17 single-arm, open-label</t>
  </si>
  <si>
    <t>Part B n=5</t>
  </si>
  <si>
    <t>Part C n=10</t>
  </si>
  <si>
    <t>7/5/22: VX-880 clinical hold lifted.</t>
  </si>
  <si>
    <t>6/11/22: EHA Congress CTX001 data</t>
  </si>
  <si>
    <t>exa-cel, exagamglogene autotemcel</t>
  </si>
  <si>
    <t>beta-thalassemia, sickle cell disease</t>
  </si>
  <si>
    <t>myeloablative conditioning followed by autologous SCT</t>
  </si>
  <si>
    <t xml:space="preserve">    2/44 had -75% and -98% reductions in transfusion volume</t>
  </si>
  <si>
    <t xml:space="preserve">  Increases in HbF, mean Hb &gt;11g/dL by month 3</t>
  </si>
  <si>
    <t xml:space="preserve">  31/31 SCD free from VOCs from 2.0-32.3mo follow-up</t>
  </si>
  <si>
    <t xml:space="preserve">  42/44 TDT transfusion-free, 1.2-37.2mo follow-up</t>
  </si>
  <si>
    <t xml:space="preserve">    two unrelated SAEs</t>
  </si>
  <si>
    <t>CMO: Carmen Bozic</t>
  </si>
  <si>
    <t>EHA2022 update n=44 TDT, n=31 SCD #LB2367</t>
  </si>
  <si>
    <t>Phase I "CLIMB-131" long-term follow-up</t>
  </si>
  <si>
    <t>Phase I/III "CLIMB-121"</t>
  </si>
  <si>
    <t>Phase I/III "CLIMB-111"</t>
  </si>
  <si>
    <t>Phase III component fully enrolled</t>
  </si>
  <si>
    <t>Phase III "CLIMB-141" n=12 pediatric TDT</t>
  </si>
  <si>
    <t>Phase III "CLIMB-151" n=12 pediatric SCD</t>
  </si>
  <si>
    <t>6/10/22: EU CF Conference presentation for Trikafta</t>
  </si>
  <si>
    <t>83,000 CF WW</t>
  </si>
  <si>
    <t>elexacaftor, tezacaftor, ivacaftor</t>
  </si>
  <si>
    <t>6/8/22: investor conference</t>
  </si>
  <si>
    <t>inaxaplin</t>
  </si>
  <si>
    <t>6/8/22: inaxaplin FTD &amp; PRIME designation</t>
  </si>
  <si>
    <t>APOL1-mediated kidney disease, 100k patients US+EU</t>
  </si>
  <si>
    <t>Founded: 1989</t>
  </si>
  <si>
    <t>exagamglogene autotemcel</t>
  </si>
  <si>
    <t>6/6/22: VX-880 data at ADA</t>
  </si>
  <si>
    <t>Part A n=2 half dose</t>
  </si>
  <si>
    <t xml:space="preserve">  P2 35.9% time-in-range to 51.9% with -30% insulin use at day 150</t>
  </si>
  <si>
    <t xml:space="preserve">  P1 40.1% time-in-range to 99.9% with insulin independence at day 270</t>
  </si>
  <si>
    <t>Cell &amp; Genetic Therapies: Bastiano Sanna</t>
  </si>
  <si>
    <t>cell therapy+device</t>
  </si>
  <si>
    <t>6/2/22: CTX001 latebreaker accepted at EHA</t>
  </si>
  <si>
    <t>https://library.ehaweb.org/eha/#!*menu=16*browseby=9*sortby=1*trend=4016</t>
  </si>
  <si>
    <t>5/31/22: VX-880 data to be presented at ADA</t>
  </si>
  <si>
    <t>5/18/22: BOD addition</t>
  </si>
  <si>
    <t>5/17/22: Headquarters expansion</t>
  </si>
  <si>
    <t>5/17/22: Health equity donations</t>
  </si>
  <si>
    <t>5/5/22: Q1 results</t>
  </si>
  <si>
    <t>Gross Margin</t>
  </si>
  <si>
    <t>CEO: Reshma Kewalramani</t>
  </si>
  <si>
    <t>Expanded in children 6-11 years old 6/21</t>
  </si>
  <si>
    <t>Tax Rate</t>
  </si>
  <si>
    <t>Canada</t>
  </si>
  <si>
    <t>MA granted for 6-11yo</t>
  </si>
  <si>
    <t>Australia</t>
  </si>
  <si>
    <t>signed reimbursement agreement with PBS</t>
  </si>
  <si>
    <t>Phase III 2-5yo</t>
  </si>
  <si>
    <t>sNDA by YE22</t>
  </si>
  <si>
    <t>Filed sNDA for 12-24 months old</t>
  </si>
  <si>
    <t>EMA</t>
  </si>
  <si>
    <t>6-11yo label approved</t>
  </si>
  <si>
    <t>UK</t>
  </si>
  <si>
    <t>Reimbursed</t>
  </si>
  <si>
    <t>25 countries approved/reimbursed as of Q122.</t>
  </si>
  <si>
    <t>Phase III "SKYLINE 102"</t>
  </si>
  <si>
    <t>Phase III "SKYLINE 103"</t>
  </si>
  <si>
    <t>VX-121/tezacaftor/VX-561 vs. Trikafta</t>
  </si>
  <si>
    <t>VX-561</t>
  </si>
  <si>
    <t>deutivacaftor</t>
  </si>
  <si>
    <t>deuterated ivacaftor</t>
  </si>
  <si>
    <t>non-viral ex vivo transfection</t>
  </si>
  <si>
    <t>plans submissions in late 2022</t>
  </si>
  <si>
    <t>APOL1 inhibitor</t>
  </si>
  <si>
    <t>Sulfonamides as modulators of sodium channels</t>
  </si>
  <si>
    <t>Hadida-Ruah; Sara Sabina (LaJolla, CA), Anderson; Corey (San Diego, CA), Termin; Andreas P. (Encinitas, CA), Bear; Brian Richard (Carlsbad, CA), Arumugam; Vijayalaksmi (San Marcos, CA), Krenitsky; Paul (San Diego, CA), Johnson; James Philip (San Diego, CA)</t>
  </si>
  <si>
    <t>Modulator of cystic fibrosis transmembrane conductance regulator, pharmaceutical compositions, methods of treatment, and process for making the modulator</t>
  </si>
  <si>
    <t>Alcacio; Timothy (San Diego, CA), Baek; Minson (San Diego, CA), Grootenhuis; Peter (Del Mar, CA), Hadida Ruah; Sara Sabina (La Jolla, CA), Hughes; Robert M. (San Diego, CA), Keshavarz-Shokri; Ali (San Diego, CA), McAuley-Aoki; Rachel (San Diego, CA), McCartney; Jason (Cardiff by the Sea, CA), Miller; Mark Thomas (San Diego, CA), Van Goor; Fredrick (San Diego, CA), Zhang; Beili (San Diego, CA), Anderson; Corey (San Diego, CA), Cleveland; Thomas (San Marcos, CA), Frieman; Bryan A. (La Jolla, CA), Khatuya; Haripada (San Diego, CA), Joshi; Pramod Virupax (San Diego, CA), Krenitsky; Paul John (San Diego, CA), Melillo; Vito (Escondido, CA), Pierre; Fabrice Jean Denis (La Jolla, CA), Termin; Andreas P. (Encinitas, CA), Uy; Johnny (San Diego, CA), Zhou; Jinglan (San Diego, CA), Abela; Alexander Russell (San Diego, CA), Busch; Brett Bradley (San Diego, CA), Paraselli; Prasuna (San Diego, CA)</t>
  </si>
  <si>
    <t>CFTR</t>
  </si>
  <si>
    <t>Method for treating cancer using a combination of Chk1 and ATR inhibitors</t>
  </si>
  <si>
    <t>Helleday; Thomas (Stockholm, SE), Sanjiv; Kumar (Stockholm, SE)</t>
  </si>
  <si>
    <t>ATR/Chk1 MOU</t>
  </si>
  <si>
    <t>Pharmaceutical compositions for treating cystic fibrosis</t>
  </si>
  <si>
    <t xml:space="preserve">	Chu; Cathy (Cambridge, MA), Dhamankar; Varsha (Watertown, MA), Dokou; Eleni (Cambridge, MA), Haseltine; Eric L. (Melrose, MA), Moskowitz; Samuel (Waban, MA), Robertson; Sarah (Somerville, MA), Waltz; David (Waban, MA), Chen; Weichao George (San Diego, CA)</t>
  </si>
  <si>
    <t>Formulation</t>
  </si>
  <si>
    <t>Crystalline forms and compositions of CFTR modulators</t>
  </si>
  <si>
    <t>Dhamankar; Varsha (Watertown, MA), Dinehart; Kirk Raymond (Holliston, MA), Dokou; Eleni (Newton, MA), Ferris; Lori Ann (Wilmington, MA), Gopinathan; Nishanth (Lynnfield, MA), McCarty; Katie (Watertown, MA), Metzler; Catherine (Medford, MA), Zhang; Beili (San Diego, CA), Moskowitz; Samuel (Waban, MA), Robertson; Sarah (Somerville, MA), Waltz; David (Waban, MA), Haseltine; Eric L. (Melrose, MA), Chen; Weichao George (San Diego, CA)</t>
  </si>
  <si>
    <t>Crystal</t>
  </si>
  <si>
    <t>Pharmaceutical composition and administrations thereof</t>
  </si>
  <si>
    <t>Dokou; Eleni (Cambridge, MA), Jamzad; Shahla (Belmont, MA), Caesar, Jr.; John P. (Lancaster, MA), Fawaz; Majed (Foxboro, MA), Das; Laura (Charlestown, MA), Gu; Chong-Hui (Waban, MA), Hurter; Patricia Nell (Harvard, MA), Israni; Meghna Jai (Boston, MA), Johnston; Meghan M. (Wakefield, MA), Knezic; Dragutin (Watertown, MA), Kuzmission; Andrew G. (Shrewsbury, MA), Wang; Hongren (Lexington, MA)</t>
  </si>
  <si>
    <t>Methods, compositions and kits for increasing genome editing efficiency</t>
  </si>
  <si>
    <t>Abdul-Manan; Norzehan (Boston, MA), Newsome; David A. (Boston, MA), Zwahlen; Jacque (Boston, MA)</t>
  </si>
  <si>
    <t>DNAPK inhibitor to increase CRISPR efficiency</t>
  </si>
  <si>
    <t>Method for treating cancer using a combination of DNA-damaging agents and DNA-PK inhibitors</t>
  </si>
  <si>
    <t>Boucher; Diane M. (Boston, MA), Hillier; Shawn M. (Boston, MA), Tsai; Wanjung (Boston, MA), Hare; Brian (Boston, MA), Markland; William (Boston, MA), Newsome; David A. (Boston, MA), Penney; Marina S. (Boston, MA)</t>
  </si>
  <si>
    <t>Compounds useful as inhibitors of ATR kinase and combination therapies thereof</t>
  </si>
  <si>
    <t>Pollard; John Robert (Abingdon, GB), Reaper; Philip Michael (Abingdon, GB), Asmal; Mohammed (Newton, MA)</t>
  </si>
  <si>
    <t>Modulators of ATP-binding cassette transporters</t>
  </si>
  <si>
    <t>Hadida Ruah; Sara S. (La Jolla, CA), Hamilton; Matthew M. (Hackettstown, NJ), Miller; Mark (San Diego, CA), Grootenhuis; Peter D. J. (San Diego, CA)</t>
  </si>
  <si>
    <t xml:space="preserve">	Clemens; Jeremy J. (San Diego, CA), Abela; Alexander Russell (Escondido, CA), Anderson; Corey Don (San Diego, CA), Busch; Brett B. (San Diego, CA), Chen; Weichao George (San Diego, CA), Cleveland; Thomas (San Marcos, CA), Coon; Timothy Richard (Carlsbad, CA), Frieman; Bryan (La Jolla, CA), Ghirmai; Senait G. (San Diego, CA), Grootenhuis; Peter (Del Mar, CA), Gulevich; Anton V. (San Diego, CA), Hadida Ruah; Sara Sabina (La Jolla, CA), Hsia; Clara Kuang-Ju (San Diego, CA), Kang; Ping (San Diego, CA), Khatuya; Haripada (San Diego, CA), McCartney; Jason (Cardiff by the Sea, CA), Miller; Mark Thomas (San Diego, CA), Paraselli; Prasuna (San Diego, CA), Pierre; Fabrice (La Jolla, CA), Swift; Sara E. (San Diego, CA), Termin; Andreas (Encinitas, CA), Uy; Johnny (San Diego, CA), Vogel; Carl V. (Carlsbad, CA), Zhou; Jinglan (San Diego, CA)</t>
  </si>
  <si>
    <t>Modulators of cystic fibrosis transmembrane conductance regulator, pharmaceutical compositions, methods of treatment, and process for making the modulators</t>
  </si>
  <si>
    <t>Pteridinone compounds and uses thereof</t>
  </si>
  <si>
    <t xml:space="preserve">	Lauffer; David J. (Stow, MA), Bemis; Guy (Boston, MA), Boyd; Michael (Boston, MA), Deininger; David (Boston, MA), Deng; Hongbo (Southborough, MA), Dorsch; Warren (Boston, MA), Gu; Wenxin (Concord, MA), Hoover; Russell R. (Harvard, MA), Johnson, Jr.; Mac Arthur (Derry, NH), Ledeboer; Mark Willem (Boston, MA), Ledford; Brian (Boston, MA), Maltais; Francois (Boston, MA), Penney; Marina (Acton, MA), Takemoto; Darin (Belmont, MA), Waal; Nathan D. (Cambridge, MA), Wang; Tiansheng (Concord, MA), Li; Pan (Lexington, MA)</t>
  </si>
  <si>
    <t>WFS1 inhibitor</t>
  </si>
  <si>
    <t>Pharmaceutical compositions of 3-(6-(1-(2,2-difluorobenzo[d][1,3]dioxol-5-yl) cyclopropanecarboxamido)-3-methylpyridin-2-yl) benzoic acid and administration thereof</t>
  </si>
  <si>
    <t>Verwijs; Marinus Jacobus (Framingham, MA), Alargova; Rossitza Gueorguieva (Brighton, MA), Kaushik; Ritu Rohit (Long Island City, NY), Kadiyala; Irina Nikolaevna (Newton, MA), Young; Christopher (Waltham, MA)</t>
  </si>
  <si>
    <t>Phase II/III n=400 proteinuric kidney disease with two APOL1 mutations</t>
  </si>
  <si>
    <t>PE of Phase III portion is 2 year eGFR slope</t>
  </si>
  <si>
    <t>4/21/22: Q1 results day.</t>
  </si>
  <si>
    <t>4/20/22: Health Canada Trikafta approval for 6-11yo</t>
  </si>
  <si>
    <t>Dosing</t>
  </si>
  <si>
    <t>Placebo</t>
  </si>
  <si>
    <t>SPID48 change from baseline</t>
  </si>
  <si>
    <t>100mg first dose/50mg q12h</t>
  </si>
  <si>
    <t>Loading dose with q12h thereafter</t>
  </si>
  <si>
    <t>60mg first dose/30mg q12h</t>
  </si>
  <si>
    <t>20mg first dose/10mg q12h</t>
  </si>
  <si>
    <t>hydrocodone</t>
  </si>
  <si>
    <t>p=0.0251</t>
  </si>
  <si>
    <t>p=NS</t>
  </si>
  <si>
    <t>Phase II n=303 dose-ranging abdominoplasty</t>
  </si>
  <si>
    <t>Phase II n=274 dose-ranging bunionectomy</t>
  </si>
  <si>
    <t>p=0.0097</t>
  </si>
  <si>
    <t>3/31/22: VX-548 Phase II data</t>
  </si>
  <si>
    <t>3/26/22: Australia Trikafta reimbursement agreement</t>
  </si>
  <si>
    <t>3/22/22: VX-147 Phase II/III initiation</t>
  </si>
  <si>
    <t>3/1/22: investor conference</t>
  </si>
  <si>
    <t>1/26/22: Q421 results</t>
  </si>
  <si>
    <t>VX-150</t>
  </si>
  <si>
    <t>Discontinued?</t>
  </si>
  <si>
    <t>Assets</t>
  </si>
  <si>
    <t>AR</t>
  </si>
  <si>
    <t>Inventory</t>
  </si>
  <si>
    <t>Prepaids</t>
  </si>
  <si>
    <t>PP&amp;E</t>
  </si>
  <si>
    <t>Goodwill</t>
  </si>
  <si>
    <t>Leases</t>
  </si>
  <si>
    <t>Other</t>
  </si>
  <si>
    <t>AP</t>
  </si>
  <si>
    <t>AE</t>
  </si>
  <si>
    <t>OCL</t>
  </si>
  <si>
    <t>CoCo</t>
  </si>
  <si>
    <t>LTL</t>
  </si>
  <si>
    <t>L+SE</t>
  </si>
  <si>
    <t>SE</t>
  </si>
  <si>
    <t>Model NI</t>
  </si>
  <si>
    <t>Reported NI</t>
  </si>
  <si>
    <t>SBC</t>
  </si>
  <si>
    <t>Depreciation</t>
  </si>
  <si>
    <t>Equity</t>
  </si>
  <si>
    <t>NonCash</t>
  </si>
  <si>
    <t>WC</t>
  </si>
  <si>
    <t>CapEx</t>
  </si>
  <si>
    <t>Investments</t>
  </si>
  <si>
    <t>CFFI</t>
  </si>
  <si>
    <t>CFFO</t>
  </si>
  <si>
    <t>CIC</t>
  </si>
  <si>
    <t>FX</t>
  </si>
  <si>
    <t>CFFF</t>
  </si>
  <si>
    <t>ESOP issuance</t>
  </si>
  <si>
    <t>ESOP tax</t>
  </si>
  <si>
    <t>SG&amp;A %</t>
  </si>
  <si>
    <t>ROIC</t>
  </si>
  <si>
    <t>Discount</t>
  </si>
  <si>
    <t>NPV</t>
  </si>
  <si>
    <t>Terminal</t>
  </si>
  <si>
    <t>Share</t>
  </si>
  <si>
    <t>Q123</t>
  </si>
  <si>
    <t>Q223</t>
  </si>
  <si>
    <t>Q323</t>
  </si>
  <si>
    <t>Q423</t>
  </si>
  <si>
    <t>Revenue y/y</t>
  </si>
  <si>
    <t>VX-634</t>
  </si>
  <si>
    <t>AATD</t>
  </si>
  <si>
    <t>IND clearance PR 10/11/2022</t>
  </si>
  <si>
    <t>VX-864</t>
  </si>
  <si>
    <t>CSO: David Altshuler</t>
  </si>
  <si>
    <t>Alpha-1 antitrypsin deficiency. SERPINA1 gene mutations.</t>
  </si>
  <si>
    <t>10/11/22: VX-634 IND approved.</t>
  </si>
  <si>
    <t>Q119</t>
  </si>
  <si>
    <t>Q219</t>
  </si>
  <si>
    <t>Q319</t>
  </si>
  <si>
    <t>Q419</t>
  </si>
  <si>
    <t>Q418</t>
  </si>
  <si>
    <t>Q318</t>
  </si>
  <si>
    <t>VX-522</t>
  </si>
  <si>
    <t>vanzacaftor/tezacaftor/deutivacaftor</t>
  </si>
  <si>
    <t>Phase III bunionectomy or abdominoplasty n=2000</t>
  </si>
  <si>
    <t>IND-enabling, IND in 2023</t>
  </si>
  <si>
    <t>Q124</t>
  </si>
  <si>
    <t>Q224</t>
  </si>
  <si>
    <t>Q324</t>
  </si>
  <si>
    <t>Q424</t>
  </si>
  <si>
    <t>Other CF</t>
  </si>
  <si>
    <t>vanzacaftor</t>
  </si>
  <si>
    <t>suzetrigine</t>
  </si>
  <si>
    <t>Alpine acquisition.</t>
  </si>
  <si>
    <t>Casgevy, fka CTX001</t>
  </si>
  <si>
    <t>Casgevy</t>
  </si>
  <si>
    <t>Phase III RIDGELINE</t>
  </si>
  <si>
    <t>nebulized</t>
  </si>
  <si>
    <t>Nebulized</t>
  </si>
  <si>
    <t>Phase I/II</t>
  </si>
  <si>
    <t>MAD portion - results late 2024-early 2025</t>
  </si>
  <si>
    <t>VX-993</t>
  </si>
  <si>
    <t>Phase III DPN - initiate in 2H24</t>
  </si>
  <si>
    <t>Phase II LSR (painful lumbosacral radiculopathy)</t>
  </si>
  <si>
    <t>interim analysis at 1 year - advanced into Phase III portion after IDMC unblinded review</t>
  </si>
  <si>
    <t>Study was halted -- why?</t>
  </si>
  <si>
    <t>Dosing has resumed</t>
  </si>
  <si>
    <t>VX-264</t>
  </si>
  <si>
    <t>DM1</t>
  </si>
  <si>
    <t>VX-670</t>
  </si>
  <si>
    <t>Entrada</t>
  </si>
  <si>
    <t>ADPKD</t>
  </si>
  <si>
    <t>VX-407</t>
  </si>
  <si>
    <t>Phase III moderate-to-severe acute pain</t>
  </si>
  <si>
    <t>NPRS time-weighted sum 48 hours primary endpoint</t>
  </si>
  <si>
    <t>VX-548 vs. placebo: 48.4, p&lt;0.0001 and 29.3 in study 2?, p=0.0002.</t>
  </si>
  <si>
    <t>Safety</t>
  </si>
  <si>
    <t>80k opioid deaths in the US in 2023</t>
  </si>
  <si>
    <t>Buybacks</t>
  </si>
  <si>
    <t>Employees</t>
  </si>
  <si>
    <t>476</t>
  </si>
  <si>
    <t>326</t>
  </si>
  <si>
    <t>123</t>
  </si>
  <si>
    <t>ViaCyte</t>
  </si>
  <si>
    <t>8/7/24: Casgevy reimbursement for TDBT in England.</t>
  </si>
  <si>
    <t>Reimbursement</t>
  </si>
  <si>
    <t>England TDBT approved 8/7/24.</t>
  </si>
  <si>
    <t>MHRA approval 11/15/23.</t>
  </si>
  <si>
    <t>International: Ludovic Fenaux</t>
  </si>
  <si>
    <t>Q125</t>
  </si>
  <si>
    <t>Q225</t>
  </si>
  <si>
    <t>Q325</t>
  </si>
  <si>
    <t>Q425</t>
  </si>
  <si>
    <t>Journavx</t>
  </si>
  <si>
    <t>Journavx, fka VX-548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</si>
</sst>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name val="Arial"/>
      <family val="2"/>
    </font>
    <font>
      <b/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14" fontId="0" fillId="0" borderId="0" xfId="0" applyNumberFormat="1"/>
    <xf numFmtId="0" fontId="2" fillId="0" borderId="4" xfId="1" applyBorder="1"/>
    <xf numFmtId="0" fontId="3" fillId="0" borderId="0" xfId="0" applyFont="1"/>
    <xf numFmtId="0" fontId="4" fillId="0" borderId="0" xfId="0" applyFont="1"/>
    <xf numFmtId="9" fontId="0" fillId="0" borderId="0" xfId="0" applyNumberFormat="1" applyAlignment="1">
      <alignment horizontal="right"/>
    </xf>
    <xf numFmtId="0" fontId="5" fillId="0" borderId="4" xfId="1" applyFont="1" applyBorder="1"/>
    <xf numFmtId="4" fontId="0" fillId="0" borderId="0" xfId="0" applyNumberFormat="1" applyAlignment="1">
      <alignment horizontal="right"/>
    </xf>
    <xf numFmtId="164" fontId="0" fillId="0" borderId="0" xfId="0" applyNumberFormat="1"/>
    <xf numFmtId="9" fontId="0" fillId="0" borderId="0" xfId="0" applyNumberForma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6" xfId="1" applyBorder="1"/>
    <xf numFmtId="0" fontId="6" fillId="0" borderId="4" xfId="1" applyFont="1" applyBorder="1"/>
    <xf numFmtId="3" fontId="0" fillId="0" borderId="0" xfId="0" quotePrefix="1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1A487D97-2DDB-40D2-9372-F4A400794B2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36378</xdr:colOff>
      <xdr:row>0</xdr:row>
      <xdr:rowOff>0</xdr:rowOff>
    </xdr:from>
    <xdr:to>
      <xdr:col>28</xdr:col>
      <xdr:colOff>36378</xdr:colOff>
      <xdr:row>85</xdr:row>
      <xdr:rowOff>140368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6B9F702-024A-69B4-71E0-99C142A871D1}"/>
            </a:ext>
          </a:extLst>
        </xdr:cNvPr>
        <xdr:cNvCxnSpPr/>
      </xdr:nvCxnSpPr>
      <xdr:spPr>
        <a:xfrm>
          <a:off x="18074757" y="0"/>
          <a:ext cx="0" cy="13558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610101</xdr:colOff>
      <xdr:row>0</xdr:row>
      <xdr:rowOff>43113</xdr:rowOff>
    </xdr:from>
    <xdr:to>
      <xdr:col>42</xdr:col>
      <xdr:colOff>610101</xdr:colOff>
      <xdr:row>55</xdr:row>
      <xdr:rowOff>14538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715D485-C164-4435-B335-635A75EE85AD}"/>
            </a:ext>
          </a:extLst>
        </xdr:cNvPr>
        <xdr:cNvCxnSpPr/>
      </xdr:nvCxnSpPr>
      <xdr:spPr>
        <a:xfrm>
          <a:off x="23525246" y="43113"/>
          <a:ext cx="0" cy="87945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2</xdr:row>
      <xdr:rowOff>89557</xdr:rowOff>
    </xdr:from>
    <xdr:to>
      <xdr:col>14</xdr:col>
      <xdr:colOff>385978</xdr:colOff>
      <xdr:row>14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E766E0-1608-88C4-7544-D8DAFEE9A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2575" y="413407"/>
          <a:ext cx="3281578" cy="1986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504825</xdr:colOff>
      <xdr:row>16</xdr:row>
      <xdr:rowOff>9525</xdr:rowOff>
    </xdr:from>
    <xdr:to>
      <xdr:col>14</xdr:col>
      <xdr:colOff>314325</xdr:colOff>
      <xdr:row>33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FD0ACF-84D1-38F1-A6FE-CFB3F027B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2600325"/>
          <a:ext cx="285750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608093</xdr:colOff>
      <xdr:row>5</xdr:row>
      <xdr:rowOff>14653</xdr:rowOff>
    </xdr:from>
    <xdr:to>
      <xdr:col>15</xdr:col>
      <xdr:colOff>571497</xdr:colOff>
      <xdr:row>24</xdr:row>
      <xdr:rowOff>116498</xdr:rowOff>
    </xdr:to>
    <xdr:pic>
      <xdr:nvPicPr>
        <xdr:cNvPr id="2" name="Picture 1" descr="undefined">
          <a:extLst>
            <a:ext uri="{FF2B5EF4-FFF2-40B4-BE49-F238E27FC236}">
              <a16:creationId xmlns:a16="http://schemas.microsoft.com/office/drawing/2014/main" id="{2BE4B835-17E9-AA59-F3FD-C7002BFE9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1497" y="820615"/>
          <a:ext cx="4828481" cy="31644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542925</xdr:colOff>
      <xdr:row>2</xdr:row>
      <xdr:rowOff>28575</xdr:rowOff>
    </xdr:from>
    <xdr:to>
      <xdr:col>13</xdr:col>
      <xdr:colOff>228600</xdr:colOff>
      <xdr:row>15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16C147-C2F0-EB15-8AD2-BF04A110D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52425"/>
          <a:ext cx="2124075" cy="2124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B8BFC03-2370-4716-A729-D8FACAD01755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P13" dT="2022-07-21T11:22:03.36" personId="{FB8BFC03-2370-4716-A729-D8FACAD01755}" id="{40D7F6D4-94FB-41AD-9B66-6EAA39E6AF95}">
    <text>Q122: reiterates 8.4-8.6B guidance
Q222: increases to 8.6-8.8B
Q322: increases full year product guidance to 8.8-8.9B</text>
  </threadedComment>
  <threadedComment ref="AR13" dT="2024-05-23T16:04:58.44" personId="{FB8BFC03-2370-4716-A729-D8FACAD01755}" id="{1C045D63-D9FC-44DC-A757-A0BD3F5361CF}">
    <text>Q124: Product 10.55-10.75, reiterated from last quarter
Q423: Product 10.55-10.75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library.ehaweb.org/eh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14A94-C7D9-4203-913D-E82693A2B152}">
  <dimension ref="B2:N47"/>
  <sheetViews>
    <sheetView tabSelected="1" zoomScale="130" zoomScaleNormal="130" workbookViewId="0"/>
  </sheetViews>
  <sheetFormatPr defaultColWidth="8.81640625" defaultRowHeight="12.5" x14ac:dyDescent="0.25"/>
  <cols>
    <col min="1" max="1" width="4" customWidth="1"/>
    <col min="2" max="2" width="11.26953125" customWidth="1"/>
    <col min="3" max="3" width="27.453125" customWidth="1"/>
    <col min="4" max="4" width="22.453125" customWidth="1"/>
    <col min="5" max="5" width="16.453125" customWidth="1"/>
    <col min="8" max="8" width="11.453125" customWidth="1"/>
    <col min="9" max="9" width="4.1796875" customWidth="1"/>
    <col min="11" max="11" width="4.453125" customWidth="1"/>
  </cols>
  <sheetData>
    <row r="2" spans="2:14" x14ac:dyDescent="0.25">
      <c r="B2" s="4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6" t="s">
        <v>18</v>
      </c>
      <c r="L2" t="s">
        <v>0</v>
      </c>
      <c r="M2" s="1">
        <v>482</v>
      </c>
    </row>
    <row r="3" spans="2:14" x14ac:dyDescent="0.25">
      <c r="B3" s="16" t="s">
        <v>21</v>
      </c>
      <c r="C3" t="s">
        <v>119</v>
      </c>
      <c r="D3" t="s">
        <v>15</v>
      </c>
      <c r="H3" s="8" t="s">
        <v>39</v>
      </c>
      <c r="L3" t="s">
        <v>1</v>
      </c>
      <c r="M3" s="2">
        <v>256.78986900000001</v>
      </c>
      <c r="N3" s="3" t="s">
        <v>322</v>
      </c>
    </row>
    <row r="4" spans="2:14" x14ac:dyDescent="0.25">
      <c r="B4" s="16" t="s">
        <v>22</v>
      </c>
      <c r="C4" t="s">
        <v>118</v>
      </c>
      <c r="D4" t="s">
        <v>15</v>
      </c>
      <c r="H4" s="8" t="s">
        <v>39</v>
      </c>
      <c r="L4" t="s">
        <v>2</v>
      </c>
      <c r="M4" s="2">
        <f>+M3*M2</f>
        <v>123772.716858</v>
      </c>
      <c r="N4" s="3"/>
    </row>
    <row r="5" spans="2:14" x14ac:dyDescent="0.25">
      <c r="B5" s="16" t="s">
        <v>23</v>
      </c>
      <c r="C5" t="s">
        <v>114</v>
      </c>
      <c r="D5" t="s">
        <v>15</v>
      </c>
      <c r="E5" t="s">
        <v>113</v>
      </c>
      <c r="H5" s="8" t="s">
        <v>39</v>
      </c>
      <c r="L5" t="s">
        <v>3</v>
      </c>
      <c r="M5" s="2">
        <f>4580.1+1215.4+4393.1</f>
        <v>10188.6</v>
      </c>
      <c r="N5" s="3" t="s">
        <v>320</v>
      </c>
    </row>
    <row r="6" spans="2:14" x14ac:dyDescent="0.25">
      <c r="B6" s="16" t="s">
        <v>13</v>
      </c>
      <c r="C6" t="s">
        <v>14</v>
      </c>
      <c r="D6" t="s">
        <v>16</v>
      </c>
      <c r="E6" t="s">
        <v>17</v>
      </c>
      <c r="H6" s="8" t="s">
        <v>19</v>
      </c>
      <c r="L6" t="s">
        <v>4</v>
      </c>
      <c r="M6" s="2">
        <v>0</v>
      </c>
      <c r="N6" s="3" t="s">
        <v>320</v>
      </c>
    </row>
    <row r="7" spans="2:14" x14ac:dyDescent="0.25">
      <c r="B7" s="16" t="s">
        <v>328</v>
      </c>
      <c r="C7" t="s">
        <v>165</v>
      </c>
      <c r="D7" t="s">
        <v>43</v>
      </c>
      <c r="E7" t="s">
        <v>50</v>
      </c>
      <c r="F7" t="s">
        <v>75</v>
      </c>
      <c r="H7" s="8" t="s">
        <v>38</v>
      </c>
      <c r="L7" t="s">
        <v>5</v>
      </c>
      <c r="M7" s="2">
        <f>+M4-M5+M6</f>
        <v>113584.11685799999</v>
      </c>
      <c r="N7" s="3"/>
    </row>
    <row r="8" spans="2:14" ht="13" x14ac:dyDescent="0.3">
      <c r="B8" s="28" t="s">
        <v>366</v>
      </c>
      <c r="C8" t="s">
        <v>325</v>
      </c>
      <c r="D8" s="26" t="s">
        <v>47</v>
      </c>
      <c r="E8" s="26" t="s">
        <v>48</v>
      </c>
      <c r="F8" s="26"/>
      <c r="H8" s="8"/>
    </row>
    <row r="9" spans="2:14" x14ac:dyDescent="0.25">
      <c r="B9" s="4"/>
      <c r="C9" s="5"/>
      <c r="D9" s="5"/>
      <c r="E9" s="5"/>
      <c r="F9" s="5" t="s">
        <v>37</v>
      </c>
      <c r="G9" s="5"/>
      <c r="H9" s="6"/>
    </row>
    <row r="10" spans="2:14" x14ac:dyDescent="0.25">
      <c r="B10" s="16" t="s">
        <v>46</v>
      </c>
      <c r="C10" t="s">
        <v>316</v>
      </c>
      <c r="D10" t="s">
        <v>15</v>
      </c>
      <c r="F10" t="s">
        <v>75</v>
      </c>
      <c r="H10" s="8"/>
    </row>
    <row r="11" spans="2:14" x14ac:dyDescent="0.25">
      <c r="B11" s="16" t="s">
        <v>40</v>
      </c>
      <c r="C11" t="s">
        <v>161</v>
      </c>
      <c r="D11" t="s">
        <v>41</v>
      </c>
      <c r="F11" t="s">
        <v>42</v>
      </c>
      <c r="H11" s="8"/>
      <c r="J11" t="s">
        <v>164</v>
      </c>
    </row>
    <row r="12" spans="2:14" x14ac:dyDescent="0.25">
      <c r="B12" s="16" t="s">
        <v>51</v>
      </c>
      <c r="D12" t="s">
        <v>52</v>
      </c>
      <c r="E12" t="s">
        <v>53</v>
      </c>
      <c r="F12" t="s">
        <v>55</v>
      </c>
      <c r="H12" s="8"/>
      <c r="J12" t="s">
        <v>149</v>
      </c>
    </row>
    <row r="13" spans="2:14" x14ac:dyDescent="0.25">
      <c r="B13" s="20" t="s">
        <v>198</v>
      </c>
      <c r="C13" t="s">
        <v>199</v>
      </c>
      <c r="D13" t="s">
        <v>15</v>
      </c>
      <c r="E13" t="s">
        <v>200</v>
      </c>
      <c r="F13" t="s">
        <v>44</v>
      </c>
      <c r="H13" s="8"/>
      <c r="J13" t="s">
        <v>306</v>
      </c>
    </row>
    <row r="14" spans="2:14" x14ac:dyDescent="0.25">
      <c r="B14" s="7" t="s">
        <v>315</v>
      </c>
      <c r="C14" t="s">
        <v>330</v>
      </c>
      <c r="D14" t="s">
        <v>15</v>
      </c>
      <c r="E14" t="s">
        <v>49</v>
      </c>
      <c r="F14" t="s">
        <v>55</v>
      </c>
      <c r="H14" s="8" t="s">
        <v>45</v>
      </c>
      <c r="J14" t="s">
        <v>170</v>
      </c>
    </row>
    <row r="15" spans="2:14" x14ac:dyDescent="0.25">
      <c r="B15" s="7"/>
      <c r="D15" t="s">
        <v>56</v>
      </c>
      <c r="E15" t="s">
        <v>50</v>
      </c>
      <c r="F15" t="s">
        <v>318</v>
      </c>
      <c r="H15" s="8"/>
      <c r="J15" t="s">
        <v>180</v>
      </c>
    </row>
    <row r="16" spans="2:14" x14ac:dyDescent="0.25">
      <c r="B16" s="7"/>
      <c r="D16" t="s">
        <v>127</v>
      </c>
      <c r="E16" t="s">
        <v>50</v>
      </c>
      <c r="H16" s="8" t="s">
        <v>126</v>
      </c>
      <c r="J16" t="s">
        <v>361</v>
      </c>
    </row>
    <row r="17" spans="2:8" x14ac:dyDescent="0.25">
      <c r="B17" s="7" t="s">
        <v>334</v>
      </c>
      <c r="D17" t="s">
        <v>47</v>
      </c>
      <c r="E17" t="s">
        <v>48</v>
      </c>
      <c r="F17" t="s">
        <v>106</v>
      </c>
      <c r="H17" s="8"/>
    </row>
    <row r="18" spans="2:8" x14ac:dyDescent="0.25">
      <c r="B18" s="7" t="s">
        <v>340</v>
      </c>
      <c r="D18" t="s">
        <v>52</v>
      </c>
      <c r="E18" t="s">
        <v>171</v>
      </c>
      <c r="F18" t="s">
        <v>55</v>
      </c>
      <c r="H18" s="8"/>
    </row>
    <row r="19" spans="2:8" x14ac:dyDescent="0.25">
      <c r="B19" s="7" t="s">
        <v>305</v>
      </c>
      <c r="D19" t="s">
        <v>303</v>
      </c>
      <c r="E19" t="s">
        <v>54</v>
      </c>
      <c r="F19" t="s">
        <v>106</v>
      </c>
      <c r="H19" s="8"/>
    </row>
    <row r="20" spans="2:8" x14ac:dyDescent="0.25">
      <c r="B20" s="7" t="s">
        <v>342</v>
      </c>
      <c r="D20" t="s">
        <v>341</v>
      </c>
      <c r="H20" s="8" t="s">
        <v>343</v>
      </c>
    </row>
    <row r="21" spans="2:8" x14ac:dyDescent="0.25">
      <c r="B21" s="7" t="s">
        <v>345</v>
      </c>
      <c r="D21" t="s">
        <v>344</v>
      </c>
      <c r="F21" t="s">
        <v>55</v>
      </c>
      <c r="H21" s="8"/>
    </row>
    <row r="22" spans="2:8" x14ac:dyDescent="0.25">
      <c r="B22" s="27" t="s">
        <v>302</v>
      </c>
      <c r="C22" s="9"/>
      <c r="D22" s="9" t="s">
        <v>303</v>
      </c>
      <c r="E22" s="9" t="s">
        <v>54</v>
      </c>
      <c r="F22" s="9" t="s">
        <v>55</v>
      </c>
      <c r="G22" s="9"/>
      <c r="H22" s="10"/>
    </row>
    <row r="24" spans="2:8" ht="13" x14ac:dyDescent="0.3">
      <c r="B24" t="s">
        <v>326</v>
      </c>
      <c r="E24" s="17" t="s">
        <v>357</v>
      </c>
    </row>
    <row r="25" spans="2:8" ht="13" x14ac:dyDescent="0.3">
      <c r="E25" s="17" t="s">
        <v>308</v>
      </c>
    </row>
    <row r="26" spans="2:8" ht="13" x14ac:dyDescent="0.3">
      <c r="E26" s="17" t="s">
        <v>128</v>
      </c>
    </row>
    <row r="27" spans="2:8" ht="13" x14ac:dyDescent="0.3">
      <c r="E27" s="17" t="s">
        <v>129</v>
      </c>
    </row>
    <row r="28" spans="2:8" ht="13" x14ac:dyDescent="0.3">
      <c r="E28" s="17" t="s">
        <v>130</v>
      </c>
    </row>
    <row r="29" spans="2:8" ht="13" x14ac:dyDescent="0.3">
      <c r="E29" s="17" t="s">
        <v>139</v>
      </c>
    </row>
    <row r="30" spans="2:8" ht="13" x14ac:dyDescent="0.3">
      <c r="E30" s="17" t="s">
        <v>140</v>
      </c>
    </row>
    <row r="31" spans="2:8" ht="13" x14ac:dyDescent="0.3">
      <c r="E31" s="17" t="s">
        <v>157</v>
      </c>
    </row>
    <row r="32" spans="2:8" ht="13" x14ac:dyDescent="0.3">
      <c r="E32" s="17" t="s">
        <v>160</v>
      </c>
    </row>
    <row r="33" spans="5:5" ht="13" x14ac:dyDescent="0.3">
      <c r="E33" s="17" t="s">
        <v>162</v>
      </c>
    </row>
    <row r="34" spans="5:5" ht="13" x14ac:dyDescent="0.3">
      <c r="E34" s="17" t="s">
        <v>166</v>
      </c>
    </row>
    <row r="35" spans="5:5" ht="13" x14ac:dyDescent="0.3">
      <c r="E35" s="17" t="s">
        <v>172</v>
      </c>
    </row>
    <row r="36" spans="5:5" ht="13" x14ac:dyDescent="0.3">
      <c r="E36" s="17" t="s">
        <v>174</v>
      </c>
    </row>
    <row r="37" spans="5:5" ht="13" x14ac:dyDescent="0.3">
      <c r="E37" s="17" t="s">
        <v>175</v>
      </c>
    </row>
    <row r="38" spans="5:5" ht="13" x14ac:dyDescent="0.3">
      <c r="E38" s="17" t="s">
        <v>176</v>
      </c>
    </row>
    <row r="39" spans="5:5" ht="13" x14ac:dyDescent="0.3">
      <c r="E39" s="17" t="s">
        <v>177</v>
      </c>
    </row>
    <row r="40" spans="5:5" ht="13" x14ac:dyDescent="0.3">
      <c r="E40" s="17" t="s">
        <v>178</v>
      </c>
    </row>
    <row r="41" spans="5:5" ht="13" x14ac:dyDescent="0.3">
      <c r="E41" s="17" t="s">
        <v>238</v>
      </c>
    </row>
    <row r="42" spans="5:5" ht="13" x14ac:dyDescent="0.3">
      <c r="E42" s="17" t="s">
        <v>239</v>
      </c>
    </row>
    <row r="43" spans="5:5" ht="13" x14ac:dyDescent="0.3">
      <c r="E43" s="17" t="s">
        <v>253</v>
      </c>
    </row>
    <row r="44" spans="5:5" ht="13" x14ac:dyDescent="0.3">
      <c r="E44" s="17" t="s">
        <v>254</v>
      </c>
    </row>
    <row r="45" spans="5:5" ht="13" x14ac:dyDescent="0.3">
      <c r="E45" s="17" t="s">
        <v>255</v>
      </c>
    </row>
    <row r="46" spans="5:5" ht="13" x14ac:dyDescent="0.3">
      <c r="E46" s="17" t="s">
        <v>256</v>
      </c>
    </row>
    <row r="47" spans="5:5" ht="13" x14ac:dyDescent="0.3">
      <c r="E47" s="17" t="s">
        <v>257</v>
      </c>
    </row>
  </sheetData>
  <hyperlinks>
    <hyperlink ref="B4" location="Symdeko!A1" display="Symdeko" xr:uid="{C2ABB3C4-317B-4C42-B59A-79B30666B3E0}"/>
    <hyperlink ref="B6" location="Kalydeco!A1" display="Kalydeco" xr:uid="{EEBD4082-1D83-43E3-A2D1-75DBB6BD2997}"/>
    <hyperlink ref="B12" location="'VX-880'!A1" display="VX-880" xr:uid="{E8018D7F-9B73-4E6B-A79D-A97660AF55C8}"/>
    <hyperlink ref="B3" location="Trikafta!A1" display="Trikafta" xr:uid="{FCEBE0EB-001B-4AF7-8302-88E3A55A88B1}"/>
    <hyperlink ref="B11" location="inaxaplin!A1" display="VX-147" xr:uid="{362A6FBB-2244-4147-8746-8E7FC462FB02}"/>
    <hyperlink ref="B7" location="Casgevy!A1" display="Casgevy" xr:uid="{EE1FBA3F-8223-4960-A117-1323E22DA27E}"/>
    <hyperlink ref="B5" location="Orkambi!A1" display="Orkambi" xr:uid="{5B227DE1-747D-41D9-AFFC-27BF0DF44345}"/>
    <hyperlink ref="B22" location="'VX-634'!A1" display="VX-634" xr:uid="{28A7C8E1-14DE-4193-86D6-B95B3E551AF5}"/>
    <hyperlink ref="B10" location="'VX-121'!A1" display="VX-121" xr:uid="{ECC6416F-1E64-4473-A6C6-D23E81B80E70}"/>
    <hyperlink ref="B8" location="'VX-548'!A1" display="VX-548" xr:uid="{67203671-9821-4D42-B3BF-32EA7ACD3A76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B47AF-768E-4B06-9E84-BC4ABCFB8ABD}">
  <dimension ref="A1:E36"/>
  <sheetViews>
    <sheetView zoomScale="130" zoomScaleNormal="130" workbookViewId="0"/>
  </sheetViews>
  <sheetFormatPr defaultColWidth="8.81640625" defaultRowHeight="12.5" x14ac:dyDescent="0.25"/>
  <cols>
    <col min="1" max="1" width="5" bestFit="1" customWidth="1"/>
    <col min="2" max="2" width="12" bestFit="1" customWidth="1"/>
    <col min="3" max="3" width="25.26953125" customWidth="1"/>
  </cols>
  <sheetData>
    <row r="1" spans="1:5" x14ac:dyDescent="0.25">
      <c r="A1" s="11" t="s">
        <v>20</v>
      </c>
    </row>
    <row r="2" spans="1:5" x14ac:dyDescent="0.25">
      <c r="B2" t="s">
        <v>7</v>
      </c>
      <c r="C2" t="s">
        <v>367</v>
      </c>
    </row>
    <row r="3" spans="1:5" x14ac:dyDescent="0.25">
      <c r="B3" t="s">
        <v>8</v>
      </c>
      <c r="C3" t="s">
        <v>325</v>
      </c>
    </row>
    <row r="4" spans="1:5" x14ac:dyDescent="0.25">
      <c r="B4" t="s">
        <v>9</v>
      </c>
      <c r="C4" t="s">
        <v>47</v>
      </c>
    </row>
    <row r="5" spans="1:5" x14ac:dyDescent="0.25">
      <c r="B5" t="s">
        <v>10</v>
      </c>
      <c r="C5" t="s">
        <v>48</v>
      </c>
    </row>
    <row r="6" spans="1:5" x14ac:dyDescent="0.25">
      <c r="B6" t="s">
        <v>240</v>
      </c>
      <c r="C6" t="s">
        <v>244</v>
      </c>
    </row>
    <row r="7" spans="1:5" x14ac:dyDescent="0.25">
      <c r="B7" t="s">
        <v>349</v>
      </c>
      <c r="C7" t="s">
        <v>350</v>
      </c>
    </row>
    <row r="8" spans="1:5" x14ac:dyDescent="0.25">
      <c r="B8" t="s">
        <v>135</v>
      </c>
    </row>
    <row r="9" spans="1:5" ht="13" x14ac:dyDescent="0.3">
      <c r="C9" s="18" t="s">
        <v>317</v>
      </c>
    </row>
    <row r="13" spans="1:5" ht="13" x14ac:dyDescent="0.3">
      <c r="C13" s="18" t="s">
        <v>251</v>
      </c>
    </row>
    <row r="14" spans="1:5" ht="13" x14ac:dyDescent="0.3">
      <c r="C14" s="18"/>
      <c r="D14" t="s">
        <v>242</v>
      </c>
    </row>
    <row r="15" spans="1:5" x14ac:dyDescent="0.25">
      <c r="C15" t="s">
        <v>241</v>
      </c>
      <c r="D15" s="22">
        <v>101</v>
      </c>
    </row>
    <row r="16" spans="1:5" x14ac:dyDescent="0.25">
      <c r="C16" t="s">
        <v>243</v>
      </c>
      <c r="D16" s="22">
        <v>137.80000000000001</v>
      </c>
      <c r="E16" t="s">
        <v>248</v>
      </c>
    </row>
    <row r="17" spans="3:5" x14ac:dyDescent="0.25">
      <c r="C17" t="s">
        <v>245</v>
      </c>
      <c r="D17" s="22">
        <v>86.9</v>
      </c>
      <c r="E17" t="s">
        <v>249</v>
      </c>
    </row>
    <row r="18" spans="3:5" x14ac:dyDescent="0.25">
      <c r="C18" t="s">
        <v>246</v>
      </c>
      <c r="D18" s="22">
        <v>112.9</v>
      </c>
      <c r="E18" t="s">
        <v>249</v>
      </c>
    </row>
    <row r="19" spans="3:5" x14ac:dyDescent="0.25">
      <c r="C19" t="s">
        <v>247</v>
      </c>
      <c r="D19" s="22">
        <v>115.6</v>
      </c>
      <c r="E19" t="s">
        <v>249</v>
      </c>
    </row>
    <row r="20" spans="3:5" x14ac:dyDescent="0.25">
      <c r="D20" s="22"/>
    </row>
    <row r="21" spans="3:5" x14ac:dyDescent="0.25">
      <c r="D21" s="22"/>
    </row>
    <row r="22" spans="3:5" ht="13" x14ac:dyDescent="0.3">
      <c r="C22" s="18" t="s">
        <v>250</v>
      </c>
    </row>
    <row r="23" spans="3:5" x14ac:dyDescent="0.25">
      <c r="D23" t="s">
        <v>242</v>
      </c>
    </row>
    <row r="24" spans="3:5" x14ac:dyDescent="0.25">
      <c r="C24" t="s">
        <v>241</v>
      </c>
      <c r="D24">
        <v>72.7</v>
      </c>
    </row>
    <row r="25" spans="3:5" x14ac:dyDescent="0.25">
      <c r="C25" t="s">
        <v>243</v>
      </c>
      <c r="D25">
        <v>110.5</v>
      </c>
      <c r="E25" t="s">
        <v>252</v>
      </c>
    </row>
    <row r="26" spans="3:5" x14ac:dyDescent="0.25">
      <c r="C26" t="s">
        <v>245</v>
      </c>
      <c r="D26">
        <v>95.1</v>
      </c>
      <c r="E26" t="s">
        <v>249</v>
      </c>
    </row>
    <row r="27" spans="3:5" x14ac:dyDescent="0.25">
      <c r="C27" t="s">
        <v>247</v>
      </c>
      <c r="D27">
        <v>85.2</v>
      </c>
      <c r="E27" t="s">
        <v>249</v>
      </c>
    </row>
    <row r="29" spans="3:5" ht="13" x14ac:dyDescent="0.3">
      <c r="C29" s="18" t="s">
        <v>335</v>
      </c>
    </row>
    <row r="31" spans="3:5" ht="13" x14ac:dyDescent="0.3">
      <c r="C31" s="18" t="s">
        <v>336</v>
      </c>
    </row>
    <row r="34" spans="3:3" ht="13" x14ac:dyDescent="0.3">
      <c r="C34" s="18" t="s">
        <v>346</v>
      </c>
    </row>
    <row r="35" spans="3:3" x14ac:dyDescent="0.25">
      <c r="C35" t="s">
        <v>347</v>
      </c>
    </row>
    <row r="36" spans="3:3" x14ac:dyDescent="0.25">
      <c r="C36" t="s">
        <v>348</v>
      </c>
    </row>
  </sheetData>
  <hyperlinks>
    <hyperlink ref="A1" location="Main!A1" display="Main" xr:uid="{9F1444FB-1FC7-4AF6-9D19-F860F1DDD4D6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6AB23-686C-478E-AA6A-03F37C9331A3}">
  <dimension ref="A1:C7"/>
  <sheetViews>
    <sheetView zoomScale="280" zoomScaleNormal="280"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11" t="s">
        <v>20</v>
      </c>
    </row>
    <row r="2" spans="1:3" x14ac:dyDescent="0.25">
      <c r="B2" t="s">
        <v>7</v>
      </c>
      <c r="C2" t="s">
        <v>315</v>
      </c>
    </row>
    <row r="3" spans="1:3" x14ac:dyDescent="0.25">
      <c r="B3" t="s">
        <v>9</v>
      </c>
      <c r="C3" t="s">
        <v>15</v>
      </c>
    </row>
    <row r="4" spans="1:3" x14ac:dyDescent="0.25">
      <c r="B4" t="s">
        <v>133</v>
      </c>
      <c r="C4" t="s">
        <v>331</v>
      </c>
    </row>
    <row r="5" spans="1:3" x14ac:dyDescent="0.25">
      <c r="B5" t="s">
        <v>135</v>
      </c>
    </row>
    <row r="6" spans="1:3" ht="13" x14ac:dyDescent="0.3">
      <c r="C6" s="18" t="s">
        <v>332</v>
      </c>
    </row>
    <row r="7" spans="1:3" x14ac:dyDescent="0.25">
      <c r="C7" t="s">
        <v>333</v>
      </c>
    </row>
  </sheetData>
  <hyperlinks>
    <hyperlink ref="A1" location="Main!A1" display="Main" xr:uid="{C0D50ABE-2133-4DD7-AC00-5588FBC472D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0169-374E-454F-AD84-2EA69EF52EB1}">
  <dimension ref="A1:C9"/>
  <sheetViews>
    <sheetView zoomScale="145" zoomScaleNormal="145" workbookViewId="0">
      <selection activeCell="C10" sqref="C10"/>
    </sheetView>
  </sheetViews>
  <sheetFormatPr defaultColWidth="8.81640625" defaultRowHeight="12.5" x14ac:dyDescent="0.25"/>
  <cols>
    <col min="1" max="1" width="5" bestFit="1" customWidth="1"/>
    <col min="2" max="2" width="12" bestFit="1" customWidth="1"/>
  </cols>
  <sheetData>
    <row r="1" spans="1:3" x14ac:dyDescent="0.25">
      <c r="A1" s="11" t="s">
        <v>20</v>
      </c>
    </row>
    <row r="2" spans="1:3" x14ac:dyDescent="0.25">
      <c r="B2" t="s">
        <v>7</v>
      </c>
      <c r="C2" t="s">
        <v>40</v>
      </c>
    </row>
    <row r="3" spans="1:3" x14ac:dyDescent="0.25">
      <c r="B3" t="s">
        <v>8</v>
      </c>
      <c r="C3" t="s">
        <v>161</v>
      </c>
    </row>
    <row r="4" spans="1:3" x14ac:dyDescent="0.25">
      <c r="B4" t="s">
        <v>9</v>
      </c>
      <c r="C4" t="s">
        <v>163</v>
      </c>
    </row>
    <row r="5" spans="1:3" x14ac:dyDescent="0.25">
      <c r="B5" t="s">
        <v>10</v>
      </c>
      <c r="C5" t="s">
        <v>203</v>
      </c>
    </row>
    <row r="6" spans="1:3" x14ac:dyDescent="0.25">
      <c r="B6" t="s">
        <v>135</v>
      </c>
    </row>
    <row r="7" spans="1:3" ht="13" x14ac:dyDescent="0.3">
      <c r="C7" s="18" t="s">
        <v>236</v>
      </c>
    </row>
    <row r="8" spans="1:3" x14ac:dyDescent="0.25">
      <c r="C8" t="s">
        <v>237</v>
      </c>
    </row>
    <row r="9" spans="1:3" x14ac:dyDescent="0.25">
      <c r="C9" t="s">
        <v>337</v>
      </c>
    </row>
  </sheetData>
  <hyperlinks>
    <hyperlink ref="A1" location="Main!A1" display="Main" xr:uid="{8E17983A-F281-41DE-94AE-3C971B03D303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D23D-12F6-4A5D-93D1-1862668A41BC}">
  <dimension ref="A1:C4"/>
  <sheetViews>
    <sheetView zoomScale="175" zoomScaleNormal="175" workbookViewId="0"/>
  </sheetViews>
  <sheetFormatPr defaultColWidth="8.81640625" defaultRowHeight="12.5" x14ac:dyDescent="0.25"/>
  <cols>
    <col min="1" max="1" width="5" bestFit="1" customWidth="1"/>
    <col min="2" max="2" width="9.81640625" bestFit="1" customWidth="1"/>
  </cols>
  <sheetData>
    <row r="1" spans="1:3" x14ac:dyDescent="0.25">
      <c r="A1" s="11" t="s">
        <v>20</v>
      </c>
    </row>
    <row r="2" spans="1:3" x14ac:dyDescent="0.25">
      <c r="B2" t="s">
        <v>7</v>
      </c>
      <c r="C2" t="s">
        <v>302</v>
      </c>
    </row>
    <row r="3" spans="1:3" x14ac:dyDescent="0.25">
      <c r="B3" t="s">
        <v>9</v>
      </c>
      <c r="C3" t="s">
        <v>307</v>
      </c>
    </row>
    <row r="4" spans="1:3" x14ac:dyDescent="0.25">
      <c r="B4" t="s">
        <v>120</v>
      </c>
      <c r="C4" t="s">
        <v>304</v>
      </c>
    </row>
  </sheetData>
  <hyperlinks>
    <hyperlink ref="A1" location="Main!A1" display="Main" xr:uid="{0A34DDFA-7AD8-4524-8897-4C2FF35B4CE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0003B-178C-466F-BE10-E90BCC8A1B78}">
  <dimension ref="A1:I24"/>
  <sheetViews>
    <sheetView workbookViewId="0"/>
  </sheetViews>
  <sheetFormatPr defaultColWidth="8.81640625" defaultRowHeight="12.5" x14ac:dyDescent="0.25"/>
  <cols>
    <col min="1" max="1" width="5" bestFit="1" customWidth="1"/>
    <col min="3" max="3" width="15.81640625" customWidth="1"/>
    <col min="7" max="8" width="10.1796875" bestFit="1" customWidth="1"/>
  </cols>
  <sheetData>
    <row r="1" spans="1:9" x14ac:dyDescent="0.25">
      <c r="A1" s="11" t="s">
        <v>20</v>
      </c>
    </row>
    <row r="2" spans="1:9" x14ac:dyDescent="0.25">
      <c r="B2" t="s">
        <v>63</v>
      </c>
      <c r="C2" t="s">
        <v>65</v>
      </c>
      <c r="D2" t="s">
        <v>66</v>
      </c>
      <c r="E2" t="s">
        <v>68</v>
      </c>
      <c r="F2" t="s">
        <v>70</v>
      </c>
      <c r="G2" t="s">
        <v>75</v>
      </c>
      <c r="H2" t="s">
        <v>76</v>
      </c>
      <c r="I2" t="s">
        <v>79</v>
      </c>
    </row>
    <row r="3" spans="1:9" x14ac:dyDescent="0.25">
      <c r="B3">
        <v>11390600</v>
      </c>
      <c r="C3" t="s">
        <v>64</v>
      </c>
      <c r="D3" t="s">
        <v>67</v>
      </c>
      <c r="E3" t="s">
        <v>69</v>
      </c>
      <c r="F3">
        <v>2</v>
      </c>
      <c r="G3" s="15">
        <v>44019</v>
      </c>
      <c r="H3" s="15">
        <v>44761</v>
      </c>
      <c r="I3" t="s">
        <v>80</v>
      </c>
    </row>
    <row r="4" spans="1:9" x14ac:dyDescent="0.25">
      <c r="B4">
        <v>11370798</v>
      </c>
      <c r="C4" t="s">
        <v>74</v>
      </c>
      <c r="D4" t="s">
        <v>77</v>
      </c>
      <c r="E4" t="s">
        <v>78</v>
      </c>
      <c r="F4">
        <v>2</v>
      </c>
      <c r="G4" s="15">
        <v>44074</v>
      </c>
      <c r="H4" s="15">
        <v>44740</v>
      </c>
      <c r="I4" t="s">
        <v>81</v>
      </c>
    </row>
    <row r="5" spans="1:9" x14ac:dyDescent="0.25">
      <c r="B5">
        <v>11369692</v>
      </c>
      <c r="C5" t="s">
        <v>82</v>
      </c>
      <c r="D5" t="s">
        <v>77</v>
      </c>
      <c r="E5" t="s">
        <v>83</v>
      </c>
      <c r="F5">
        <v>5</v>
      </c>
      <c r="G5" s="15">
        <v>42671</v>
      </c>
      <c r="H5" s="15">
        <v>44740</v>
      </c>
      <c r="I5" t="s">
        <v>84</v>
      </c>
    </row>
    <row r="6" spans="1:9" x14ac:dyDescent="0.25">
      <c r="B6">
        <v>11358977</v>
      </c>
      <c r="C6" t="s">
        <v>85</v>
      </c>
      <c r="D6" t="s">
        <v>77</v>
      </c>
      <c r="E6" t="s">
        <v>86</v>
      </c>
      <c r="F6">
        <v>8</v>
      </c>
      <c r="G6" s="15">
        <v>43236</v>
      </c>
      <c r="H6" s="15">
        <v>44726</v>
      </c>
      <c r="I6" t="s">
        <v>48</v>
      </c>
    </row>
    <row r="7" spans="1:9" x14ac:dyDescent="0.25">
      <c r="B7">
        <v>11345700</v>
      </c>
      <c r="C7" t="s">
        <v>88</v>
      </c>
      <c r="D7" t="s">
        <v>77</v>
      </c>
      <c r="E7" t="s">
        <v>87</v>
      </c>
      <c r="F7">
        <v>1</v>
      </c>
      <c r="G7" s="15">
        <v>43899</v>
      </c>
      <c r="H7" s="15">
        <v>44712</v>
      </c>
      <c r="I7" t="s">
        <v>89</v>
      </c>
    </row>
    <row r="8" spans="1:9" x14ac:dyDescent="0.25">
      <c r="B8">
        <v>11291662</v>
      </c>
      <c r="C8" t="s">
        <v>90</v>
      </c>
      <c r="D8" t="s">
        <v>77</v>
      </c>
      <c r="E8" t="s">
        <v>91</v>
      </c>
      <c r="F8">
        <v>3</v>
      </c>
      <c r="G8" s="15">
        <v>43804</v>
      </c>
      <c r="H8" s="15">
        <v>44656</v>
      </c>
      <c r="I8" t="s">
        <v>13</v>
      </c>
    </row>
    <row r="9" spans="1:9" x14ac:dyDescent="0.25">
      <c r="B9">
        <v>11268077</v>
      </c>
      <c r="C9" t="s">
        <v>94</v>
      </c>
      <c r="D9" t="s">
        <v>77</v>
      </c>
      <c r="E9" t="s">
        <v>95</v>
      </c>
      <c r="F9">
        <v>5</v>
      </c>
      <c r="G9" s="15">
        <v>43501</v>
      </c>
      <c r="H9" s="15">
        <v>44628</v>
      </c>
      <c r="I9" t="s">
        <v>96</v>
      </c>
    </row>
    <row r="10" spans="1:9" x14ac:dyDescent="0.25">
      <c r="B10">
        <v>11253509</v>
      </c>
      <c r="C10" t="s">
        <v>97</v>
      </c>
      <c r="D10" t="s">
        <v>77</v>
      </c>
      <c r="E10" t="s">
        <v>98</v>
      </c>
      <c r="F10">
        <v>2</v>
      </c>
      <c r="G10" s="15">
        <v>43259</v>
      </c>
      <c r="H10" s="15">
        <v>44614</v>
      </c>
    </row>
    <row r="11" spans="1:9" x14ac:dyDescent="0.25">
      <c r="B11">
        <v>11203571</v>
      </c>
      <c r="C11" t="s">
        <v>204</v>
      </c>
      <c r="D11" t="s">
        <v>77</v>
      </c>
      <c r="E11" t="s">
        <v>205</v>
      </c>
      <c r="F11">
        <v>8</v>
      </c>
      <c r="G11" s="15">
        <v>41835</v>
      </c>
      <c r="H11" s="15">
        <v>44551</v>
      </c>
      <c r="I11" t="s">
        <v>48</v>
      </c>
    </row>
    <row r="12" spans="1:9" x14ac:dyDescent="0.25">
      <c r="B12">
        <v>11186566</v>
      </c>
      <c r="C12" t="s">
        <v>206</v>
      </c>
      <c r="D12" t="s">
        <v>77</v>
      </c>
      <c r="E12" t="s">
        <v>207</v>
      </c>
      <c r="F12">
        <v>6</v>
      </c>
      <c r="G12" s="15">
        <v>43803</v>
      </c>
      <c r="H12" s="15">
        <v>44530</v>
      </c>
      <c r="I12" t="s">
        <v>208</v>
      </c>
    </row>
    <row r="13" spans="1:9" x14ac:dyDescent="0.25">
      <c r="B13">
        <v>11179394</v>
      </c>
      <c r="C13" t="s">
        <v>209</v>
      </c>
      <c r="D13" t="s">
        <v>77</v>
      </c>
      <c r="E13" t="s">
        <v>210</v>
      </c>
      <c r="F13">
        <v>3</v>
      </c>
      <c r="G13" s="15">
        <v>42172</v>
      </c>
      <c r="H13" s="15">
        <v>44523</v>
      </c>
      <c r="I13" t="s">
        <v>211</v>
      </c>
    </row>
    <row r="14" spans="1:9" x14ac:dyDescent="0.25">
      <c r="B14">
        <v>11179367</v>
      </c>
      <c r="C14" t="s">
        <v>212</v>
      </c>
      <c r="D14" t="s">
        <v>77</v>
      </c>
      <c r="E14" t="s">
        <v>213</v>
      </c>
      <c r="F14">
        <v>2</v>
      </c>
      <c r="G14" s="15">
        <v>43500</v>
      </c>
      <c r="H14" s="15">
        <v>44523</v>
      </c>
      <c r="I14" t="s">
        <v>214</v>
      </c>
    </row>
    <row r="15" spans="1:9" x14ac:dyDescent="0.25">
      <c r="B15">
        <v>11155533</v>
      </c>
      <c r="C15" t="s">
        <v>215</v>
      </c>
      <c r="D15" t="s">
        <v>77</v>
      </c>
      <c r="E15" t="s">
        <v>216</v>
      </c>
      <c r="F15">
        <v>2</v>
      </c>
      <c r="G15" s="15">
        <v>43915</v>
      </c>
      <c r="H15" s="15">
        <v>44495</v>
      </c>
      <c r="I15" t="s">
        <v>217</v>
      </c>
    </row>
    <row r="16" spans="1:9" x14ac:dyDescent="0.25">
      <c r="B16">
        <v>11147770</v>
      </c>
      <c r="C16" t="s">
        <v>218</v>
      </c>
      <c r="D16" t="s">
        <v>77</v>
      </c>
      <c r="E16" t="s">
        <v>219</v>
      </c>
      <c r="F16">
        <v>2</v>
      </c>
      <c r="G16" s="15">
        <v>43536</v>
      </c>
      <c r="H16" s="15">
        <v>44488</v>
      </c>
      <c r="I16" t="s">
        <v>214</v>
      </c>
    </row>
    <row r="17" spans="2:9" x14ac:dyDescent="0.25">
      <c r="B17">
        <v>11124805</v>
      </c>
      <c r="C17" t="s">
        <v>220</v>
      </c>
      <c r="D17" t="s">
        <v>77</v>
      </c>
      <c r="E17" t="s">
        <v>221</v>
      </c>
      <c r="F17">
        <v>7</v>
      </c>
      <c r="G17" s="15">
        <v>42929</v>
      </c>
      <c r="H17" s="15">
        <v>44460</v>
      </c>
      <c r="I17" t="s">
        <v>222</v>
      </c>
    </row>
    <row r="18" spans="2:9" x14ac:dyDescent="0.25">
      <c r="B18">
        <v>11117900</v>
      </c>
      <c r="C18" t="s">
        <v>74</v>
      </c>
      <c r="D18" t="s">
        <v>77</v>
      </c>
      <c r="E18" t="s">
        <v>78</v>
      </c>
      <c r="F18">
        <v>3</v>
      </c>
      <c r="G18" s="15">
        <v>43683</v>
      </c>
      <c r="H18" s="15">
        <v>44453</v>
      </c>
    </row>
    <row r="19" spans="2:9" x14ac:dyDescent="0.25">
      <c r="B19">
        <v>11110108</v>
      </c>
      <c r="C19" t="s">
        <v>223</v>
      </c>
      <c r="D19" t="s">
        <v>77</v>
      </c>
      <c r="E19" t="s">
        <v>224</v>
      </c>
      <c r="F19">
        <v>2</v>
      </c>
      <c r="G19" s="15">
        <v>43005</v>
      </c>
      <c r="H19" s="15">
        <v>44446</v>
      </c>
    </row>
    <row r="20" spans="2:9" x14ac:dyDescent="0.25">
      <c r="B20">
        <v>11110086</v>
      </c>
      <c r="C20" t="s">
        <v>225</v>
      </c>
      <c r="D20" t="s">
        <v>77</v>
      </c>
      <c r="E20" t="s">
        <v>226</v>
      </c>
      <c r="F20">
        <v>3</v>
      </c>
      <c r="G20" s="15">
        <v>43656</v>
      </c>
      <c r="H20" s="15">
        <v>44446</v>
      </c>
    </row>
    <row r="21" spans="2:9" x14ac:dyDescent="0.25">
      <c r="B21">
        <v>11084804</v>
      </c>
      <c r="C21" t="s">
        <v>227</v>
      </c>
      <c r="D21" t="s">
        <v>77</v>
      </c>
      <c r="E21" t="s">
        <v>228</v>
      </c>
      <c r="F21">
        <v>5</v>
      </c>
      <c r="G21" s="15">
        <v>43874</v>
      </c>
      <c r="H21" s="15">
        <v>44418</v>
      </c>
      <c r="I21" t="s">
        <v>208</v>
      </c>
    </row>
    <row r="22" spans="2:9" x14ac:dyDescent="0.25">
      <c r="B22">
        <v>11066417</v>
      </c>
      <c r="C22" t="s">
        <v>230</v>
      </c>
      <c r="D22" t="s">
        <v>77</v>
      </c>
      <c r="E22" t="s">
        <v>229</v>
      </c>
      <c r="F22">
        <v>6</v>
      </c>
      <c r="G22" s="15">
        <v>43510</v>
      </c>
      <c r="H22" s="15">
        <v>44397</v>
      </c>
    </row>
    <row r="23" spans="2:9" x14ac:dyDescent="0.25">
      <c r="B23">
        <v>11059826</v>
      </c>
      <c r="C23" t="s">
        <v>231</v>
      </c>
      <c r="D23" t="s">
        <v>77</v>
      </c>
      <c r="E23" t="s">
        <v>232</v>
      </c>
      <c r="F23">
        <v>5</v>
      </c>
      <c r="G23" s="15">
        <v>43578</v>
      </c>
      <c r="H23" s="15">
        <v>44390</v>
      </c>
      <c r="I23" t="s">
        <v>233</v>
      </c>
    </row>
    <row r="24" spans="2:9" x14ac:dyDescent="0.25">
      <c r="B24">
        <v>11052075</v>
      </c>
      <c r="C24" t="s">
        <v>234</v>
      </c>
      <c r="D24" t="s">
        <v>77</v>
      </c>
      <c r="E24" t="s">
        <v>235</v>
      </c>
      <c r="G24" s="15">
        <v>43679</v>
      </c>
      <c r="H24" s="15">
        <v>44383</v>
      </c>
      <c r="I24" t="s">
        <v>214</v>
      </c>
    </row>
  </sheetData>
  <hyperlinks>
    <hyperlink ref="A1" location="Main!A1" display="Main" xr:uid="{28B9CEB8-4D0A-4224-9448-513A0C99A972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28C55-E312-4CB5-A877-7A6998D5236F}">
  <dimension ref="A1:F1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3" sqref="E13"/>
    </sheetView>
  </sheetViews>
  <sheetFormatPr defaultColWidth="8.81640625" defaultRowHeight="12.5" x14ac:dyDescent="0.25"/>
  <cols>
    <col min="1" max="1" width="5" bestFit="1" customWidth="1"/>
    <col min="2" max="2" width="17.26953125" customWidth="1"/>
  </cols>
  <sheetData>
    <row r="1" spans="1:6" x14ac:dyDescent="0.25">
      <c r="A1" s="11" t="s">
        <v>20</v>
      </c>
    </row>
    <row r="2" spans="1:6" x14ac:dyDescent="0.25">
      <c r="B2" t="s">
        <v>7</v>
      </c>
      <c r="C2" t="s">
        <v>8</v>
      </c>
      <c r="D2" t="s">
        <v>10</v>
      </c>
      <c r="E2" t="s">
        <v>9</v>
      </c>
      <c r="F2" t="s">
        <v>103</v>
      </c>
    </row>
    <row r="3" spans="1:6" x14ac:dyDescent="0.25">
      <c r="B3" t="s">
        <v>102</v>
      </c>
      <c r="C3" t="s">
        <v>99</v>
      </c>
      <c r="D3" t="s">
        <v>101</v>
      </c>
      <c r="E3" t="s">
        <v>100</v>
      </c>
      <c r="F3" s="15">
        <v>40686</v>
      </c>
    </row>
    <row r="4" spans="1:6" x14ac:dyDescent="0.25">
      <c r="B4" t="s">
        <v>112</v>
      </c>
      <c r="C4" t="s">
        <v>111</v>
      </c>
      <c r="D4" t="s">
        <v>113</v>
      </c>
      <c r="E4" t="s">
        <v>15</v>
      </c>
      <c r="F4" s="15">
        <v>42187</v>
      </c>
    </row>
    <row r="5" spans="1:6" x14ac:dyDescent="0.25">
      <c r="B5" t="s">
        <v>116</v>
      </c>
      <c r="C5" t="s">
        <v>115</v>
      </c>
      <c r="E5" t="s">
        <v>15</v>
      </c>
    </row>
    <row r="6" spans="1:6" x14ac:dyDescent="0.25">
      <c r="B6" t="s">
        <v>21</v>
      </c>
      <c r="C6" t="s">
        <v>117</v>
      </c>
      <c r="E6" t="s">
        <v>15</v>
      </c>
    </row>
    <row r="8" spans="1:6" x14ac:dyDescent="0.25">
      <c r="F8" t="s">
        <v>37</v>
      </c>
    </row>
    <row r="9" spans="1:6" x14ac:dyDescent="0.25">
      <c r="B9" t="s">
        <v>107</v>
      </c>
      <c r="D9" t="s">
        <v>109</v>
      </c>
      <c r="E9" t="s">
        <v>100</v>
      </c>
      <c r="F9" t="s">
        <v>55</v>
      </c>
    </row>
    <row r="10" spans="1:6" x14ac:dyDescent="0.25">
      <c r="B10" t="s">
        <v>108</v>
      </c>
      <c r="D10" t="s">
        <v>109</v>
      </c>
      <c r="E10" t="s">
        <v>100</v>
      </c>
      <c r="F10" t="s">
        <v>55</v>
      </c>
    </row>
    <row r="11" spans="1:6" x14ac:dyDescent="0.25">
      <c r="B11" t="s">
        <v>71</v>
      </c>
      <c r="C11" t="s">
        <v>72</v>
      </c>
      <c r="D11" t="s">
        <v>73</v>
      </c>
      <c r="E11" t="s">
        <v>110</v>
      </c>
      <c r="F11" t="s">
        <v>55</v>
      </c>
    </row>
    <row r="12" spans="1:6" x14ac:dyDescent="0.25">
      <c r="B12" t="s">
        <v>258</v>
      </c>
      <c r="D12" t="s">
        <v>48</v>
      </c>
      <c r="E12" t="s">
        <v>47</v>
      </c>
      <c r="F12" t="s">
        <v>259</v>
      </c>
    </row>
    <row r="13" spans="1:6" x14ac:dyDescent="0.25">
      <c r="B13" t="s">
        <v>104</v>
      </c>
      <c r="D13" t="s">
        <v>105</v>
      </c>
      <c r="E13" t="s">
        <v>100</v>
      </c>
      <c r="F13" t="s">
        <v>106</v>
      </c>
    </row>
  </sheetData>
  <hyperlinks>
    <hyperlink ref="A1" location="Main!A1" display="Main" xr:uid="{BFCC45F9-5F22-4038-BA76-0C957464411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267B-C4D8-4F55-9938-4004F5DC3025}">
  <dimension ref="A1:DP77"/>
  <sheetViews>
    <sheetView zoomScale="115" zoomScaleNormal="115" workbookViewId="0">
      <pane xSplit="2" ySplit="2" topLeftCell="AQ3" activePane="bottomRight" state="frozen"/>
      <selection pane="topRight" activeCell="C1" sqref="C1"/>
      <selection pane="bottomLeft" activeCell="A4" sqref="A4"/>
      <selection pane="bottomRight" activeCell="BF4" sqref="BF4"/>
    </sheetView>
  </sheetViews>
  <sheetFormatPr defaultColWidth="8.81640625" defaultRowHeight="12.5" x14ac:dyDescent="0.25"/>
  <cols>
    <col min="1" max="1" width="5" bestFit="1" customWidth="1"/>
    <col min="2" max="2" width="17.453125" customWidth="1"/>
    <col min="3" max="21" width="9.1796875" style="3"/>
    <col min="58" max="58" width="10.7265625" bestFit="1" customWidth="1"/>
  </cols>
  <sheetData>
    <row r="1" spans="1:60" x14ac:dyDescent="0.25">
      <c r="A1" s="11" t="s">
        <v>20</v>
      </c>
    </row>
    <row r="2" spans="1:60" x14ac:dyDescent="0.25">
      <c r="C2" s="3" t="s">
        <v>314</v>
      </c>
      <c r="D2" s="3" t="s">
        <v>313</v>
      </c>
      <c r="E2" s="3" t="s">
        <v>309</v>
      </c>
      <c r="F2" s="3" t="s">
        <v>310</v>
      </c>
      <c r="G2" s="3" t="s">
        <v>311</v>
      </c>
      <c r="H2" s="3" t="s">
        <v>312</v>
      </c>
      <c r="I2" s="3" t="s">
        <v>25</v>
      </c>
      <c r="J2" s="3" t="s">
        <v>26</v>
      </c>
      <c r="K2" s="3" t="s">
        <v>27</v>
      </c>
      <c r="L2" s="3" t="s">
        <v>28</v>
      </c>
      <c r="M2" s="3" t="s">
        <v>29</v>
      </c>
      <c r="N2" s="3" t="s">
        <v>30</v>
      </c>
      <c r="O2" s="3" t="s">
        <v>31</v>
      </c>
      <c r="P2" s="3" t="s">
        <v>32</v>
      </c>
      <c r="Q2" s="3" t="s">
        <v>6</v>
      </c>
      <c r="R2" s="3" t="s">
        <v>33</v>
      </c>
      <c r="S2" s="3" t="s">
        <v>34</v>
      </c>
      <c r="T2" s="3" t="s">
        <v>35</v>
      </c>
      <c r="U2" s="3" t="s">
        <v>297</v>
      </c>
      <c r="V2" s="3" t="s">
        <v>298</v>
      </c>
      <c r="W2" s="3" t="s">
        <v>299</v>
      </c>
      <c r="X2" s="3" t="s">
        <v>300</v>
      </c>
      <c r="Y2" s="3" t="s">
        <v>319</v>
      </c>
      <c r="Z2" s="3" t="s">
        <v>320</v>
      </c>
      <c r="AA2" s="3" t="s">
        <v>321</v>
      </c>
      <c r="AB2" s="3" t="s">
        <v>322</v>
      </c>
      <c r="AC2" s="3" t="s">
        <v>362</v>
      </c>
      <c r="AD2" s="3" t="s">
        <v>363</v>
      </c>
      <c r="AE2" s="3" t="s">
        <v>364</v>
      </c>
      <c r="AF2" s="3" t="s">
        <v>365</v>
      </c>
      <c r="AG2" s="3"/>
      <c r="AI2">
        <v>2015</v>
      </c>
      <c r="AJ2">
        <f>+AI2+1</f>
        <v>2016</v>
      </c>
      <c r="AK2">
        <f t="shared" ref="AK2:BC2" si="0">+AJ2+1</f>
        <v>2017</v>
      </c>
      <c r="AL2">
        <f t="shared" si="0"/>
        <v>2018</v>
      </c>
      <c r="AM2">
        <f t="shared" si="0"/>
        <v>2019</v>
      </c>
      <c r="AN2">
        <f t="shared" si="0"/>
        <v>2020</v>
      </c>
      <c r="AO2">
        <f t="shared" si="0"/>
        <v>2021</v>
      </c>
      <c r="AP2">
        <f t="shared" si="0"/>
        <v>2022</v>
      </c>
      <c r="AQ2">
        <f t="shared" si="0"/>
        <v>2023</v>
      </c>
      <c r="AR2">
        <f t="shared" si="0"/>
        <v>2024</v>
      </c>
      <c r="AS2">
        <f t="shared" si="0"/>
        <v>2025</v>
      </c>
      <c r="AT2">
        <f t="shared" si="0"/>
        <v>2026</v>
      </c>
      <c r="AU2">
        <f t="shared" si="0"/>
        <v>2027</v>
      </c>
      <c r="AV2">
        <f t="shared" si="0"/>
        <v>2028</v>
      </c>
      <c r="AW2">
        <f t="shared" si="0"/>
        <v>2029</v>
      </c>
      <c r="AX2">
        <f t="shared" si="0"/>
        <v>2030</v>
      </c>
      <c r="AY2">
        <f t="shared" si="0"/>
        <v>2031</v>
      </c>
      <c r="AZ2">
        <f t="shared" si="0"/>
        <v>2032</v>
      </c>
      <c r="BA2">
        <f t="shared" si="0"/>
        <v>2033</v>
      </c>
      <c r="BB2">
        <f t="shared" si="0"/>
        <v>2034</v>
      </c>
      <c r="BC2">
        <f t="shared" si="0"/>
        <v>2035</v>
      </c>
      <c r="BD2">
        <f t="shared" ref="BD2" si="1">+BC2+1</f>
        <v>2036</v>
      </c>
      <c r="BE2">
        <f t="shared" ref="BE2" si="2">+BD2+1</f>
        <v>2037</v>
      </c>
      <c r="BF2">
        <f t="shared" ref="BF2" si="3">+BE2+1</f>
        <v>2038</v>
      </c>
      <c r="BG2">
        <f t="shared" ref="BG2" si="4">+BF2+1</f>
        <v>2039</v>
      </c>
      <c r="BH2">
        <f t="shared" ref="BH2" si="5">+BG2+1</f>
        <v>2040</v>
      </c>
    </row>
    <row r="3" spans="1:60" x14ac:dyDescent="0.25">
      <c r="B3" t="s">
        <v>51</v>
      </c>
      <c r="AT3" s="2">
        <v>200</v>
      </c>
      <c r="AU3" s="2">
        <v>400</v>
      </c>
      <c r="AV3" s="2">
        <v>600</v>
      </c>
      <c r="AW3" s="2">
        <v>800</v>
      </c>
      <c r="AX3" s="2">
        <v>1000</v>
      </c>
      <c r="AY3" s="2">
        <f>+AX3*1.01</f>
        <v>1010</v>
      </c>
      <c r="AZ3" s="2">
        <f t="shared" ref="AZ3:BC4" si="6">+AY3*1.01</f>
        <v>1020.1</v>
      </c>
      <c r="BA3" s="2">
        <f t="shared" si="6"/>
        <v>1030.3009999999999</v>
      </c>
      <c r="BB3" s="2">
        <f t="shared" si="6"/>
        <v>1040.60401</v>
      </c>
      <c r="BC3" s="2">
        <f t="shared" si="6"/>
        <v>1051.0100500999999</v>
      </c>
      <c r="BD3" s="2">
        <f t="shared" ref="BD3:BD4" si="7">+BC3*1.01</f>
        <v>1061.5201506009998</v>
      </c>
      <c r="BE3" s="2">
        <f t="shared" ref="BE3:BE4" si="8">+BD3*1.01</f>
        <v>1072.1353521070098</v>
      </c>
      <c r="BF3" s="2">
        <f t="shared" ref="BF3:BF4" si="9">+BE3*1.01</f>
        <v>1082.8567056280799</v>
      </c>
      <c r="BG3" s="2">
        <f t="shared" ref="BG3:BG4" si="10">+BF3*1.01</f>
        <v>1093.6852726843608</v>
      </c>
      <c r="BH3" s="2">
        <f t="shared" ref="BH3" si="11">+BG3*1.01</f>
        <v>1104.6221254112045</v>
      </c>
    </row>
    <row r="4" spans="1:60" s="2" customFormat="1" x14ac:dyDescent="0.25">
      <c r="B4" s="2" t="s">
        <v>366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AC4" s="2">
        <v>50</v>
      </c>
      <c r="AD4" s="2">
        <v>100</v>
      </c>
      <c r="AE4" s="2">
        <v>150</v>
      </c>
      <c r="AF4" s="2">
        <v>200</v>
      </c>
      <c r="AS4" s="2">
        <f>SUM(AC4:AF4)</f>
        <v>500</v>
      </c>
      <c r="AT4" s="2">
        <v>2000</v>
      </c>
      <c r="AU4" s="2">
        <v>3000</v>
      </c>
      <c r="AV4" s="2">
        <v>4000</v>
      </c>
      <c r="AW4" s="2">
        <v>5000</v>
      </c>
      <c r="AX4" s="2">
        <f>+AW4*1.01</f>
        <v>5050</v>
      </c>
      <c r="AY4" s="2">
        <f>+AX4*1.01</f>
        <v>5100.5</v>
      </c>
      <c r="AZ4" s="2">
        <f t="shared" ref="AZ4:BB4" si="12">+AY4*1.01</f>
        <v>5151.5050000000001</v>
      </c>
      <c r="BA4" s="2">
        <f t="shared" si="12"/>
        <v>5203.0200500000001</v>
      </c>
      <c r="BB4" s="2">
        <f t="shared" si="12"/>
        <v>5255.0502505000004</v>
      </c>
      <c r="BC4" s="2">
        <f t="shared" si="6"/>
        <v>5307.6007530050001</v>
      </c>
      <c r="BD4" s="2">
        <f t="shared" si="7"/>
        <v>5360.6767605350506</v>
      </c>
      <c r="BE4" s="2">
        <f t="shared" si="8"/>
        <v>5414.2835281404014</v>
      </c>
      <c r="BF4" s="2">
        <f t="shared" si="9"/>
        <v>5468.426363421805</v>
      </c>
      <c r="BG4" s="2">
        <f t="shared" si="10"/>
        <v>5523.1106270560231</v>
      </c>
      <c r="BH4" s="2">
        <f t="shared" ref="BH4" si="13">+BG4*0.1</f>
        <v>552.31106270560235</v>
      </c>
    </row>
    <row r="5" spans="1:60" s="2" customFormat="1" x14ac:dyDescent="0.25">
      <c r="B5" s="2" t="s">
        <v>40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</row>
    <row r="6" spans="1:60" s="2" customFormat="1" x14ac:dyDescent="0.25">
      <c r="B6" s="2" t="s">
        <v>36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AR6" s="2">
        <v>5</v>
      </c>
      <c r="AS6" s="2">
        <v>10</v>
      </c>
      <c r="AT6" s="2">
        <v>15</v>
      </c>
      <c r="AU6" s="2">
        <v>20</v>
      </c>
      <c r="AV6" s="2">
        <f>+AU6*1.01</f>
        <v>20.2</v>
      </c>
      <c r="AW6" s="2">
        <f t="shared" ref="AW6:BC6" si="14">+AV6*1.01</f>
        <v>20.402000000000001</v>
      </c>
      <c r="AX6" s="2">
        <f t="shared" si="14"/>
        <v>20.606020000000001</v>
      </c>
      <c r="AY6" s="2">
        <f t="shared" si="14"/>
        <v>20.8120802</v>
      </c>
      <c r="AZ6" s="2">
        <f t="shared" si="14"/>
        <v>21.020201002</v>
      </c>
      <c r="BA6" s="2">
        <f t="shared" si="14"/>
        <v>21.230403012020002</v>
      </c>
      <c r="BB6" s="2">
        <f t="shared" si="14"/>
        <v>21.442707042140203</v>
      </c>
      <c r="BC6" s="2">
        <f t="shared" si="14"/>
        <v>21.657134112561604</v>
      </c>
      <c r="BD6" s="2">
        <f t="shared" ref="BD6" si="15">+BC6*1.01</f>
        <v>21.873705453687219</v>
      </c>
      <c r="BE6" s="2">
        <f t="shared" ref="BE6" si="16">+BD6*1.01</f>
        <v>22.092442508224092</v>
      </c>
      <c r="BF6" s="2">
        <f t="shared" ref="BF6" si="17">+BE6*1.01</f>
        <v>22.313366933306334</v>
      </c>
      <c r="BG6" s="2">
        <f t="shared" ref="BG6" si="18">+BF6*1.01</f>
        <v>22.536500602639396</v>
      </c>
      <c r="BH6" s="2">
        <f t="shared" ref="BH6" si="19">+BG6*1.01</f>
        <v>22.76186560866579</v>
      </c>
    </row>
    <row r="7" spans="1:60" s="2" customFormat="1" x14ac:dyDescent="0.25">
      <c r="B7" s="2" t="s">
        <v>267</v>
      </c>
      <c r="C7" s="12"/>
      <c r="D7" s="12">
        <v>1.9330000000000001</v>
      </c>
      <c r="E7" s="12">
        <v>1.1819999999999999</v>
      </c>
      <c r="F7" s="12">
        <v>0.91300000000000003</v>
      </c>
      <c r="G7" s="12"/>
      <c r="H7" s="12"/>
      <c r="I7" s="12">
        <v>0</v>
      </c>
      <c r="J7" s="12"/>
      <c r="K7" s="12">
        <v>2</v>
      </c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1:60" s="2" customFormat="1" x14ac:dyDescent="0.25">
      <c r="B8" s="2" t="s">
        <v>21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420</v>
      </c>
      <c r="I8" s="12">
        <v>895</v>
      </c>
      <c r="J8" s="12">
        <v>918</v>
      </c>
      <c r="K8" s="12">
        <v>960</v>
      </c>
      <c r="L8" s="12">
        <v>1091</v>
      </c>
      <c r="M8" s="12">
        <v>1193.2</v>
      </c>
      <c r="N8" s="12">
        <v>1256</v>
      </c>
      <c r="O8" s="12">
        <v>1556</v>
      </c>
      <c r="P8" s="12">
        <v>1693</v>
      </c>
      <c r="Q8" s="12">
        <v>1761.6</v>
      </c>
      <c r="R8" s="12">
        <v>1893</v>
      </c>
      <c r="S8" s="12">
        <v>2010.5</v>
      </c>
      <c r="T8" s="12">
        <v>2022</v>
      </c>
      <c r="U8" s="12">
        <v>2096.6999999999998</v>
      </c>
      <c r="V8" s="2">
        <v>2240.4</v>
      </c>
      <c r="W8" s="2">
        <v>2274.3000000000002</v>
      </c>
      <c r="X8" s="2">
        <v>2333.3000000000002</v>
      </c>
      <c r="Y8" s="2">
        <v>2483.6</v>
      </c>
      <c r="Z8" s="2">
        <v>2449.1999999999998</v>
      </c>
      <c r="AA8" s="2">
        <v>2585</v>
      </c>
      <c r="AB8" s="2">
        <v>2720.8</v>
      </c>
      <c r="AC8" s="2">
        <f>+Y8*1.1</f>
        <v>2731.96</v>
      </c>
      <c r="AD8" s="2">
        <f>+Z8*1.1</f>
        <v>2694.12</v>
      </c>
      <c r="AE8" s="2">
        <f>+AA8*1.1</f>
        <v>2843.5000000000005</v>
      </c>
      <c r="AF8" s="2">
        <f>+AB8*1.1</f>
        <v>2992.8800000000006</v>
      </c>
      <c r="AO8" s="2">
        <f>SUM(M8:P8)</f>
        <v>5698.2</v>
      </c>
      <c r="AP8" s="2">
        <f t="shared" ref="AP8:AP10" si="20">SUM(Q8:T8)</f>
        <v>7687.1</v>
      </c>
      <c r="AQ8" s="2">
        <f>SUM(U8:X8)</f>
        <v>8944.7000000000007</v>
      </c>
      <c r="AR8" s="2">
        <f>+AQ8*1.1</f>
        <v>9839.1700000000019</v>
      </c>
      <c r="AS8" s="2">
        <f>+AR8*1.02</f>
        <v>10035.953400000002</v>
      </c>
      <c r="AT8" s="2">
        <f t="shared" ref="AT8:BA8" si="21">+AS8*1.02</f>
        <v>10236.672468000002</v>
      </c>
      <c r="AU8" s="2">
        <f t="shared" si="21"/>
        <v>10441.405917360004</v>
      </c>
      <c r="AV8" s="2">
        <f t="shared" si="21"/>
        <v>10650.234035707204</v>
      </c>
      <c r="AW8" s="2">
        <f t="shared" si="21"/>
        <v>10863.238716421349</v>
      </c>
      <c r="AX8" s="2">
        <f t="shared" si="21"/>
        <v>11080.503490749776</v>
      </c>
      <c r="AY8" s="2">
        <f t="shared" si="21"/>
        <v>11302.113560564771</v>
      </c>
      <c r="AZ8" s="2">
        <f t="shared" si="21"/>
        <v>11528.155831776066</v>
      </c>
      <c r="BA8" s="2">
        <f t="shared" si="21"/>
        <v>11758.718948411588</v>
      </c>
      <c r="BB8" s="2">
        <f>+BA8*0.5</f>
        <v>5879.359474205794</v>
      </c>
      <c r="BC8" s="2">
        <f>+BB8*0.1</f>
        <v>587.9359474205794</v>
      </c>
      <c r="BD8" s="2">
        <f t="shared" ref="BD8:BH8" si="22">+BC8*0.1</f>
        <v>58.793594742057941</v>
      </c>
      <c r="BE8" s="2">
        <f t="shared" si="22"/>
        <v>5.8793594742057946</v>
      </c>
      <c r="BF8" s="2">
        <f t="shared" si="22"/>
        <v>0.58793594742057953</v>
      </c>
      <c r="BG8" s="2">
        <f t="shared" si="22"/>
        <v>5.8793594742057954E-2</v>
      </c>
      <c r="BH8" s="2">
        <f t="shared" si="22"/>
        <v>5.879359474205796E-3</v>
      </c>
    </row>
    <row r="9" spans="1:60" s="2" customFormat="1" x14ac:dyDescent="0.25">
      <c r="B9" s="2" t="s">
        <v>22</v>
      </c>
      <c r="C9" s="12">
        <v>255</v>
      </c>
      <c r="D9" s="12">
        <v>294</v>
      </c>
      <c r="E9" s="12">
        <v>320</v>
      </c>
      <c r="F9" s="12">
        <v>362</v>
      </c>
      <c r="G9" s="12">
        <v>404</v>
      </c>
      <c r="H9" s="12">
        <v>331.5</v>
      </c>
      <c r="I9" s="12">
        <v>173</v>
      </c>
      <c r="J9" s="12">
        <v>172</v>
      </c>
      <c r="K9" s="12">
        <v>156</v>
      </c>
      <c r="L9" s="12">
        <v>128</v>
      </c>
      <c r="M9" s="12">
        <v>125.1</v>
      </c>
      <c r="N9" s="12">
        <v>134</v>
      </c>
      <c r="O9" s="12">
        <v>81</v>
      </c>
      <c r="P9" s="12">
        <v>80</v>
      </c>
      <c r="Q9" s="12">
        <v>64.8</v>
      </c>
      <c r="R9" s="12">
        <v>43</v>
      </c>
      <c r="S9" s="12">
        <v>38.200000000000003</v>
      </c>
      <c r="T9" s="12">
        <v>34</v>
      </c>
      <c r="U9" s="12"/>
      <c r="AO9" s="2">
        <f t="shared" ref="AO9:AO14" si="23">SUM(M9:P9)</f>
        <v>420.1</v>
      </c>
      <c r="AP9" s="2">
        <f t="shared" si="20"/>
        <v>180</v>
      </c>
      <c r="AQ9" s="29" t="s">
        <v>355</v>
      </c>
    </row>
    <row r="10" spans="1:60" s="2" customFormat="1" x14ac:dyDescent="0.25">
      <c r="B10" s="2" t="s">
        <v>23</v>
      </c>
      <c r="C10" s="12">
        <v>282</v>
      </c>
      <c r="D10" s="12">
        <v>315</v>
      </c>
      <c r="E10" s="12">
        <v>293</v>
      </c>
      <c r="F10" s="12">
        <v>316</v>
      </c>
      <c r="G10" s="12">
        <v>297</v>
      </c>
      <c r="H10" s="12">
        <v>269.8</v>
      </c>
      <c r="I10" s="12">
        <v>234</v>
      </c>
      <c r="J10" s="12">
        <v>231.7</v>
      </c>
      <c r="K10" s="12">
        <v>226</v>
      </c>
      <c r="L10" s="12">
        <v>215</v>
      </c>
      <c r="M10" s="12">
        <v>218.7</v>
      </c>
      <c r="N10" s="12">
        <v>221</v>
      </c>
      <c r="O10" s="12">
        <v>185</v>
      </c>
      <c r="P10" s="12">
        <v>147</v>
      </c>
      <c r="Q10" s="12">
        <v>132.1</v>
      </c>
      <c r="R10" s="12">
        <v>122</v>
      </c>
      <c r="S10" s="12">
        <v>146.19999999999999</v>
      </c>
      <c r="T10" s="12">
        <v>111</v>
      </c>
      <c r="U10" s="12"/>
      <c r="AO10" s="2">
        <f t="shared" si="23"/>
        <v>771.7</v>
      </c>
      <c r="AP10" s="2">
        <f t="shared" si="20"/>
        <v>511.29999999999995</v>
      </c>
      <c r="AQ10" s="29" t="s">
        <v>354</v>
      </c>
    </row>
    <row r="11" spans="1:60" s="2" customFormat="1" x14ac:dyDescent="0.25">
      <c r="B11" s="2" t="s">
        <v>323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>
        <v>278.10000000000002</v>
      </c>
      <c r="V11" s="2">
        <v>252.8</v>
      </c>
      <c r="W11" s="2">
        <v>209.3</v>
      </c>
      <c r="X11" s="2">
        <v>184.4</v>
      </c>
      <c r="Y11" s="2">
        <v>207</v>
      </c>
      <c r="Z11" s="2">
        <v>196.4</v>
      </c>
      <c r="AA11" s="2">
        <v>186.9</v>
      </c>
      <c r="AB11" s="2">
        <v>191.2</v>
      </c>
      <c r="AQ11" s="2">
        <f>SUM(U11:X11)</f>
        <v>924.6</v>
      </c>
      <c r="AR11" s="2">
        <f>+AQ11*1.01</f>
        <v>933.846</v>
      </c>
      <c r="AS11" s="2">
        <f t="shared" ref="AS11:BB11" si="24">+AR11*1.01</f>
        <v>943.18446000000006</v>
      </c>
      <c r="AT11" s="2">
        <f t="shared" si="24"/>
        <v>952.61630460000003</v>
      </c>
      <c r="AU11" s="2">
        <f t="shared" si="24"/>
        <v>962.142467646</v>
      </c>
      <c r="AV11" s="2">
        <f t="shared" si="24"/>
        <v>971.76389232246004</v>
      </c>
      <c r="AW11" s="2">
        <f t="shared" si="24"/>
        <v>981.48153124568466</v>
      </c>
      <c r="AX11" s="2">
        <f t="shared" si="24"/>
        <v>991.29634655814152</v>
      </c>
      <c r="AY11" s="2">
        <f t="shared" si="24"/>
        <v>1001.209310023723</v>
      </c>
      <c r="AZ11" s="2">
        <f t="shared" si="24"/>
        <v>1011.2214031239603</v>
      </c>
      <c r="BA11" s="2">
        <f t="shared" si="24"/>
        <v>1021.3336171551999</v>
      </c>
      <c r="BB11" s="2">
        <f t="shared" si="24"/>
        <v>1031.5469533267519</v>
      </c>
    </row>
    <row r="12" spans="1:60" s="2" customFormat="1" x14ac:dyDescent="0.25">
      <c r="B12" s="2" t="s">
        <v>13</v>
      </c>
      <c r="C12" s="12">
        <v>246</v>
      </c>
      <c r="D12" s="12">
        <v>259</v>
      </c>
      <c r="E12" s="12">
        <v>244</v>
      </c>
      <c r="F12" s="12">
        <v>262</v>
      </c>
      <c r="G12" s="12">
        <v>249</v>
      </c>
      <c r="H12" s="12">
        <v>235.7</v>
      </c>
      <c r="I12" s="12">
        <v>213</v>
      </c>
      <c r="J12" s="12">
        <v>202.7</v>
      </c>
      <c r="K12" s="12">
        <v>194</v>
      </c>
      <c r="L12" s="12">
        <v>193</v>
      </c>
      <c r="M12" s="12">
        <v>186.3</v>
      </c>
      <c r="N12" s="12">
        <v>183</v>
      </c>
      <c r="O12" s="12">
        <v>162</v>
      </c>
      <c r="P12" s="12">
        <v>152</v>
      </c>
      <c r="Q12" s="12">
        <v>139</v>
      </c>
      <c r="R12" s="12">
        <v>139</v>
      </c>
      <c r="S12" s="12">
        <v>139.4</v>
      </c>
      <c r="T12" s="12">
        <v>136</v>
      </c>
      <c r="U12" s="12"/>
      <c r="AO12" s="2">
        <f t="shared" si="23"/>
        <v>683.3</v>
      </c>
      <c r="AP12" s="2">
        <f>SUM(Q12:T12)</f>
        <v>553.4</v>
      </c>
      <c r="AQ12" s="29" t="s">
        <v>353</v>
      </c>
    </row>
    <row r="13" spans="1:60" s="13" customFormat="1" ht="13" x14ac:dyDescent="0.3">
      <c r="B13" s="13" t="s">
        <v>24</v>
      </c>
      <c r="C13" s="14">
        <f t="shared" ref="C13:K13" si="25">SUM(C8:C12)+C7</f>
        <v>783</v>
      </c>
      <c r="D13" s="14">
        <f t="shared" si="25"/>
        <v>869.93299999999999</v>
      </c>
      <c r="E13" s="14">
        <f t="shared" si="25"/>
        <v>858.18200000000002</v>
      </c>
      <c r="F13" s="14">
        <f t="shared" si="25"/>
        <v>940.91300000000001</v>
      </c>
      <c r="G13" s="14">
        <f t="shared" si="25"/>
        <v>950</v>
      </c>
      <c r="H13" s="14">
        <f t="shared" si="25"/>
        <v>1257</v>
      </c>
      <c r="I13" s="14">
        <f t="shared" si="25"/>
        <v>1515</v>
      </c>
      <c r="J13" s="14">
        <f t="shared" si="25"/>
        <v>1524.4</v>
      </c>
      <c r="K13" s="14">
        <f t="shared" si="25"/>
        <v>1538</v>
      </c>
      <c r="L13" s="14">
        <f t="shared" ref="L13:P13" si="26">SUM(L8:L12)</f>
        <v>1627</v>
      </c>
      <c r="M13" s="14">
        <f t="shared" si="26"/>
        <v>1723.3</v>
      </c>
      <c r="N13" s="14">
        <f t="shared" si="26"/>
        <v>1794</v>
      </c>
      <c r="O13" s="14">
        <f t="shared" si="26"/>
        <v>1984</v>
      </c>
      <c r="P13" s="14">
        <f t="shared" si="26"/>
        <v>2072</v>
      </c>
      <c r="Q13" s="14">
        <f>SUM(Q8:Q12)</f>
        <v>2097.5</v>
      </c>
      <c r="R13" s="14">
        <f t="shared" ref="R13:W13" si="27">SUM(R8:R12)</f>
        <v>2197</v>
      </c>
      <c r="S13" s="14">
        <f t="shared" si="27"/>
        <v>2334.2999999999997</v>
      </c>
      <c r="T13" s="14">
        <f t="shared" si="27"/>
        <v>2303</v>
      </c>
      <c r="U13" s="14">
        <f t="shared" si="27"/>
        <v>2374.7999999999997</v>
      </c>
      <c r="V13" s="14">
        <f t="shared" si="27"/>
        <v>2493.2000000000003</v>
      </c>
      <c r="W13" s="14">
        <f t="shared" si="27"/>
        <v>2483.6000000000004</v>
      </c>
      <c r="X13" s="14">
        <f>+X11+X8</f>
        <v>2517.7000000000003</v>
      </c>
      <c r="Y13" s="14">
        <f t="shared" ref="Y13:AF13" si="28">SUM(Y8:Y12)</f>
        <v>2690.6</v>
      </c>
      <c r="Z13" s="14">
        <f t="shared" si="28"/>
        <v>2645.6</v>
      </c>
      <c r="AA13" s="14">
        <f t="shared" si="28"/>
        <v>2771.9</v>
      </c>
      <c r="AB13" s="14">
        <f t="shared" si="28"/>
        <v>2912</v>
      </c>
      <c r="AC13" s="14">
        <f t="shared" si="28"/>
        <v>2731.96</v>
      </c>
      <c r="AD13" s="14">
        <f t="shared" si="28"/>
        <v>2694.12</v>
      </c>
      <c r="AE13" s="14">
        <f t="shared" si="28"/>
        <v>2843.5000000000005</v>
      </c>
      <c r="AF13" s="14">
        <f t="shared" si="28"/>
        <v>2992.8800000000006</v>
      </c>
      <c r="AG13" s="14"/>
      <c r="AN13" s="13">
        <f t="shared" ref="AN13" si="29">SUM(AN8:AN12)</f>
        <v>0</v>
      </c>
      <c r="AO13" s="13">
        <f>SUM(AO8:AO12)</f>
        <v>7573.3</v>
      </c>
      <c r="AP13" s="13">
        <f>SUM(AP8:AP12)</f>
        <v>8931.7999999999993</v>
      </c>
      <c r="AQ13" s="13">
        <f>SUM(AQ3:AQ12)</f>
        <v>9869.3000000000011</v>
      </c>
      <c r="AR13" s="13">
        <f t="shared" ref="AR13:BC13" si="30">SUM(AR3:AR12)</f>
        <v>10778.016000000001</v>
      </c>
      <c r="AS13" s="13">
        <f t="shared" si="30"/>
        <v>11489.137860000003</v>
      </c>
      <c r="AT13" s="13">
        <f t="shared" si="30"/>
        <v>13404.288772600003</v>
      </c>
      <c r="AU13" s="13">
        <f t="shared" si="30"/>
        <v>14823.548385006003</v>
      </c>
      <c r="AV13" s="13">
        <f t="shared" si="30"/>
        <v>16242.197928029664</v>
      </c>
      <c r="AW13" s="13">
        <f t="shared" si="30"/>
        <v>17665.122247667034</v>
      </c>
      <c r="AX13" s="13">
        <f>SUM(AX3:AX12)</f>
        <v>18142.405857307916</v>
      </c>
      <c r="AY13" s="13">
        <f t="shared" si="30"/>
        <v>18434.634950788492</v>
      </c>
      <c r="AZ13" s="13">
        <f t="shared" si="30"/>
        <v>18732.002435902028</v>
      </c>
      <c r="BA13" s="13">
        <f t="shared" si="30"/>
        <v>19034.604018578808</v>
      </c>
      <c r="BB13" s="13">
        <f t="shared" si="30"/>
        <v>13228.003395074686</v>
      </c>
      <c r="BC13" s="13">
        <f t="shared" si="30"/>
        <v>6968.2038846381411</v>
      </c>
      <c r="BD13" s="13">
        <f t="shared" ref="BD13:BH13" si="31">SUM(BD3:BD12)</f>
        <v>6502.8642113317956</v>
      </c>
      <c r="BE13" s="13">
        <f t="shared" si="31"/>
        <v>6514.3906822298404</v>
      </c>
      <c r="BF13" s="13">
        <f t="shared" si="31"/>
        <v>6574.1843719306116</v>
      </c>
      <c r="BG13" s="13">
        <f t="shared" si="31"/>
        <v>6639.3911939377658</v>
      </c>
      <c r="BH13" s="13">
        <f t="shared" si="31"/>
        <v>1679.7009330849469</v>
      </c>
    </row>
    <row r="14" spans="1:60" s="2" customFormat="1" x14ac:dyDescent="0.25">
      <c r="B14" s="2" t="s">
        <v>57</v>
      </c>
      <c r="C14" s="12">
        <v>111.255</v>
      </c>
      <c r="D14" s="12">
        <v>122.289</v>
      </c>
      <c r="E14" s="12">
        <v>95.091999999999999</v>
      </c>
      <c r="F14" s="12">
        <v>135.74</v>
      </c>
      <c r="G14" s="12">
        <v>131.91399999999999</v>
      </c>
      <c r="H14" s="12">
        <v>185.012</v>
      </c>
      <c r="I14" s="12">
        <v>162.49700000000001</v>
      </c>
      <c r="J14" s="12">
        <v>184.5</v>
      </c>
      <c r="K14" s="12">
        <v>186.18199999999999</v>
      </c>
      <c r="L14" s="12">
        <v>203.1</v>
      </c>
      <c r="M14" s="12">
        <v>192.3</v>
      </c>
      <c r="N14" s="12">
        <v>228</v>
      </c>
      <c r="O14" s="12">
        <v>236.512</v>
      </c>
      <c r="P14" s="12">
        <v>247.4</v>
      </c>
      <c r="Q14" s="12">
        <v>145.80000000000001</v>
      </c>
      <c r="R14" s="12">
        <v>261.8</v>
      </c>
      <c r="S14" s="12">
        <v>287</v>
      </c>
      <c r="T14" s="12">
        <v>280.89999999999998</v>
      </c>
      <c r="U14" s="12">
        <v>265</v>
      </c>
      <c r="V14" s="2">
        <v>306.8</v>
      </c>
      <c r="W14" s="2">
        <v>317</v>
      </c>
      <c r="X14" s="2">
        <v>364.2</v>
      </c>
      <c r="Y14" s="2">
        <v>335.8</v>
      </c>
      <c r="Z14" s="2">
        <v>365</v>
      </c>
      <c r="AA14" s="2">
        <v>385.7</v>
      </c>
      <c r="AB14" s="2">
        <v>416.3</v>
      </c>
      <c r="AO14" s="2">
        <f t="shared" si="23"/>
        <v>904.21199999999999</v>
      </c>
      <c r="AP14" s="2">
        <f>SUM(Q14:T14)</f>
        <v>975.5</v>
      </c>
      <c r="AQ14" s="2">
        <f t="shared" ref="AQ14:AQ17" si="32">SUM(U14:X14)</f>
        <v>1253</v>
      </c>
      <c r="AR14" s="2">
        <f t="shared" ref="AR14:BC14" si="33">+AR13*0.07</f>
        <v>754.46112000000016</v>
      </c>
      <c r="AS14" s="2">
        <f t="shared" si="33"/>
        <v>804.23965020000026</v>
      </c>
      <c r="AT14" s="2">
        <f t="shared" si="33"/>
        <v>938.30021408200025</v>
      </c>
      <c r="AU14" s="2">
        <f t="shared" si="33"/>
        <v>1037.6483869504202</v>
      </c>
      <c r="AV14" s="2">
        <f t="shared" si="33"/>
        <v>1136.9538549620765</v>
      </c>
      <c r="AW14" s="2">
        <f t="shared" si="33"/>
        <v>1236.5585573366925</v>
      </c>
      <c r="AX14" s="2">
        <f t="shared" si="33"/>
        <v>1269.9684100115542</v>
      </c>
      <c r="AY14" s="2">
        <f t="shared" si="33"/>
        <v>1290.4244465551944</v>
      </c>
      <c r="AZ14" s="2">
        <f t="shared" si="33"/>
        <v>1311.2401705131422</v>
      </c>
      <c r="BA14" s="2">
        <f t="shared" si="33"/>
        <v>1332.4222813005167</v>
      </c>
      <c r="BB14" s="2">
        <f t="shared" si="33"/>
        <v>925.96023765522807</v>
      </c>
      <c r="BC14" s="2">
        <f t="shared" si="33"/>
        <v>487.7742719246699</v>
      </c>
      <c r="BD14" s="2">
        <f t="shared" ref="BD14:BH14" si="34">+BD13*0.07</f>
        <v>455.20049479322574</v>
      </c>
      <c r="BE14" s="2">
        <f t="shared" si="34"/>
        <v>456.00734775608885</v>
      </c>
      <c r="BF14" s="2">
        <f t="shared" si="34"/>
        <v>460.19290603514287</v>
      </c>
      <c r="BG14" s="2">
        <f t="shared" si="34"/>
        <v>464.75738357564364</v>
      </c>
      <c r="BH14" s="2">
        <f t="shared" si="34"/>
        <v>117.57906531594629</v>
      </c>
    </row>
    <row r="15" spans="1:60" s="2" customFormat="1" x14ac:dyDescent="0.25">
      <c r="B15" s="2" t="s">
        <v>58</v>
      </c>
      <c r="C15" s="12">
        <f t="shared" ref="C15:J15" si="35">+C13-C14</f>
        <v>671.745</v>
      </c>
      <c r="D15" s="12">
        <f t="shared" si="35"/>
        <v>747.64400000000001</v>
      </c>
      <c r="E15" s="12">
        <f t="shared" si="35"/>
        <v>763.09</v>
      </c>
      <c r="F15" s="12">
        <f t="shared" si="35"/>
        <v>805.173</v>
      </c>
      <c r="G15" s="12">
        <f t="shared" si="35"/>
        <v>818.08600000000001</v>
      </c>
      <c r="H15" s="12">
        <f t="shared" si="35"/>
        <v>1071.9880000000001</v>
      </c>
      <c r="I15" s="12">
        <f t="shared" si="35"/>
        <v>1352.5029999999999</v>
      </c>
      <c r="J15" s="12">
        <f t="shared" si="35"/>
        <v>1339.9</v>
      </c>
      <c r="K15" s="12">
        <f t="shared" ref="K15:L15" si="36">+K13-K14</f>
        <v>1351.818</v>
      </c>
      <c r="L15" s="12">
        <f t="shared" si="36"/>
        <v>1423.9</v>
      </c>
      <c r="M15" s="12">
        <f>+M13-M14</f>
        <v>1531</v>
      </c>
      <c r="N15" s="12">
        <f>+N13-N14</f>
        <v>1566</v>
      </c>
      <c r="O15" s="12">
        <f>+O13-O14</f>
        <v>1747.4880000000001</v>
      </c>
      <c r="P15" s="12">
        <f>+P13-P14</f>
        <v>1824.6</v>
      </c>
      <c r="Q15" s="12">
        <f>+Q13-Q14</f>
        <v>1951.7</v>
      </c>
      <c r="R15" s="12">
        <f t="shared" ref="R15:T15" si="37">+R13-R14</f>
        <v>1935.2</v>
      </c>
      <c r="S15" s="12">
        <f>+S13-S14</f>
        <v>2047.2999999999997</v>
      </c>
      <c r="T15" s="12">
        <f t="shared" si="37"/>
        <v>2022.1</v>
      </c>
      <c r="U15" s="12">
        <f t="shared" ref="U15:AB15" si="38">+U13-U14</f>
        <v>2109.7999999999997</v>
      </c>
      <c r="V15" s="2">
        <f t="shared" si="38"/>
        <v>2186.4</v>
      </c>
      <c r="W15" s="2">
        <f t="shared" si="38"/>
        <v>2166.6000000000004</v>
      </c>
      <c r="X15" s="2">
        <f t="shared" si="38"/>
        <v>2153.5000000000005</v>
      </c>
      <c r="Y15" s="2">
        <f t="shared" si="38"/>
        <v>2354.7999999999997</v>
      </c>
      <c r="Z15" s="2">
        <f t="shared" si="38"/>
        <v>2280.6</v>
      </c>
      <c r="AA15" s="2">
        <f t="shared" si="38"/>
        <v>2386.2000000000003</v>
      </c>
      <c r="AB15" s="2">
        <f t="shared" si="38"/>
        <v>2495.6999999999998</v>
      </c>
      <c r="AN15" s="2">
        <f t="shared" ref="AN15" si="39">+AN13-AN14</f>
        <v>0</v>
      </c>
      <c r="AO15" s="2">
        <f>+AO13-AO14</f>
        <v>6669.0879999999997</v>
      </c>
      <c r="AP15" s="2">
        <f>+AP13-AP14</f>
        <v>7956.2999999999993</v>
      </c>
      <c r="AQ15" s="2">
        <f>+AQ13-AQ14</f>
        <v>8616.3000000000011</v>
      </c>
      <c r="AR15" s="2">
        <f t="shared" ref="AR15:BC15" si="40">+AR13-AR14</f>
        <v>10023.554880000002</v>
      </c>
      <c r="AS15" s="2">
        <f t="shared" si="40"/>
        <v>10684.898209800001</v>
      </c>
      <c r="AT15" s="2">
        <f t="shared" si="40"/>
        <v>12465.988558518002</v>
      </c>
      <c r="AU15" s="2">
        <f t="shared" si="40"/>
        <v>13785.899998055582</v>
      </c>
      <c r="AV15" s="2">
        <f t="shared" si="40"/>
        <v>15105.244073067588</v>
      </c>
      <c r="AW15" s="2">
        <f t="shared" si="40"/>
        <v>16428.563690330342</v>
      </c>
      <c r="AX15" s="2">
        <f t="shared" si="40"/>
        <v>16872.437447296361</v>
      </c>
      <c r="AY15" s="2">
        <f t="shared" si="40"/>
        <v>17144.210504233299</v>
      </c>
      <c r="AZ15" s="2">
        <f t="shared" si="40"/>
        <v>17420.762265388887</v>
      </c>
      <c r="BA15" s="2">
        <f t="shared" si="40"/>
        <v>17702.18173727829</v>
      </c>
      <c r="BB15" s="2">
        <f t="shared" si="40"/>
        <v>12302.043157419457</v>
      </c>
      <c r="BC15" s="2">
        <f t="shared" si="40"/>
        <v>6480.4296127134712</v>
      </c>
      <c r="BD15" s="2">
        <f t="shared" ref="BD15:BH15" si="41">+BD13-BD14</f>
        <v>6047.66371653857</v>
      </c>
      <c r="BE15" s="2">
        <f t="shared" si="41"/>
        <v>6058.3833344737513</v>
      </c>
      <c r="BF15" s="2">
        <f t="shared" si="41"/>
        <v>6113.9914658954685</v>
      </c>
      <c r="BG15" s="2">
        <f t="shared" si="41"/>
        <v>6174.6338103621219</v>
      </c>
      <c r="BH15" s="2">
        <f t="shared" si="41"/>
        <v>1562.1218677690006</v>
      </c>
    </row>
    <row r="16" spans="1:60" s="2" customFormat="1" x14ac:dyDescent="0.25">
      <c r="B16" s="2" t="s">
        <v>59</v>
      </c>
      <c r="C16" s="12">
        <v>137.29499999999999</v>
      </c>
      <c r="D16" s="12">
        <v>153.21</v>
      </c>
      <c r="E16" s="12">
        <v>147.04499999999999</v>
      </c>
      <c r="F16" s="12">
        <v>156.50200000000001</v>
      </c>
      <c r="G16" s="12">
        <v>159.67400000000001</v>
      </c>
      <c r="H16" s="12">
        <v>195.27699999999999</v>
      </c>
      <c r="I16" s="12">
        <v>182.25800000000001</v>
      </c>
      <c r="J16" s="12">
        <v>191.8</v>
      </c>
      <c r="K16" s="12">
        <v>184.55099999999999</v>
      </c>
      <c r="L16" s="12">
        <v>175</v>
      </c>
      <c r="M16" s="12">
        <v>151</v>
      </c>
      <c r="N16" s="12">
        <v>194.6</v>
      </c>
      <c r="O16" s="12">
        <v>198.18899999999999</v>
      </c>
      <c r="P16" s="12">
        <v>210</v>
      </c>
      <c r="Q16" s="12">
        <v>167</v>
      </c>
      <c r="R16" s="12">
        <v>173.3</v>
      </c>
      <c r="S16" s="12">
        <v>180.4</v>
      </c>
      <c r="T16" s="12">
        <v>225.6</v>
      </c>
      <c r="U16" s="12">
        <v>196.9</v>
      </c>
      <c r="V16" s="2">
        <v>219.6</v>
      </c>
      <c r="W16" s="2">
        <v>215.7</v>
      </c>
      <c r="X16" s="2">
        <v>285.60000000000002</v>
      </c>
      <c r="Y16" s="2">
        <v>272</v>
      </c>
      <c r="Z16" s="2">
        <v>280.39999999999998</v>
      </c>
      <c r="AA16" s="2">
        <v>300.10000000000002</v>
      </c>
      <c r="AB16" s="2">
        <v>310.10000000000002</v>
      </c>
      <c r="AN16" s="2">
        <v>609</v>
      </c>
      <c r="AO16" s="2">
        <v>673</v>
      </c>
      <c r="AP16" s="2">
        <f t="shared" ref="AP16:AP17" si="42">SUM(Q16:T16)</f>
        <v>746.30000000000007</v>
      </c>
      <c r="AQ16" s="2">
        <f t="shared" si="32"/>
        <v>917.80000000000007</v>
      </c>
      <c r="AR16" s="2">
        <f t="shared" ref="AR16:BC16" si="43">+AR13*0.1</f>
        <v>1077.8016000000002</v>
      </c>
      <c r="AS16" s="2">
        <f t="shared" si="43"/>
        <v>1148.9137860000003</v>
      </c>
      <c r="AT16" s="2">
        <f t="shared" si="43"/>
        <v>1340.4288772600003</v>
      </c>
      <c r="AU16" s="2">
        <f t="shared" si="43"/>
        <v>1482.3548385006004</v>
      </c>
      <c r="AV16" s="2">
        <f t="shared" si="43"/>
        <v>1624.2197928029664</v>
      </c>
      <c r="AW16" s="2">
        <f t="shared" si="43"/>
        <v>1766.5122247667034</v>
      </c>
      <c r="AX16" s="2">
        <f t="shared" si="43"/>
        <v>1814.2405857307917</v>
      </c>
      <c r="AY16" s="2">
        <f t="shared" si="43"/>
        <v>1843.4634950788493</v>
      </c>
      <c r="AZ16" s="2">
        <f t="shared" si="43"/>
        <v>1873.2002435902029</v>
      </c>
      <c r="BA16" s="2">
        <f t="shared" si="43"/>
        <v>1903.4604018578809</v>
      </c>
      <c r="BB16" s="2">
        <f t="shared" si="43"/>
        <v>1322.8003395074686</v>
      </c>
      <c r="BC16" s="2">
        <f t="shared" si="43"/>
        <v>696.8203884638142</v>
      </c>
      <c r="BD16" s="2">
        <f t="shared" ref="BD16:BH16" si="44">+BD13*0.1</f>
        <v>650.2864211331796</v>
      </c>
      <c r="BE16" s="2">
        <f t="shared" si="44"/>
        <v>651.43906822298413</v>
      </c>
      <c r="BF16" s="2">
        <f t="shared" si="44"/>
        <v>657.41843719306121</v>
      </c>
      <c r="BG16" s="2">
        <f t="shared" si="44"/>
        <v>663.93911939377665</v>
      </c>
      <c r="BH16" s="2">
        <f t="shared" si="44"/>
        <v>167.97009330849471</v>
      </c>
    </row>
    <row r="17" spans="2:120" s="2" customFormat="1" x14ac:dyDescent="0.25">
      <c r="B17" s="2" t="s">
        <v>60</v>
      </c>
      <c r="C17" s="12">
        <v>330.51</v>
      </c>
      <c r="D17" s="12">
        <v>437.88099999999997</v>
      </c>
      <c r="E17" s="12">
        <v>339.49</v>
      </c>
      <c r="F17" s="12">
        <v>379.09100000000001</v>
      </c>
      <c r="G17" s="12">
        <v>555.94799999999998</v>
      </c>
      <c r="H17" s="12">
        <v>480.01100000000002</v>
      </c>
      <c r="I17" s="12">
        <v>448.52800000000002</v>
      </c>
      <c r="J17" s="12">
        <v>420.9</v>
      </c>
      <c r="K17" s="12">
        <v>493.49700000000001</v>
      </c>
      <c r="L17" s="12">
        <v>364</v>
      </c>
      <c r="M17" s="12">
        <v>380</v>
      </c>
      <c r="N17" s="12">
        <v>448.7</v>
      </c>
      <c r="O17" s="12">
        <v>493.75099999999998</v>
      </c>
      <c r="P17" s="12">
        <v>493</v>
      </c>
      <c r="Q17" s="12">
        <v>520</v>
      </c>
      <c r="R17" s="12">
        <v>514.79999999999995</v>
      </c>
      <c r="S17" s="12">
        <v>548.5</v>
      </c>
      <c r="T17" s="12">
        <v>623.20000000000005</v>
      </c>
      <c r="U17" s="12">
        <v>663.5</v>
      </c>
      <c r="V17" s="2">
        <v>708.4</v>
      </c>
      <c r="W17" s="2">
        <v>726</v>
      </c>
      <c r="X17" s="2">
        <v>698.8</v>
      </c>
      <c r="Y17" s="2">
        <v>669.7</v>
      </c>
      <c r="Z17" s="2">
        <v>697.2</v>
      </c>
      <c r="AA17" s="2">
        <v>764</v>
      </c>
      <c r="AB17" s="2">
        <v>899.8</v>
      </c>
      <c r="AN17" s="2">
        <v>1372</v>
      </c>
      <c r="AO17" s="2">
        <v>1658</v>
      </c>
      <c r="AP17" s="2">
        <f t="shared" si="42"/>
        <v>2206.5</v>
      </c>
      <c r="AQ17" s="2">
        <f t="shared" si="32"/>
        <v>2796.7</v>
      </c>
    </row>
    <row r="18" spans="2:120" s="2" customFormat="1" x14ac:dyDescent="0.25">
      <c r="B18" s="2" t="s">
        <v>61</v>
      </c>
      <c r="C18" s="12">
        <f t="shared" ref="C18:D18" si="45">SUM(C16:C17)</f>
        <v>467.80499999999995</v>
      </c>
      <c r="D18" s="12">
        <f t="shared" si="45"/>
        <v>591.09100000000001</v>
      </c>
      <c r="E18" s="12">
        <f t="shared" ref="E18:G18" si="46">SUM(E16:E17)</f>
        <v>486.53499999999997</v>
      </c>
      <c r="F18" s="12">
        <f t="shared" si="46"/>
        <v>535.59300000000007</v>
      </c>
      <c r="G18" s="12">
        <f t="shared" si="46"/>
        <v>715.62199999999996</v>
      </c>
      <c r="H18" s="12">
        <f t="shared" ref="H18:I18" si="47">SUM(H16:H17)</f>
        <v>675.28800000000001</v>
      </c>
      <c r="I18" s="12">
        <f t="shared" si="47"/>
        <v>630.78600000000006</v>
      </c>
      <c r="J18" s="12">
        <f t="shared" ref="J18" si="48">SUM(J16:J17)</f>
        <v>612.70000000000005</v>
      </c>
      <c r="K18" s="12">
        <f t="shared" ref="K18:L18" si="49">SUM(K16:K17)</f>
        <v>678.048</v>
      </c>
      <c r="L18" s="12">
        <f t="shared" si="49"/>
        <v>539</v>
      </c>
      <c r="M18" s="12">
        <f>SUM(M16:M17)</f>
        <v>531</v>
      </c>
      <c r="N18" s="12">
        <f t="shared" ref="N18:Q18" si="50">SUM(N16:N17)</f>
        <v>643.29999999999995</v>
      </c>
      <c r="O18" s="12">
        <f t="shared" si="50"/>
        <v>691.93999999999994</v>
      </c>
      <c r="P18" s="12">
        <f>SUM(P16:P17)</f>
        <v>703</v>
      </c>
      <c r="Q18" s="12">
        <f t="shared" si="50"/>
        <v>687</v>
      </c>
      <c r="R18" s="12">
        <f>SUM(R16:R17)</f>
        <v>688.09999999999991</v>
      </c>
      <c r="S18" s="12">
        <f>SUM(S16:S17)</f>
        <v>728.9</v>
      </c>
      <c r="T18" s="12">
        <f t="shared" ref="T18:U18" si="51">SUM(T16:T17)</f>
        <v>848.80000000000007</v>
      </c>
      <c r="U18" s="12">
        <f t="shared" si="51"/>
        <v>860.4</v>
      </c>
      <c r="V18" s="12">
        <f t="shared" ref="V18:Y18" si="52">SUM(V16:V17)</f>
        <v>928</v>
      </c>
      <c r="W18" s="12">
        <f t="shared" si="52"/>
        <v>941.7</v>
      </c>
      <c r="X18" s="12">
        <f t="shared" si="52"/>
        <v>984.4</v>
      </c>
      <c r="Y18" s="12">
        <f t="shared" si="52"/>
        <v>941.7</v>
      </c>
      <c r="Z18" s="12">
        <f t="shared" ref="Z18:AB18" si="53">SUM(Z16:Z17)</f>
        <v>977.6</v>
      </c>
      <c r="AA18" s="12">
        <f t="shared" si="53"/>
        <v>1064.0999999999999</v>
      </c>
      <c r="AB18" s="12">
        <f t="shared" si="53"/>
        <v>1209.9000000000001</v>
      </c>
      <c r="AC18" s="12"/>
      <c r="AD18" s="12"/>
      <c r="AE18" s="12"/>
      <c r="AF18" s="12"/>
      <c r="AG18" s="12"/>
      <c r="AN18" s="12">
        <f t="shared" ref="AN18:AP18" si="54">SUM(AN16:AN17)</f>
        <v>1981</v>
      </c>
      <c r="AO18" s="12">
        <f t="shared" si="54"/>
        <v>2331</v>
      </c>
      <c r="AP18" s="12">
        <f t="shared" si="54"/>
        <v>2952.8</v>
      </c>
      <c r="AQ18" s="12">
        <f t="shared" ref="AQ18:BC18" si="55">SUM(AQ16:AQ17)</f>
        <v>3714.5</v>
      </c>
      <c r="AR18" s="12">
        <f t="shared" si="55"/>
        <v>1077.8016000000002</v>
      </c>
      <c r="AS18" s="12">
        <f t="shared" si="55"/>
        <v>1148.9137860000003</v>
      </c>
      <c r="AT18" s="12">
        <f t="shared" si="55"/>
        <v>1340.4288772600003</v>
      </c>
      <c r="AU18" s="12">
        <f t="shared" si="55"/>
        <v>1482.3548385006004</v>
      </c>
      <c r="AV18" s="12">
        <f t="shared" si="55"/>
        <v>1624.2197928029664</v>
      </c>
      <c r="AW18" s="12">
        <f t="shared" si="55"/>
        <v>1766.5122247667034</v>
      </c>
      <c r="AX18" s="12">
        <f t="shared" si="55"/>
        <v>1814.2405857307917</v>
      </c>
      <c r="AY18" s="12">
        <f t="shared" si="55"/>
        <v>1843.4634950788493</v>
      </c>
      <c r="AZ18" s="12">
        <f t="shared" si="55"/>
        <v>1873.2002435902029</v>
      </c>
      <c r="BA18" s="12">
        <f t="shared" si="55"/>
        <v>1903.4604018578809</v>
      </c>
      <c r="BB18" s="12">
        <f t="shared" si="55"/>
        <v>1322.8003395074686</v>
      </c>
      <c r="BC18" s="12">
        <f t="shared" si="55"/>
        <v>696.8203884638142</v>
      </c>
      <c r="BD18" s="12">
        <f t="shared" ref="BD18:BH18" si="56">SUM(BD16:BD17)</f>
        <v>650.2864211331796</v>
      </c>
      <c r="BE18" s="12">
        <f t="shared" si="56"/>
        <v>651.43906822298413</v>
      </c>
      <c r="BF18" s="12">
        <f t="shared" si="56"/>
        <v>657.41843719306121</v>
      </c>
      <c r="BG18" s="12">
        <f t="shared" si="56"/>
        <v>663.93911939377665</v>
      </c>
      <c r="BH18" s="12">
        <f t="shared" si="56"/>
        <v>167.97009330849471</v>
      </c>
    </row>
    <row r="19" spans="2:120" x14ac:dyDescent="0.25">
      <c r="B19" s="2" t="s">
        <v>62</v>
      </c>
      <c r="C19" s="12">
        <f t="shared" ref="C19:D19" si="57">C15-C18</f>
        <v>203.94000000000005</v>
      </c>
      <c r="D19" s="12">
        <f t="shared" si="57"/>
        <v>156.553</v>
      </c>
      <c r="E19" s="12">
        <f t="shared" ref="E19:G19" si="58">E15-E18</f>
        <v>276.55500000000006</v>
      </c>
      <c r="F19" s="12">
        <f t="shared" si="58"/>
        <v>269.57999999999993</v>
      </c>
      <c r="G19" s="12">
        <f t="shared" si="58"/>
        <v>102.46400000000006</v>
      </c>
      <c r="H19" s="12">
        <f t="shared" ref="H19:I19" si="59">H15-H18</f>
        <v>396.70000000000005</v>
      </c>
      <c r="I19" s="12">
        <f t="shared" si="59"/>
        <v>721.71699999999987</v>
      </c>
      <c r="J19" s="12">
        <f t="shared" ref="J19" si="60">J15-J18</f>
        <v>727.2</v>
      </c>
      <c r="K19" s="12">
        <f t="shared" ref="K19:L19" si="61">K15-K18</f>
        <v>673.77</v>
      </c>
      <c r="L19" s="12">
        <f t="shared" si="61"/>
        <v>884.90000000000009</v>
      </c>
      <c r="M19" s="12">
        <f>M15-M18</f>
        <v>1000</v>
      </c>
      <c r="N19" s="12">
        <f t="shared" ref="N19:Q19" si="62">N15-N18</f>
        <v>922.7</v>
      </c>
      <c r="O19" s="12">
        <f t="shared" si="62"/>
        <v>1055.5480000000002</v>
      </c>
      <c r="P19" s="12">
        <f>P15-P18</f>
        <v>1121.5999999999999</v>
      </c>
      <c r="Q19" s="12">
        <f t="shared" si="62"/>
        <v>1264.7</v>
      </c>
      <c r="R19" s="12">
        <f>R15-R18</f>
        <v>1247.1000000000001</v>
      </c>
      <c r="S19" s="12">
        <f>S15-S18</f>
        <v>1318.3999999999996</v>
      </c>
      <c r="T19" s="12">
        <f t="shared" ref="T19:U19" si="63">T15-T18</f>
        <v>1173.2999999999997</v>
      </c>
      <c r="U19" s="12">
        <f t="shared" si="63"/>
        <v>1249.3999999999996</v>
      </c>
      <c r="V19" s="12">
        <f t="shared" ref="V19:Y19" si="64">V15-V18</f>
        <v>1258.4000000000001</v>
      </c>
      <c r="W19" s="12">
        <f t="shared" si="64"/>
        <v>1224.9000000000003</v>
      </c>
      <c r="X19" s="12">
        <f>X15-X18</f>
        <v>1169.1000000000004</v>
      </c>
      <c r="Y19" s="12">
        <f t="shared" si="64"/>
        <v>1413.0999999999997</v>
      </c>
      <c r="Z19" s="12">
        <f t="shared" ref="Z19:AB19" si="65">Z15-Z18</f>
        <v>1303</v>
      </c>
      <c r="AA19" s="12">
        <f t="shared" si="65"/>
        <v>1322.1000000000004</v>
      </c>
      <c r="AB19" s="12">
        <f t="shared" si="65"/>
        <v>1285.7999999999997</v>
      </c>
      <c r="AC19" s="12"/>
      <c r="AD19" s="12"/>
      <c r="AE19" s="12"/>
      <c r="AF19" s="12"/>
      <c r="AG19" s="12"/>
      <c r="AN19" s="12">
        <f t="shared" ref="AN19:AP19" si="66">AN15-AN18</f>
        <v>-1981</v>
      </c>
      <c r="AO19" s="12">
        <f t="shared" si="66"/>
        <v>4338.0879999999997</v>
      </c>
      <c r="AP19" s="12">
        <f t="shared" si="66"/>
        <v>5003.4999999999991</v>
      </c>
      <c r="AQ19" s="12">
        <f t="shared" ref="AQ19:BC19" si="67">AQ15-AQ18</f>
        <v>4901.8000000000011</v>
      </c>
      <c r="AR19" s="12">
        <f t="shared" si="67"/>
        <v>8945.7532800000008</v>
      </c>
      <c r="AS19" s="12">
        <f t="shared" si="67"/>
        <v>9535.9844238000005</v>
      </c>
      <c r="AT19" s="12">
        <f t="shared" si="67"/>
        <v>11125.559681258001</v>
      </c>
      <c r="AU19" s="12">
        <f t="shared" si="67"/>
        <v>12303.545159554982</v>
      </c>
      <c r="AV19" s="12">
        <f t="shared" si="67"/>
        <v>13481.024280264621</v>
      </c>
      <c r="AW19" s="12">
        <f t="shared" si="67"/>
        <v>14662.051465563638</v>
      </c>
      <c r="AX19" s="12">
        <f t="shared" si="67"/>
        <v>15058.19686156557</v>
      </c>
      <c r="AY19" s="12">
        <f t="shared" si="67"/>
        <v>15300.747009154449</v>
      </c>
      <c r="AZ19" s="12">
        <f t="shared" si="67"/>
        <v>15547.562021798683</v>
      </c>
      <c r="BA19" s="12">
        <f t="shared" si="67"/>
        <v>15798.721335420409</v>
      </c>
      <c r="BB19" s="12">
        <f t="shared" si="67"/>
        <v>10979.242817911989</v>
      </c>
      <c r="BC19" s="12">
        <f t="shared" si="67"/>
        <v>5783.609224249657</v>
      </c>
      <c r="BD19" s="12">
        <f t="shared" ref="BD19:BH19" si="68">BD15-BD18</f>
        <v>5397.3772954053902</v>
      </c>
      <c r="BE19" s="12">
        <f t="shared" si="68"/>
        <v>5406.9442662507672</v>
      </c>
      <c r="BF19" s="12">
        <f t="shared" si="68"/>
        <v>5456.5730287024071</v>
      </c>
      <c r="BG19" s="12">
        <f t="shared" si="68"/>
        <v>5510.6946909683456</v>
      </c>
      <c r="BH19" s="12">
        <f t="shared" si="68"/>
        <v>1394.1517744605057</v>
      </c>
    </row>
    <row r="20" spans="2:120" s="2" customFormat="1" x14ac:dyDescent="0.25">
      <c r="B20" s="2" t="s">
        <v>121</v>
      </c>
      <c r="C20" s="12">
        <f>10.543-18.686</f>
        <v>-8.1430000000000007</v>
      </c>
      <c r="D20" s="12">
        <f>13.971-18.744</f>
        <v>-4.7729999999999997</v>
      </c>
      <c r="E20" s="12">
        <f>15.615-14.868</f>
        <v>0.74699999999999989</v>
      </c>
      <c r="F20" s="12">
        <f>18.076-14.837</f>
        <v>3.2390000000000008</v>
      </c>
      <c r="G20" s="12">
        <f>17.628-14.548</f>
        <v>3.08</v>
      </c>
      <c r="H20" s="12">
        <f>12.359-14.249</f>
        <v>-1.8900000000000006</v>
      </c>
      <c r="I20" s="12">
        <f>12.576-14.136</f>
        <v>-1.5599999999999987</v>
      </c>
      <c r="J20" s="12">
        <f>4.243-13.871</f>
        <v>-9.6280000000000001</v>
      </c>
      <c r="K20" s="12">
        <f>3.1-13.856</f>
        <v>-10.756</v>
      </c>
      <c r="L20" s="12">
        <f>2.3-16.3</f>
        <v>-14</v>
      </c>
      <c r="M20" s="12">
        <f>1.5-15.7</f>
        <v>-14.2</v>
      </c>
      <c r="N20" s="12">
        <f>1.1-15.5</f>
        <v>-14.4</v>
      </c>
      <c r="O20" s="12">
        <f>1.116-15.255</f>
        <v>-14.139000000000001</v>
      </c>
      <c r="P20" s="12">
        <f>1.2-15.1</f>
        <v>-13.9</v>
      </c>
      <c r="Q20" s="12">
        <f>1.6-14.9</f>
        <v>-13.3</v>
      </c>
      <c r="R20" s="12">
        <f>10.8-14.6</f>
        <v>-3.7999999999999989</v>
      </c>
      <c r="S20" s="12">
        <f>46-13.7</f>
        <v>32.299999999999997</v>
      </c>
      <c r="T20" s="12">
        <f>86-11.6</f>
        <v>74.400000000000006</v>
      </c>
      <c r="U20" s="12">
        <f>122.6-11.4-5.1</f>
        <v>106.1</v>
      </c>
      <c r="V20" s="2">
        <f>144.7-11.2+2</f>
        <v>135.5</v>
      </c>
      <c r="W20" s="2">
        <f>167.9-10.9-9.7</f>
        <v>147.30000000000001</v>
      </c>
      <c r="X20" s="2">
        <f>179.5-10.6-9.8</f>
        <v>159.1</v>
      </c>
      <c r="Y20" s="2">
        <f>181.2-10.4-4.2</f>
        <v>166.6</v>
      </c>
      <c r="Z20" s="2">
        <f>156.5-9.9-10.4</f>
        <v>136.19999999999999</v>
      </c>
      <c r="AA20" s="2">
        <f>132.2-7.5-6.1</f>
        <v>118.6</v>
      </c>
      <c r="AB20" s="2">
        <f>128.2-2.8-7.7</f>
        <v>117.69999999999999</v>
      </c>
      <c r="AP20" s="2">
        <f t="shared" ref="AP20:AP22" si="69">SUM(Q20:T20)</f>
        <v>89.6</v>
      </c>
      <c r="AQ20" s="2">
        <f>SUM(U20:X20)</f>
        <v>548</v>
      </c>
      <c r="AR20" s="2">
        <f t="shared" ref="AR20:BE20" si="70">+AQ32*$BK$30</f>
        <v>137.16100000000003</v>
      </c>
      <c r="AS20" s="2">
        <f t="shared" si="70"/>
        <v>209.82431424000004</v>
      </c>
      <c r="AT20" s="2">
        <f t="shared" si="70"/>
        <v>287.79078414432001</v>
      </c>
      <c r="AU20" s="2">
        <f t="shared" si="70"/>
        <v>379.09758786753861</v>
      </c>
      <c r="AV20" s="2">
        <f t="shared" si="70"/>
        <v>480.55872984691871</v>
      </c>
      <c r="AW20" s="2">
        <f t="shared" si="70"/>
        <v>592.25139392781102</v>
      </c>
      <c r="AX20" s="2">
        <f t="shared" si="70"/>
        <v>714.2858168037427</v>
      </c>
      <c r="AY20" s="2">
        <f t="shared" si="70"/>
        <v>840.46567823069711</v>
      </c>
      <c r="AZ20" s="2">
        <f t="shared" si="70"/>
        <v>969.59537972977819</v>
      </c>
      <c r="BA20" s="2">
        <f t="shared" si="70"/>
        <v>1101.7326389420059</v>
      </c>
      <c r="BB20" s="2">
        <f t="shared" si="70"/>
        <v>1236.9362707369053</v>
      </c>
      <c r="BC20" s="2">
        <f t="shared" si="70"/>
        <v>1334.6657034460961</v>
      </c>
      <c r="BD20" s="2">
        <f t="shared" si="70"/>
        <v>1391.6119028676621</v>
      </c>
      <c r="BE20" s="2">
        <f t="shared" si="70"/>
        <v>1445.9238164538465</v>
      </c>
      <c r="BF20" s="2">
        <f t="shared" ref="BF20:BH20" si="71">+BE32*$BK$30</f>
        <v>1500.7467611154837</v>
      </c>
      <c r="BG20" s="2">
        <f>+BF32*$BK$30</f>
        <v>1556.4053194340268</v>
      </c>
      <c r="BH20" s="2">
        <f t="shared" si="71"/>
        <v>1612.9421195172454</v>
      </c>
    </row>
    <row r="21" spans="2:120" x14ac:dyDescent="0.25">
      <c r="B21" s="2" t="s">
        <v>122</v>
      </c>
      <c r="C21" s="12">
        <f t="shared" ref="C21:D21" si="72">+C19+C20</f>
        <v>195.79700000000005</v>
      </c>
      <c r="D21" s="12">
        <f t="shared" si="72"/>
        <v>151.78</v>
      </c>
      <c r="E21" s="12">
        <f t="shared" ref="E21:F21" si="73">+E19+E20</f>
        <v>277.30200000000008</v>
      </c>
      <c r="F21" s="12">
        <f t="shared" si="73"/>
        <v>272.8189999999999</v>
      </c>
      <c r="G21" s="12">
        <f t="shared" ref="G21:J21" si="74">+G19+G20</f>
        <v>105.54400000000005</v>
      </c>
      <c r="H21" s="12">
        <f t="shared" si="74"/>
        <v>394.81000000000006</v>
      </c>
      <c r="I21" s="12">
        <f t="shared" si="74"/>
        <v>720.15699999999993</v>
      </c>
      <c r="J21" s="12">
        <f t="shared" si="74"/>
        <v>717.572</v>
      </c>
      <c r="K21" s="12">
        <f>+K19+K20</f>
        <v>663.01400000000001</v>
      </c>
      <c r="L21" s="12">
        <f>+L19+L20</f>
        <v>870.90000000000009</v>
      </c>
      <c r="M21" s="12">
        <f>+M19+M20</f>
        <v>985.8</v>
      </c>
      <c r="N21" s="12">
        <f t="shared" ref="N21:Q21" si="75">+N19+N20</f>
        <v>908.30000000000007</v>
      </c>
      <c r="O21" s="12">
        <f t="shared" si="75"/>
        <v>1041.4090000000003</v>
      </c>
      <c r="P21" s="12">
        <f t="shared" si="75"/>
        <v>1107.6999999999998</v>
      </c>
      <c r="Q21" s="12">
        <f t="shared" si="75"/>
        <v>1251.4000000000001</v>
      </c>
      <c r="R21" s="12">
        <f t="shared" ref="R21" si="76">+R19+R20</f>
        <v>1243.3000000000002</v>
      </c>
      <c r="S21" s="12">
        <f t="shared" ref="S21" si="77">+S19+S20</f>
        <v>1350.6999999999996</v>
      </c>
      <c r="T21" s="12">
        <f t="shared" ref="T21:AB21" si="78">+T19+T20</f>
        <v>1247.6999999999998</v>
      </c>
      <c r="U21" s="12">
        <f t="shared" si="78"/>
        <v>1355.4999999999995</v>
      </c>
      <c r="V21" s="12">
        <f t="shared" si="78"/>
        <v>1393.9</v>
      </c>
      <c r="W21" s="12">
        <f t="shared" si="78"/>
        <v>1372.2000000000003</v>
      </c>
      <c r="X21" s="12">
        <f t="shared" si="78"/>
        <v>1328.2000000000003</v>
      </c>
      <c r="Y21" s="12">
        <f t="shared" si="78"/>
        <v>1579.6999999999996</v>
      </c>
      <c r="Z21" s="12">
        <f t="shared" si="78"/>
        <v>1439.2</v>
      </c>
      <c r="AA21" s="12">
        <f t="shared" si="78"/>
        <v>1440.7000000000003</v>
      </c>
      <c r="AB21" s="12">
        <f t="shared" si="78"/>
        <v>1403.4999999999998</v>
      </c>
      <c r="AC21" s="12"/>
      <c r="AD21" s="12"/>
      <c r="AE21" s="12"/>
      <c r="AF21" s="12"/>
      <c r="AG21" s="12"/>
      <c r="AP21" s="2">
        <f>+AP19+AP20</f>
        <v>5093.0999999999995</v>
      </c>
      <c r="AQ21" s="2">
        <f t="shared" ref="AQ21:BC21" si="79">+AQ19+AQ20</f>
        <v>5449.8000000000011</v>
      </c>
      <c r="AR21" s="2">
        <f t="shared" si="79"/>
        <v>9082.9142800000009</v>
      </c>
      <c r="AS21" s="2">
        <f t="shared" si="79"/>
        <v>9745.8087380400011</v>
      </c>
      <c r="AT21" s="2">
        <f t="shared" si="79"/>
        <v>11413.35046540232</v>
      </c>
      <c r="AU21" s="2">
        <f t="shared" si="79"/>
        <v>12682.64274742252</v>
      </c>
      <c r="AV21" s="2">
        <f t="shared" si="79"/>
        <v>13961.583010111539</v>
      </c>
      <c r="AW21" s="2">
        <f t="shared" si="79"/>
        <v>15254.302859491449</v>
      </c>
      <c r="AX21" s="2">
        <f t="shared" si="79"/>
        <v>15772.482678369312</v>
      </c>
      <c r="AY21" s="2">
        <f t="shared" si="79"/>
        <v>16141.212687385147</v>
      </c>
      <c r="AZ21" s="2">
        <f t="shared" si="79"/>
        <v>16517.15740152846</v>
      </c>
      <c r="BA21" s="2">
        <f t="shared" si="79"/>
        <v>16900.453974362415</v>
      </c>
      <c r="BB21" s="2">
        <f t="shared" si="79"/>
        <v>12216.179088648894</v>
      </c>
      <c r="BC21" s="2">
        <f t="shared" si="79"/>
        <v>7118.2749276957529</v>
      </c>
      <c r="BD21" s="2">
        <f t="shared" ref="BD21:BH21" si="80">+BD19+BD20</f>
        <v>6788.9891982730524</v>
      </c>
      <c r="BE21" s="2">
        <f t="shared" si="80"/>
        <v>6852.8680827046137</v>
      </c>
      <c r="BF21" s="2">
        <f t="shared" si="80"/>
        <v>6957.3197898178905</v>
      </c>
      <c r="BG21" s="2">
        <f t="shared" si="80"/>
        <v>7067.1000104023724</v>
      </c>
      <c r="BH21" s="2">
        <f t="shared" si="80"/>
        <v>3007.0938939777511</v>
      </c>
    </row>
    <row r="22" spans="2:120" s="2" customFormat="1" x14ac:dyDescent="0.25">
      <c r="B22" s="2" t="s">
        <v>123</v>
      </c>
      <c r="C22" s="12">
        <v>8.0549999999999997</v>
      </c>
      <c r="D22" s="12">
        <v>0</v>
      </c>
      <c r="E22" s="12">
        <v>51.533999999999999</v>
      </c>
      <c r="F22" s="12">
        <v>59.710999999999999</v>
      </c>
      <c r="G22" s="12">
        <v>13.148</v>
      </c>
      <c r="H22" s="12">
        <v>93.715999999999994</v>
      </c>
      <c r="I22" s="12">
        <v>54.780999999999999</v>
      </c>
      <c r="J22" s="12">
        <v>-12.5</v>
      </c>
      <c r="K22" s="12">
        <v>78.436999999999998</v>
      </c>
      <c r="L22" s="12">
        <v>198</v>
      </c>
      <c r="M22" s="12">
        <v>206</v>
      </c>
      <c r="N22" s="12">
        <v>10.9</v>
      </c>
      <c r="O22" s="12">
        <v>230.81299999999999</v>
      </c>
      <c r="P22" s="12">
        <v>239</v>
      </c>
      <c r="Q22" s="12">
        <v>249</v>
      </c>
      <c r="R22" s="12">
        <v>258.60000000000002</v>
      </c>
      <c r="S22" s="12">
        <v>245.9</v>
      </c>
      <c r="T22" s="12">
        <v>257.89999999999998</v>
      </c>
      <c r="U22" s="12">
        <v>214.4</v>
      </c>
      <c r="V22" s="2">
        <v>269.39999999999998</v>
      </c>
      <c r="W22" s="2">
        <v>256.8</v>
      </c>
      <c r="X22" s="2">
        <v>178.8</v>
      </c>
      <c r="Y22" s="2">
        <v>261.10000000000002</v>
      </c>
      <c r="Z22" s="2">
        <v>300.60000000000002</v>
      </c>
      <c r="AA22" s="2">
        <v>282.7</v>
      </c>
      <c r="AB22" s="2">
        <v>279.7</v>
      </c>
      <c r="AP22" s="2">
        <f t="shared" si="69"/>
        <v>1011.4</v>
      </c>
      <c r="AQ22" s="2">
        <f>SUM(U22:X22)</f>
        <v>919.39999999999986</v>
      </c>
      <c r="AR22" s="2">
        <f t="shared" ref="AR22:BC22" si="81">+AR21*0.2</f>
        <v>1816.5828560000002</v>
      </c>
      <c r="AS22" s="2">
        <f t="shared" si="81"/>
        <v>1949.1617476080003</v>
      </c>
      <c r="AT22" s="2">
        <f t="shared" si="81"/>
        <v>2282.6700930804641</v>
      </c>
      <c r="AU22" s="2">
        <f t="shared" si="81"/>
        <v>2536.5285494845043</v>
      </c>
      <c r="AV22" s="2">
        <f t="shared" si="81"/>
        <v>2792.316602022308</v>
      </c>
      <c r="AW22" s="2">
        <f t="shared" si="81"/>
        <v>3050.8605718982899</v>
      </c>
      <c r="AX22" s="2">
        <f t="shared" si="81"/>
        <v>3154.4965356738626</v>
      </c>
      <c r="AY22" s="2">
        <f t="shared" si="81"/>
        <v>3228.2425374770296</v>
      </c>
      <c r="AZ22" s="2">
        <f t="shared" si="81"/>
        <v>3303.4314803056923</v>
      </c>
      <c r="BA22" s="2">
        <f t="shared" si="81"/>
        <v>3380.0907948724835</v>
      </c>
      <c r="BB22" s="2">
        <f t="shared" si="81"/>
        <v>2443.2358177297788</v>
      </c>
      <c r="BC22" s="2">
        <f t="shared" si="81"/>
        <v>1423.6549855391506</v>
      </c>
      <c r="BD22" s="2">
        <f t="shared" ref="BD22:BH22" si="82">+BD21*0.2</f>
        <v>1357.7978396546105</v>
      </c>
      <c r="BE22" s="2">
        <f t="shared" si="82"/>
        <v>1370.5736165409228</v>
      </c>
      <c r="BF22" s="2">
        <f>+BF21*0.2</f>
        <v>1391.4639579635782</v>
      </c>
      <c r="BG22" s="2">
        <f>+BG21*0.2</f>
        <v>1413.4200020804747</v>
      </c>
      <c r="BH22" s="2">
        <f t="shared" si="82"/>
        <v>601.41877879555022</v>
      </c>
    </row>
    <row r="23" spans="2:120" x14ac:dyDescent="0.25">
      <c r="B23" s="2" t="s">
        <v>124</v>
      </c>
      <c r="C23" s="12">
        <f t="shared" ref="C23:D23" si="83">+C21-C22</f>
        <v>187.74200000000005</v>
      </c>
      <c r="D23" s="12">
        <f t="shared" si="83"/>
        <v>151.78</v>
      </c>
      <c r="E23" s="12">
        <f t="shared" ref="E23:F23" si="84">+E21-E22</f>
        <v>225.76800000000009</v>
      </c>
      <c r="F23" s="12">
        <f t="shared" si="84"/>
        <v>213.10799999999989</v>
      </c>
      <c r="G23" s="12">
        <f t="shared" ref="G23:J23" si="85">+G21-G22</f>
        <v>92.396000000000058</v>
      </c>
      <c r="H23" s="12">
        <f t="shared" si="85"/>
        <v>301.09400000000005</v>
      </c>
      <c r="I23" s="12">
        <f t="shared" si="85"/>
        <v>665.37599999999998</v>
      </c>
      <c r="J23" s="12">
        <f t="shared" si="85"/>
        <v>730.072</v>
      </c>
      <c r="K23" s="12">
        <f>+K21-K22</f>
        <v>584.577</v>
      </c>
      <c r="L23" s="12">
        <f>+L21-L22</f>
        <v>672.90000000000009</v>
      </c>
      <c r="M23" s="12">
        <f>+M21-M22</f>
        <v>779.8</v>
      </c>
      <c r="N23" s="12">
        <f t="shared" ref="N23:Y23" si="86">+N21-N22</f>
        <v>897.40000000000009</v>
      </c>
      <c r="O23" s="12">
        <f t="shared" si="86"/>
        <v>810.59600000000034</v>
      </c>
      <c r="P23" s="12">
        <f t="shared" si="86"/>
        <v>868.69999999999982</v>
      </c>
      <c r="Q23" s="12">
        <f t="shared" si="86"/>
        <v>1002.4000000000001</v>
      </c>
      <c r="R23" s="12">
        <f t="shared" si="86"/>
        <v>984.70000000000016</v>
      </c>
      <c r="S23" s="12">
        <f t="shared" si="86"/>
        <v>1104.7999999999995</v>
      </c>
      <c r="T23" s="12">
        <f t="shared" si="86"/>
        <v>989.79999999999984</v>
      </c>
      <c r="U23" s="12">
        <f t="shared" si="86"/>
        <v>1141.0999999999995</v>
      </c>
      <c r="V23" s="12">
        <f t="shared" si="86"/>
        <v>1124.5</v>
      </c>
      <c r="W23" s="12">
        <f t="shared" si="86"/>
        <v>1115.4000000000003</v>
      </c>
      <c r="X23" s="12">
        <f t="shared" si="86"/>
        <v>1149.4000000000003</v>
      </c>
      <c r="Y23" s="12">
        <f t="shared" si="86"/>
        <v>1318.5999999999995</v>
      </c>
      <c r="Z23" s="12">
        <f t="shared" ref="Z23:AB23" si="87">+Z21-Z22</f>
        <v>1138.5999999999999</v>
      </c>
      <c r="AA23" s="12">
        <f t="shared" si="87"/>
        <v>1158.0000000000002</v>
      </c>
      <c r="AB23" s="12">
        <f t="shared" si="87"/>
        <v>1123.7999999999997</v>
      </c>
      <c r="AC23" s="12"/>
      <c r="AD23" s="12"/>
      <c r="AE23" s="12"/>
      <c r="AF23" s="12"/>
      <c r="AG23" s="12"/>
      <c r="AP23" s="2">
        <f>+AP21-AP22</f>
        <v>4081.6999999999994</v>
      </c>
      <c r="AQ23" s="2">
        <f t="shared" ref="AQ23:AW23" si="88">+AQ21-AQ22</f>
        <v>4530.4000000000015</v>
      </c>
      <c r="AR23" s="2">
        <f t="shared" si="88"/>
        <v>7266.3314240000009</v>
      </c>
      <c r="AS23" s="2">
        <f t="shared" si="88"/>
        <v>7796.6469904320011</v>
      </c>
      <c r="AT23" s="2">
        <f t="shared" si="88"/>
        <v>9130.6803723218563</v>
      </c>
      <c r="AU23" s="2">
        <f t="shared" si="88"/>
        <v>10146.114197938015</v>
      </c>
      <c r="AV23" s="2">
        <f t="shared" si="88"/>
        <v>11169.266408089232</v>
      </c>
      <c r="AW23" s="2">
        <f t="shared" si="88"/>
        <v>12203.44228759316</v>
      </c>
      <c r="AX23" s="2">
        <f t="shared" ref="AX23:BC23" si="89">+AX21-AX22</f>
        <v>12617.986142695449</v>
      </c>
      <c r="AY23" s="2">
        <f t="shared" si="89"/>
        <v>12912.970149908117</v>
      </c>
      <c r="AZ23" s="2">
        <f t="shared" si="89"/>
        <v>13213.725921222769</v>
      </c>
      <c r="BA23" s="2">
        <f t="shared" si="89"/>
        <v>13520.363179489932</v>
      </c>
      <c r="BB23" s="2">
        <f t="shared" si="89"/>
        <v>9772.9432709191151</v>
      </c>
      <c r="BC23" s="2">
        <f t="shared" si="89"/>
        <v>5694.6199421566025</v>
      </c>
      <c r="BD23" s="2">
        <f t="shared" ref="BD23:BH23" si="90">+BD21-BD22</f>
        <v>5431.1913586184419</v>
      </c>
      <c r="BE23" s="2">
        <f t="shared" si="90"/>
        <v>5482.2944661636911</v>
      </c>
      <c r="BF23" s="2">
        <f t="shared" si="90"/>
        <v>5565.8558318543128</v>
      </c>
      <c r="BG23" s="2">
        <f t="shared" si="90"/>
        <v>5653.6800083218977</v>
      </c>
      <c r="BH23" s="2">
        <f t="shared" si="90"/>
        <v>2405.6751151822009</v>
      </c>
      <c r="BI23" s="2">
        <f t="shared" ref="BI23:CN23" si="91">+BH23*(1+$BK$28)</f>
        <v>2285.3913594230908</v>
      </c>
      <c r="BJ23" s="2">
        <f t="shared" si="91"/>
        <v>2171.1217914519361</v>
      </c>
      <c r="BK23" s="2">
        <f t="shared" si="91"/>
        <v>2062.565701879339</v>
      </c>
      <c r="BL23" s="2">
        <f t="shared" si="91"/>
        <v>1959.4374167853721</v>
      </c>
      <c r="BM23" s="2">
        <f t="shared" si="91"/>
        <v>1861.4655459461035</v>
      </c>
      <c r="BN23" s="2">
        <f t="shared" si="91"/>
        <v>1768.3922686487981</v>
      </c>
      <c r="BO23" s="2">
        <f t="shared" si="91"/>
        <v>1679.9726552163581</v>
      </c>
      <c r="BP23" s="2">
        <f t="shared" si="91"/>
        <v>1595.9740224555401</v>
      </c>
      <c r="BQ23" s="2">
        <f t="shared" si="91"/>
        <v>1516.1753213327629</v>
      </c>
      <c r="BR23" s="2">
        <f t="shared" si="91"/>
        <v>1440.3665552661248</v>
      </c>
      <c r="BS23" s="2">
        <f t="shared" si="91"/>
        <v>1368.3482275028184</v>
      </c>
      <c r="BT23" s="2">
        <f t="shared" si="91"/>
        <v>1299.9308161276774</v>
      </c>
      <c r="BU23" s="2">
        <f t="shared" si="91"/>
        <v>1234.9342753212934</v>
      </c>
      <c r="BV23" s="2">
        <f t="shared" si="91"/>
        <v>1173.1875615552287</v>
      </c>
      <c r="BW23" s="2">
        <f t="shared" si="91"/>
        <v>1114.5281834774673</v>
      </c>
      <c r="BX23" s="2">
        <f t="shared" si="91"/>
        <v>1058.8017743035939</v>
      </c>
      <c r="BY23" s="2">
        <f t="shared" si="91"/>
        <v>1005.8616855884142</v>
      </c>
      <c r="BZ23" s="2">
        <f t="shared" si="91"/>
        <v>955.56860130899338</v>
      </c>
      <c r="CA23" s="2">
        <f t="shared" si="91"/>
        <v>907.79017124354368</v>
      </c>
      <c r="CB23" s="2">
        <f t="shared" si="91"/>
        <v>862.4006626813665</v>
      </c>
      <c r="CC23" s="2">
        <f t="shared" si="91"/>
        <v>819.28062954729819</v>
      </c>
      <c r="CD23" s="2">
        <f t="shared" si="91"/>
        <v>778.31659806993321</v>
      </c>
      <c r="CE23" s="2">
        <f t="shared" si="91"/>
        <v>739.40076816643648</v>
      </c>
      <c r="CF23" s="2">
        <f t="shared" si="91"/>
        <v>702.43072975811458</v>
      </c>
      <c r="CG23" s="2">
        <f t="shared" si="91"/>
        <v>667.30919327020877</v>
      </c>
      <c r="CH23" s="2">
        <f t="shared" si="91"/>
        <v>633.94373360669829</v>
      </c>
      <c r="CI23" s="2">
        <f t="shared" si="91"/>
        <v>602.24654692636329</v>
      </c>
      <c r="CJ23" s="2">
        <f t="shared" si="91"/>
        <v>572.13421958004506</v>
      </c>
      <c r="CK23" s="2">
        <f t="shared" si="91"/>
        <v>543.52750860104277</v>
      </c>
      <c r="CL23" s="2">
        <f t="shared" si="91"/>
        <v>516.35113317099058</v>
      </c>
      <c r="CM23" s="2">
        <f t="shared" si="91"/>
        <v>490.53357651244102</v>
      </c>
      <c r="CN23" s="2">
        <f t="shared" si="91"/>
        <v>466.00689768681895</v>
      </c>
      <c r="CO23" s="2">
        <f t="shared" ref="CO23:DP23" si="92">+CN23*(1+$BK$28)</f>
        <v>442.70655280247797</v>
      </c>
      <c r="CP23" s="2">
        <f t="shared" si="92"/>
        <v>420.57122516235404</v>
      </c>
      <c r="CQ23" s="2">
        <f t="shared" si="92"/>
        <v>399.54266390423629</v>
      </c>
      <c r="CR23" s="2">
        <f t="shared" si="92"/>
        <v>379.56553070902447</v>
      </c>
      <c r="CS23" s="2">
        <f t="shared" si="92"/>
        <v>360.58725417357323</v>
      </c>
      <c r="CT23" s="2">
        <f t="shared" si="92"/>
        <v>342.55789146489457</v>
      </c>
      <c r="CU23" s="2">
        <f t="shared" si="92"/>
        <v>325.42999689164981</v>
      </c>
      <c r="CV23" s="2">
        <f t="shared" si="92"/>
        <v>309.15849704706733</v>
      </c>
      <c r="CW23" s="2">
        <f t="shared" si="92"/>
        <v>293.70057219471397</v>
      </c>
      <c r="CX23" s="2">
        <f t="shared" si="92"/>
        <v>279.01554358497827</v>
      </c>
      <c r="CY23" s="2">
        <f t="shared" si="92"/>
        <v>265.06476640572936</v>
      </c>
      <c r="CZ23" s="2">
        <f t="shared" si="92"/>
        <v>251.81152808544289</v>
      </c>
      <c r="DA23" s="2">
        <f t="shared" si="92"/>
        <v>239.22095168117073</v>
      </c>
      <c r="DB23" s="2">
        <f t="shared" si="92"/>
        <v>227.25990409711218</v>
      </c>
      <c r="DC23" s="2">
        <f t="shared" si="92"/>
        <v>215.89690889225656</v>
      </c>
      <c r="DD23" s="2">
        <f t="shared" si="92"/>
        <v>205.10206344764373</v>
      </c>
      <c r="DE23" s="2">
        <f t="shared" si="92"/>
        <v>194.84696027526152</v>
      </c>
      <c r="DF23" s="2">
        <f t="shared" si="92"/>
        <v>185.10461226149843</v>
      </c>
      <c r="DG23" s="2">
        <f t="shared" si="92"/>
        <v>175.8493816484235</v>
      </c>
      <c r="DH23" s="2">
        <f t="shared" si="92"/>
        <v>167.05691256600232</v>
      </c>
      <c r="DI23" s="2">
        <f t="shared" si="92"/>
        <v>158.70406693770221</v>
      </c>
      <c r="DJ23" s="2">
        <f t="shared" si="92"/>
        <v>150.76886359081709</v>
      </c>
      <c r="DK23" s="2">
        <f t="shared" si="92"/>
        <v>143.23042041127624</v>
      </c>
      <c r="DL23" s="2">
        <f t="shared" si="92"/>
        <v>136.06889939071243</v>
      </c>
      <c r="DM23" s="2">
        <f t="shared" si="92"/>
        <v>129.2654544211768</v>
      </c>
      <c r="DN23" s="2">
        <f t="shared" si="92"/>
        <v>122.80218170011796</v>
      </c>
      <c r="DO23" s="2">
        <f t="shared" si="92"/>
        <v>116.66207261511205</v>
      </c>
      <c r="DP23" s="2">
        <f t="shared" si="92"/>
        <v>110.82896898435645</v>
      </c>
    </row>
    <row r="24" spans="2:120" s="1" customFormat="1" x14ac:dyDescent="0.25">
      <c r="B24" s="1" t="s">
        <v>125</v>
      </c>
      <c r="C24" s="21">
        <f t="shared" ref="C24:D24" si="93">+C23/C25</f>
        <v>0.72267387254222692</v>
      </c>
      <c r="D24" s="21">
        <f t="shared" si="93"/>
        <v>0.58419164626730091</v>
      </c>
      <c r="E24" s="21">
        <f t="shared" ref="E24:G24" si="94">+E23/E25</f>
        <v>0.86775439607956217</v>
      </c>
      <c r="F24" s="21">
        <f t="shared" si="94"/>
        <v>0.82020768064290128</v>
      </c>
      <c r="G24" s="21">
        <f t="shared" si="94"/>
        <v>0.35472390612462734</v>
      </c>
      <c r="H24" s="21">
        <f t="shared" ref="H24:I24" si="95">+H23/H25</f>
        <v>1.1487402139576055</v>
      </c>
      <c r="I24" s="21">
        <f t="shared" si="95"/>
        <v>2.5250023717814924</v>
      </c>
      <c r="J24" s="21">
        <f t="shared" ref="J24:K24" si="96">+J23/J25</f>
        <v>2.771692046028329</v>
      </c>
      <c r="K24" s="21">
        <f t="shared" si="96"/>
        <v>2.2136444018645935</v>
      </c>
      <c r="L24" s="21">
        <f t="shared" ref="L24:P24" si="97">+L23/L25</f>
        <v>2.5575826681870013</v>
      </c>
      <c r="M24" s="21">
        <f t="shared" si="97"/>
        <v>2.9774723176785032</v>
      </c>
      <c r="N24" s="21">
        <f t="shared" si="97"/>
        <v>3.438314176245211</v>
      </c>
      <c r="O24" s="21">
        <f t="shared" si="97"/>
        <v>3.1211942689261374</v>
      </c>
      <c r="P24" s="21">
        <f t="shared" si="97"/>
        <v>3.3801556420233454</v>
      </c>
      <c r="Q24" s="21">
        <f>+Q23/Q25</f>
        <v>3.8867778208607993</v>
      </c>
      <c r="R24" s="21">
        <f t="shared" ref="R24:Y24" si="98">+R23/R25</f>
        <v>3.8063393892539628</v>
      </c>
      <c r="S24" s="21">
        <f t="shared" si="98"/>
        <v>4.2574181117533696</v>
      </c>
      <c r="T24" s="21">
        <f t="shared" si="98"/>
        <v>3.8025355359200916</v>
      </c>
      <c r="U24" s="21">
        <f t="shared" si="98"/>
        <v>4.3837879369957715</v>
      </c>
      <c r="V24" s="21">
        <f t="shared" si="98"/>
        <v>4.3183563748079878</v>
      </c>
      <c r="W24" s="21">
        <f t="shared" si="98"/>
        <v>4.280122793553339</v>
      </c>
      <c r="X24" s="21">
        <f t="shared" si="98"/>
        <v>4.4055193560751258</v>
      </c>
      <c r="Y24" s="21">
        <f t="shared" si="98"/>
        <v>5.0501723477594762</v>
      </c>
      <c r="Z24" s="21">
        <f t="shared" ref="Z24:AB24" si="99">+Z23/Z25</f>
        <v>4.411468423091824</v>
      </c>
      <c r="AA24" s="21">
        <f t="shared" si="99"/>
        <v>4.4367816091954033</v>
      </c>
      <c r="AB24" s="21">
        <f t="shared" si="99"/>
        <v>4.3140115163147783</v>
      </c>
      <c r="AC24" s="21"/>
      <c r="AD24" s="21"/>
      <c r="AE24" s="21"/>
      <c r="AF24" s="21"/>
      <c r="AG24" s="21"/>
      <c r="AP24" s="1">
        <f>+AP23/AP25</f>
        <v>15.753377074488615</v>
      </c>
      <c r="AQ24" s="1">
        <f t="shared" ref="AQ24:BC24" si="100">+AQ23/AQ25</f>
        <v>17.38783342928421</v>
      </c>
      <c r="AR24" s="1">
        <f t="shared" si="100"/>
        <v>27.888433790059491</v>
      </c>
      <c r="AS24" s="1">
        <f t="shared" si="100"/>
        <v>29.923803455889466</v>
      </c>
      <c r="AT24" s="1">
        <f t="shared" si="100"/>
        <v>35.043870168189812</v>
      </c>
      <c r="AU24" s="1">
        <f t="shared" si="100"/>
        <v>38.941140656066075</v>
      </c>
      <c r="AV24" s="1">
        <f t="shared" si="100"/>
        <v>42.868034573361086</v>
      </c>
      <c r="AW24" s="1">
        <f t="shared" si="100"/>
        <v>46.837237718645781</v>
      </c>
      <c r="AX24" s="1">
        <f t="shared" si="100"/>
        <v>48.4282715129359</v>
      </c>
      <c r="AY24" s="1">
        <f t="shared" si="100"/>
        <v>49.560430435264308</v>
      </c>
      <c r="AZ24" s="1">
        <f t="shared" si="100"/>
        <v>50.714741589801456</v>
      </c>
      <c r="BA24" s="1">
        <f t="shared" si="100"/>
        <v>51.891626096679836</v>
      </c>
      <c r="BB24" s="1">
        <f t="shared" si="100"/>
        <v>37.508897604755767</v>
      </c>
      <c r="BC24" s="1">
        <f t="shared" si="100"/>
        <v>21.856150228964122</v>
      </c>
      <c r="BD24" s="1">
        <f t="shared" ref="BD24:BH24" si="101">+BD23/BD25</f>
        <v>20.845102124806914</v>
      </c>
      <c r="BE24" s="1">
        <f t="shared" si="101"/>
        <v>21.041237636398737</v>
      </c>
      <c r="BF24" s="1">
        <f t="shared" si="101"/>
        <v>21.361949076393447</v>
      </c>
      <c r="BG24" s="1">
        <f t="shared" si="101"/>
        <v>21.699021333033574</v>
      </c>
      <c r="BH24" s="1">
        <f t="shared" si="101"/>
        <v>9.233065112961814</v>
      </c>
    </row>
    <row r="25" spans="2:120" s="2" customFormat="1" x14ac:dyDescent="0.25">
      <c r="B25" s="2" t="s">
        <v>1</v>
      </c>
      <c r="C25" s="12">
        <v>259.78800000000001</v>
      </c>
      <c r="D25" s="12">
        <v>259.81200000000001</v>
      </c>
      <c r="E25" s="12">
        <v>260.17500000000001</v>
      </c>
      <c r="F25" s="12">
        <v>259.822</v>
      </c>
      <c r="G25" s="12">
        <v>260.47300000000001</v>
      </c>
      <c r="H25" s="12">
        <v>262.108</v>
      </c>
      <c r="I25" s="12">
        <v>263.51499999999999</v>
      </c>
      <c r="J25" s="12">
        <v>263.40300000000002</v>
      </c>
      <c r="K25" s="12">
        <v>264.07900000000001</v>
      </c>
      <c r="L25" s="12">
        <v>263.10000000000002</v>
      </c>
      <c r="M25" s="12">
        <v>261.89999999999998</v>
      </c>
      <c r="N25" s="12">
        <v>261</v>
      </c>
      <c r="O25" s="12">
        <v>259.70699999999999</v>
      </c>
      <c r="P25" s="12">
        <v>257</v>
      </c>
      <c r="Q25" s="12">
        <v>257.89999999999998</v>
      </c>
      <c r="R25" s="12">
        <v>258.7</v>
      </c>
      <c r="S25" s="12">
        <v>259.5</v>
      </c>
      <c r="T25" s="12">
        <v>260.3</v>
      </c>
      <c r="U25" s="12">
        <v>260.3</v>
      </c>
      <c r="V25" s="2">
        <v>260.39999999999998</v>
      </c>
      <c r="W25" s="2">
        <v>260.60000000000002</v>
      </c>
      <c r="X25" s="2">
        <v>260.89999999999998</v>
      </c>
      <c r="Y25" s="2">
        <v>261.10000000000002</v>
      </c>
      <c r="Z25" s="2">
        <v>258.10000000000002</v>
      </c>
      <c r="AA25" s="2">
        <v>261</v>
      </c>
      <c r="AB25" s="2">
        <v>260.5</v>
      </c>
      <c r="AP25" s="2">
        <f>AVERAGE(Q25:T25)</f>
        <v>259.09999999999997</v>
      </c>
      <c r="AQ25" s="2">
        <f>AVERAGE(U25:X25)</f>
        <v>260.55</v>
      </c>
      <c r="AR25" s="2">
        <f t="shared" ref="AR25:BC25" si="102">+AQ25</f>
        <v>260.55</v>
      </c>
      <c r="AS25" s="2">
        <f t="shared" si="102"/>
        <v>260.55</v>
      </c>
      <c r="AT25" s="2">
        <f t="shared" si="102"/>
        <v>260.55</v>
      </c>
      <c r="AU25" s="2">
        <f t="shared" si="102"/>
        <v>260.55</v>
      </c>
      <c r="AV25" s="2">
        <f t="shared" si="102"/>
        <v>260.55</v>
      </c>
      <c r="AW25" s="2">
        <f t="shared" si="102"/>
        <v>260.55</v>
      </c>
      <c r="AX25" s="2">
        <f t="shared" si="102"/>
        <v>260.55</v>
      </c>
      <c r="AY25" s="2">
        <f t="shared" si="102"/>
        <v>260.55</v>
      </c>
      <c r="AZ25" s="2">
        <f t="shared" si="102"/>
        <v>260.55</v>
      </c>
      <c r="BA25" s="2">
        <f t="shared" si="102"/>
        <v>260.55</v>
      </c>
      <c r="BB25" s="2">
        <f t="shared" si="102"/>
        <v>260.55</v>
      </c>
      <c r="BC25" s="2">
        <f t="shared" si="102"/>
        <v>260.55</v>
      </c>
      <c r="BD25" s="2">
        <f t="shared" ref="BD25" si="103">+BC25</f>
        <v>260.55</v>
      </c>
      <c r="BE25" s="2">
        <f t="shared" ref="BE25" si="104">+BD25</f>
        <v>260.55</v>
      </c>
      <c r="BF25" s="2">
        <f t="shared" ref="BF25" si="105">+BE25</f>
        <v>260.55</v>
      </c>
      <c r="BG25" s="2">
        <f t="shared" ref="BG25" si="106">+BF25</f>
        <v>260.55</v>
      </c>
      <c r="BH25" s="2">
        <f t="shared" ref="BH25" si="107">+BG25</f>
        <v>260.55</v>
      </c>
    </row>
    <row r="27" spans="2:120" s="26" customFormat="1" ht="13" x14ac:dyDescent="0.3">
      <c r="B27" s="13" t="s">
        <v>301</v>
      </c>
      <c r="C27" s="24"/>
      <c r="D27" s="24"/>
      <c r="E27" s="24"/>
      <c r="F27" s="24"/>
      <c r="G27" s="25">
        <f t="shared" ref="G27:P27" si="108">+G13/C13-1</f>
        <v>0.21328224776500648</v>
      </c>
      <c r="H27" s="25">
        <f t="shared" si="108"/>
        <v>0.44493886310784858</v>
      </c>
      <c r="I27" s="25">
        <f t="shared" si="108"/>
        <v>0.76535979547461963</v>
      </c>
      <c r="J27" s="25">
        <f t="shared" si="108"/>
        <v>0.62012853473169161</v>
      </c>
      <c r="K27" s="25">
        <f t="shared" si="108"/>
        <v>0.61894736842105269</v>
      </c>
      <c r="L27" s="25">
        <f t="shared" si="108"/>
        <v>0.29435163086714389</v>
      </c>
      <c r="M27" s="25">
        <f t="shared" si="108"/>
        <v>0.13749174917491747</v>
      </c>
      <c r="N27" s="25">
        <f t="shared" si="108"/>
        <v>0.176856468118604</v>
      </c>
      <c r="O27" s="25">
        <f t="shared" si="108"/>
        <v>0.28998699609882972</v>
      </c>
      <c r="P27" s="25">
        <f t="shared" si="108"/>
        <v>0.27350952673632456</v>
      </c>
      <c r="Q27" s="25">
        <f t="shared" ref="Q27:T27" si="109">+Q13/M13-1</f>
        <v>0.21714153078396103</v>
      </c>
      <c r="R27" s="25">
        <f t="shared" si="109"/>
        <v>0.2246376811594204</v>
      </c>
      <c r="S27" s="25">
        <f t="shared" si="109"/>
        <v>0.17656249999999996</v>
      </c>
      <c r="T27" s="25">
        <f t="shared" si="109"/>
        <v>0.1114864864864864</v>
      </c>
      <c r="U27" s="25">
        <f t="shared" ref="U27" si="110">+U13/Q13-1</f>
        <v>0.13220500595947549</v>
      </c>
      <c r="V27" s="25">
        <f t="shared" ref="V27" si="111">+V13/R13-1</f>
        <v>0.13482020937642258</v>
      </c>
      <c r="W27" s="25">
        <f t="shared" ref="W27" si="112">+W13/S13-1</f>
        <v>6.3959216895857818E-2</v>
      </c>
      <c r="X27" s="25">
        <f t="shared" ref="X27:Y27" si="113">+X13/T13-1</f>
        <v>9.3226226660877209E-2</v>
      </c>
      <c r="Y27" s="25">
        <f t="shared" si="113"/>
        <v>0.13297961933636526</v>
      </c>
      <c r="Z27" s="25">
        <f t="shared" ref="Z27" si="114">+Z13/V13-1</f>
        <v>6.1126263436547257E-2</v>
      </c>
      <c r="AA27" s="25">
        <f>+AA13/W13-1</f>
        <v>0.11608149460460604</v>
      </c>
      <c r="AB27" s="25">
        <f t="shared" ref="AB27" si="115">+AB13/X13-1</f>
        <v>0.15661119275529245</v>
      </c>
      <c r="AC27" s="25"/>
      <c r="AD27" s="25"/>
      <c r="AE27" s="25"/>
      <c r="AF27" s="25"/>
      <c r="AG27" s="25"/>
    </row>
    <row r="28" spans="2:120" x14ac:dyDescent="0.25">
      <c r="B28" s="2" t="s">
        <v>179</v>
      </c>
      <c r="C28" s="19">
        <f t="shared" ref="C28" si="116">C15/C13</f>
        <v>0.85791187739463604</v>
      </c>
      <c r="D28" s="19">
        <f t="shared" ref="D28:H28" si="117">D15/D13</f>
        <v>0.8594271053058109</v>
      </c>
      <c r="E28" s="19">
        <f t="shared" si="117"/>
        <v>0.88919366754371454</v>
      </c>
      <c r="F28" s="19">
        <f t="shared" si="117"/>
        <v>0.8557358650587249</v>
      </c>
      <c r="G28" s="19">
        <f t="shared" si="117"/>
        <v>0.86114315789473683</v>
      </c>
      <c r="H28" s="19">
        <f t="shared" si="117"/>
        <v>0.8528146380270486</v>
      </c>
      <c r="I28" s="19">
        <f t="shared" ref="I28:J28" si="118">I15/I13</f>
        <v>0.8927412541254125</v>
      </c>
      <c r="J28" s="19">
        <f t="shared" si="118"/>
        <v>0.87896877459984257</v>
      </c>
      <c r="K28" s="19">
        <f t="shared" ref="K28:L28" si="119">K15/K13</f>
        <v>0.87894538361508456</v>
      </c>
      <c r="L28" s="19">
        <f t="shared" si="119"/>
        <v>0.87516902274124164</v>
      </c>
      <c r="M28" s="19">
        <f t="shared" ref="M28:P28" si="120">M15/M13</f>
        <v>0.888411768119306</v>
      </c>
      <c r="N28" s="19">
        <f t="shared" si="120"/>
        <v>0.87290969899665549</v>
      </c>
      <c r="O28" s="19">
        <f t="shared" si="120"/>
        <v>0.88079032258064516</v>
      </c>
      <c r="P28" s="19">
        <f t="shared" si="120"/>
        <v>0.88059845559845551</v>
      </c>
      <c r="Q28" s="19">
        <f t="shared" ref="Q28:R28" si="121">Q15/Q13</f>
        <v>0.93048867699642435</v>
      </c>
      <c r="R28" s="19">
        <f t="shared" si="121"/>
        <v>0.88083750568957675</v>
      </c>
      <c r="S28" s="19">
        <f>S15/S13</f>
        <v>0.8770509360407831</v>
      </c>
      <c r="T28" s="19">
        <f>T15/T13</f>
        <v>0.87802865827181931</v>
      </c>
      <c r="U28" s="19">
        <f t="shared" ref="U28:X28" si="122">U15/U13</f>
        <v>0.88841165571837633</v>
      </c>
      <c r="V28" s="19">
        <f t="shared" si="122"/>
        <v>0.87694529119204234</v>
      </c>
      <c r="W28" s="19">
        <f t="shared" si="122"/>
        <v>0.87236269930745691</v>
      </c>
      <c r="X28" s="19">
        <f t="shared" si="122"/>
        <v>0.85534416332366847</v>
      </c>
      <c r="Y28" s="19">
        <f t="shared" ref="Y28:AB28" si="123">Y15/Y13</f>
        <v>0.87519512376421604</v>
      </c>
      <c r="Z28" s="19">
        <f t="shared" si="123"/>
        <v>0.86203507710916238</v>
      </c>
      <c r="AA28" s="19">
        <f t="shared" si="123"/>
        <v>0.86085356614596498</v>
      </c>
      <c r="AB28" s="19">
        <f t="shared" si="123"/>
        <v>0.85703983516483506</v>
      </c>
      <c r="AC28" s="19"/>
      <c r="AD28" s="19"/>
      <c r="AE28" s="19"/>
      <c r="AF28" s="19"/>
      <c r="AG28" s="19"/>
      <c r="AO28" s="19">
        <f t="shared" ref="AO28:AP28" si="124">AO15/AO13</f>
        <v>0.88060528435424446</v>
      </c>
      <c r="AP28" s="19">
        <f t="shared" si="124"/>
        <v>0.89078349268904367</v>
      </c>
      <c r="AQ28" s="19">
        <f t="shared" ref="AQ28:BC28" si="125">AQ15/AQ13</f>
        <v>0.87304064118022551</v>
      </c>
      <c r="AR28" s="19">
        <f t="shared" si="125"/>
        <v>0.93</v>
      </c>
      <c r="AS28" s="19">
        <f t="shared" si="125"/>
        <v>0.92999999999999994</v>
      </c>
      <c r="AT28" s="19">
        <f t="shared" si="125"/>
        <v>0.92999999999999994</v>
      </c>
      <c r="AU28" s="19">
        <f t="shared" si="125"/>
        <v>0.92999999999999994</v>
      </c>
      <c r="AV28" s="19">
        <f t="shared" si="125"/>
        <v>0.93</v>
      </c>
      <c r="AW28" s="19">
        <f t="shared" si="125"/>
        <v>0.93</v>
      </c>
      <c r="AX28" s="19">
        <f t="shared" si="125"/>
        <v>0.92999999999999994</v>
      </c>
      <c r="AY28" s="19">
        <f t="shared" si="125"/>
        <v>0.93</v>
      </c>
      <c r="AZ28" s="19">
        <f t="shared" si="125"/>
        <v>0.93</v>
      </c>
      <c r="BA28" s="19">
        <f t="shared" si="125"/>
        <v>0.92999999999999994</v>
      </c>
      <c r="BB28" s="19">
        <f t="shared" si="125"/>
        <v>0.92999999999999994</v>
      </c>
      <c r="BC28" s="19">
        <f t="shared" si="125"/>
        <v>0.93</v>
      </c>
      <c r="BJ28" t="s">
        <v>295</v>
      </c>
      <c r="BK28" s="23">
        <v>-0.05</v>
      </c>
    </row>
    <row r="29" spans="2:120" x14ac:dyDescent="0.25">
      <c r="B29" s="2" t="s">
        <v>291</v>
      </c>
      <c r="C29" s="19">
        <f t="shared" ref="C29" si="126">+C16/C13</f>
        <v>0.17534482758620687</v>
      </c>
      <c r="D29" s="19">
        <f t="shared" ref="D29:H29" si="127">+D16/D13</f>
        <v>0.17611701131006641</v>
      </c>
      <c r="E29" s="19">
        <f t="shared" si="127"/>
        <v>0.1713447730201752</v>
      </c>
      <c r="F29" s="19">
        <f t="shared" si="127"/>
        <v>0.16632993698673523</v>
      </c>
      <c r="G29" s="19">
        <f t="shared" si="127"/>
        <v>0.16807789473684212</v>
      </c>
      <c r="H29" s="19">
        <f t="shared" si="127"/>
        <v>0.15535163086714399</v>
      </c>
      <c r="I29" s="19">
        <f t="shared" ref="I29:J29" si="128">+I16/I13</f>
        <v>0.12030231023102311</v>
      </c>
      <c r="J29" s="19">
        <f t="shared" si="128"/>
        <v>0.12581999475203359</v>
      </c>
      <c r="K29" s="19">
        <f t="shared" ref="K29:S29" si="129">+K16/K13</f>
        <v>0.11999414824447334</v>
      </c>
      <c r="L29" s="19">
        <f t="shared" si="129"/>
        <v>0.107559926244622</v>
      </c>
      <c r="M29" s="19">
        <f t="shared" si="129"/>
        <v>8.7622584576103987E-2</v>
      </c>
      <c r="N29" s="19">
        <f t="shared" si="129"/>
        <v>0.1084726867335563</v>
      </c>
      <c r="O29" s="19">
        <f t="shared" si="129"/>
        <v>9.9893649193548387E-2</v>
      </c>
      <c r="P29" s="19">
        <f t="shared" si="129"/>
        <v>0.10135135135135136</v>
      </c>
      <c r="Q29" s="19">
        <f t="shared" si="129"/>
        <v>7.9618593563766382E-2</v>
      </c>
      <c r="R29" s="19">
        <f t="shared" si="129"/>
        <v>7.8880291306326816E-2</v>
      </c>
      <c r="S29" s="19">
        <f t="shared" si="129"/>
        <v>7.7282268774364921E-2</v>
      </c>
      <c r="T29" s="19">
        <f>+T16/T13</f>
        <v>9.7959183673469383E-2</v>
      </c>
      <c r="U29" s="19">
        <f t="shared" ref="U29:X29" si="130">+U16/U13</f>
        <v>8.2912245241704582E-2</v>
      </c>
      <c r="V29" s="19">
        <f t="shared" si="130"/>
        <v>8.8079576447938374E-2</v>
      </c>
      <c r="W29" s="19">
        <f t="shared" si="130"/>
        <v>8.6849734256724098E-2</v>
      </c>
      <c r="X29" s="19">
        <f t="shared" si="130"/>
        <v>0.11343686698176907</v>
      </c>
      <c r="Y29" s="19">
        <f t="shared" ref="Y29:AB29" si="131">+Y16/Y13</f>
        <v>0.1010926930796105</v>
      </c>
      <c r="Z29" s="19">
        <f t="shared" si="131"/>
        <v>0.10598729966737223</v>
      </c>
      <c r="AA29" s="19">
        <f t="shared" si="131"/>
        <v>0.10826508892817202</v>
      </c>
      <c r="AB29" s="19">
        <f t="shared" si="131"/>
        <v>0.10649038461538463</v>
      </c>
      <c r="AC29" s="19"/>
      <c r="AD29" s="19"/>
      <c r="AE29" s="19"/>
      <c r="AF29" s="19"/>
      <c r="AG29" s="19"/>
      <c r="AO29" s="19"/>
      <c r="AP29" s="19">
        <f>+AP16/AP13</f>
        <v>8.3555386372287793E-2</v>
      </c>
      <c r="AQ29" s="19">
        <f t="shared" ref="AQ29:BC29" si="132">+AQ16/AQ13</f>
        <v>9.2995450538538693E-2</v>
      </c>
      <c r="AR29" s="19">
        <f t="shared" si="132"/>
        <v>0.1</v>
      </c>
      <c r="AS29" s="19">
        <f t="shared" si="132"/>
        <v>0.1</v>
      </c>
      <c r="AT29" s="19">
        <f t="shared" si="132"/>
        <v>0.1</v>
      </c>
      <c r="AU29" s="19">
        <f t="shared" si="132"/>
        <v>0.1</v>
      </c>
      <c r="AV29" s="19">
        <f t="shared" si="132"/>
        <v>0.1</v>
      </c>
      <c r="AW29" s="19">
        <f t="shared" si="132"/>
        <v>0.1</v>
      </c>
      <c r="AX29" s="19">
        <f t="shared" si="132"/>
        <v>0.1</v>
      </c>
      <c r="AY29" s="19">
        <f t="shared" si="132"/>
        <v>0.1</v>
      </c>
      <c r="AZ29" s="19">
        <f t="shared" si="132"/>
        <v>0.1</v>
      </c>
      <c r="BA29" s="19">
        <f t="shared" si="132"/>
        <v>0.1</v>
      </c>
      <c r="BB29" s="19">
        <f t="shared" si="132"/>
        <v>0.1</v>
      </c>
      <c r="BC29" s="19">
        <f t="shared" si="132"/>
        <v>0.10000000000000002</v>
      </c>
      <c r="BJ29" t="s">
        <v>293</v>
      </c>
      <c r="BK29" s="23">
        <v>7.0000000000000007E-2</v>
      </c>
    </row>
    <row r="30" spans="2:120" x14ac:dyDescent="0.25">
      <c r="B30" s="2" t="s">
        <v>182</v>
      </c>
      <c r="C30" s="19">
        <f t="shared" ref="C30" si="133">C22/C21</f>
        <v>4.1139547592659732E-2</v>
      </c>
      <c r="D30" s="19">
        <f t="shared" ref="D30:H30" si="134">D22/D21</f>
        <v>0</v>
      </c>
      <c r="E30" s="19">
        <f t="shared" si="134"/>
        <v>0.18584070796460173</v>
      </c>
      <c r="F30" s="19">
        <f t="shared" si="134"/>
        <v>0.21886672115945011</v>
      </c>
      <c r="G30" s="19">
        <f t="shared" si="134"/>
        <v>0.1245736375350564</v>
      </c>
      <c r="H30" s="19">
        <f t="shared" si="134"/>
        <v>0.23736987411666366</v>
      </c>
      <c r="I30" s="19">
        <f t="shared" ref="I30:J30" si="135">I22/I21</f>
        <v>7.6068135142753596E-2</v>
      </c>
      <c r="J30" s="19">
        <f t="shared" si="135"/>
        <v>-1.7419854732347417E-2</v>
      </c>
      <c r="K30" s="19">
        <f t="shared" ref="K30:L30" si="136">K22/K21</f>
        <v>0.1183036858950188</v>
      </c>
      <c r="L30" s="19">
        <f t="shared" si="136"/>
        <v>0.22735101619014811</v>
      </c>
      <c r="M30" s="19">
        <f>M22/M21</f>
        <v>0.20896733617366606</v>
      </c>
      <c r="N30" s="19">
        <f t="shared" ref="N30:T30" si="137">N22/N21</f>
        <v>1.2000440383133325E-2</v>
      </c>
      <c r="O30" s="19">
        <f t="shared" si="137"/>
        <v>0.22163530370872531</v>
      </c>
      <c r="P30" s="19">
        <f t="shared" si="137"/>
        <v>0.21576239053895463</v>
      </c>
      <c r="Q30" s="19">
        <f t="shared" si="137"/>
        <v>0.19897714559693142</v>
      </c>
      <c r="R30" s="19">
        <f t="shared" si="137"/>
        <v>0.20799485240891175</v>
      </c>
      <c r="S30" s="19">
        <f t="shared" si="137"/>
        <v>0.18205374990745546</v>
      </c>
      <c r="T30" s="19">
        <f t="shared" si="137"/>
        <v>0.20670032860463253</v>
      </c>
      <c r="U30" s="19">
        <f t="shared" ref="U30:X30" si="138">U22/U21</f>
        <v>0.15817041682036154</v>
      </c>
      <c r="V30" s="19">
        <f t="shared" si="138"/>
        <v>0.1932706793887653</v>
      </c>
      <c r="W30" s="19">
        <f t="shared" si="138"/>
        <v>0.18714473108876253</v>
      </c>
      <c r="X30" s="19">
        <f t="shared" si="138"/>
        <v>0.13461828037946091</v>
      </c>
      <c r="Y30" s="19">
        <f t="shared" ref="Y30:AB30" si="139">Y22/Y21</f>
        <v>0.16528454769893022</v>
      </c>
      <c r="Z30" s="19">
        <f t="shared" si="139"/>
        <v>0.20886603668704837</v>
      </c>
      <c r="AA30" s="19">
        <f t="shared" si="139"/>
        <v>0.19622405774970497</v>
      </c>
      <c r="AB30" s="19">
        <f t="shared" si="139"/>
        <v>0.19928749554684719</v>
      </c>
      <c r="AC30" s="19"/>
      <c r="AD30" s="19"/>
      <c r="AE30" s="19"/>
      <c r="AF30" s="19"/>
      <c r="AG30" s="19"/>
      <c r="AP30" s="23">
        <f>+AP22/AP21</f>
        <v>0.19858239579038309</v>
      </c>
      <c r="AQ30" s="23">
        <f t="shared" ref="AQ30:BC30" si="140">+AQ22/AQ21</f>
        <v>0.16870343865829932</v>
      </c>
      <c r="AR30" s="23">
        <f t="shared" si="140"/>
        <v>0.2</v>
      </c>
      <c r="AS30" s="23">
        <f t="shared" si="140"/>
        <v>0.2</v>
      </c>
      <c r="AT30" s="23">
        <f t="shared" si="140"/>
        <v>0.2</v>
      </c>
      <c r="AU30" s="23">
        <f t="shared" si="140"/>
        <v>0.2</v>
      </c>
      <c r="AV30" s="23">
        <f t="shared" si="140"/>
        <v>0.2</v>
      </c>
      <c r="AW30" s="23">
        <f t="shared" si="140"/>
        <v>0.2</v>
      </c>
      <c r="AX30" s="23">
        <f t="shared" si="140"/>
        <v>0.2</v>
      </c>
      <c r="AY30" s="23">
        <f t="shared" si="140"/>
        <v>0.2</v>
      </c>
      <c r="AZ30" s="23">
        <f t="shared" si="140"/>
        <v>0.2</v>
      </c>
      <c r="BA30" s="23">
        <f t="shared" si="140"/>
        <v>0.2</v>
      </c>
      <c r="BB30" s="23">
        <f t="shared" si="140"/>
        <v>0.19999999999999998</v>
      </c>
      <c r="BC30" s="23">
        <f t="shared" si="140"/>
        <v>0.2</v>
      </c>
      <c r="BJ30" t="s">
        <v>292</v>
      </c>
      <c r="BK30" s="23">
        <v>0.01</v>
      </c>
    </row>
    <row r="31" spans="2:120" x14ac:dyDescent="0.25">
      <c r="BJ31" t="s">
        <v>294</v>
      </c>
      <c r="BK31" s="2">
        <f>NPV(BK29,AS23:CP23)+Main!M5-Main!M6</f>
        <v>106169.26235786869</v>
      </c>
    </row>
    <row r="32" spans="2:120" s="2" customFormat="1" x14ac:dyDescent="0.25">
      <c r="B32" s="2" t="s">
        <v>3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>
        <f>6304.33+619.638</f>
        <v>6923.9679999999998</v>
      </c>
      <c r="N32" s="12">
        <f>6063.678+644.315</f>
        <v>6707.9930000000004</v>
      </c>
      <c r="O32" s="12">
        <f>6275.698+685.187</f>
        <v>6960.8850000000002</v>
      </c>
      <c r="P32" s="12">
        <f>6795+729.9</f>
        <v>7524.9</v>
      </c>
      <c r="Q32" s="12">
        <f>7600.1+638</f>
        <v>8238.1</v>
      </c>
      <c r="R32" s="12">
        <f>8702.2+551.2</f>
        <v>9253.4000000000015</v>
      </c>
      <c r="S32" s="12">
        <f>9171.5+599.2</f>
        <v>9770.7000000000007</v>
      </c>
      <c r="T32" s="12">
        <f>10504+274.5</f>
        <v>10778.5</v>
      </c>
      <c r="U32" s="12">
        <f>9289.9+1124.2+1081.5</f>
        <v>11495.6</v>
      </c>
      <c r="V32" s="2">
        <f>10151.1+1085.2+1357.3</f>
        <v>12593.6</v>
      </c>
      <c r="W32" s="2">
        <f>11110.2+818+1700</f>
        <v>13628.2</v>
      </c>
      <c r="X32" s="2">
        <f>10369.1+849.2+2497.8</f>
        <v>13716.100000000002</v>
      </c>
      <c r="Y32" s="2">
        <f>9158+1013.3+4381.4</f>
        <v>14552.699999999999</v>
      </c>
      <c r="Z32" s="2">
        <f>+Y32+Z23</f>
        <v>15691.3</v>
      </c>
      <c r="AA32" s="2">
        <f>+Z32+AA23</f>
        <v>16849.3</v>
      </c>
      <c r="AB32" s="2">
        <f>+AA32+AB23</f>
        <v>17973.099999999999</v>
      </c>
      <c r="AP32" s="2">
        <f>+T32</f>
        <v>10778.5</v>
      </c>
      <c r="AQ32" s="2">
        <f>+X32</f>
        <v>13716.100000000002</v>
      </c>
      <c r="AR32" s="2">
        <f t="shared" ref="AR32:BC32" si="141">+AQ32+AR23</f>
        <v>20982.431424000002</v>
      </c>
      <c r="AS32" s="2">
        <f t="shared" si="141"/>
        <v>28779.078414432002</v>
      </c>
      <c r="AT32" s="2">
        <f t="shared" si="141"/>
        <v>37909.75878675386</v>
      </c>
      <c r="AU32" s="2">
        <f t="shared" si="141"/>
        <v>48055.872984691872</v>
      </c>
      <c r="AV32" s="2">
        <f t="shared" si="141"/>
        <v>59225.1393927811</v>
      </c>
      <c r="AW32" s="2">
        <f t="shared" si="141"/>
        <v>71428.581680374264</v>
      </c>
      <c r="AX32" s="2">
        <f t="shared" si="141"/>
        <v>84046.567823069709</v>
      </c>
      <c r="AY32" s="2">
        <f t="shared" si="141"/>
        <v>96959.537972977821</v>
      </c>
      <c r="AZ32" s="2">
        <f t="shared" si="141"/>
        <v>110173.26389420059</v>
      </c>
      <c r="BA32" s="2">
        <f t="shared" si="141"/>
        <v>123693.62707369051</v>
      </c>
      <c r="BB32" s="2">
        <f t="shared" si="141"/>
        <v>133466.57034460962</v>
      </c>
      <c r="BC32" s="2">
        <f t="shared" si="141"/>
        <v>139161.19028676621</v>
      </c>
      <c r="BD32" s="2">
        <f t="shared" ref="BD32" si="142">+BC32+BD23</f>
        <v>144592.38164538465</v>
      </c>
      <c r="BE32" s="2">
        <f t="shared" ref="BE32" si="143">+BD32+BE23</f>
        <v>150074.67611154835</v>
      </c>
      <c r="BF32" s="2">
        <f t="shared" ref="BF32" si="144">+BE32+BF23</f>
        <v>155640.53194340266</v>
      </c>
      <c r="BG32" s="2">
        <f t="shared" ref="BG32" si="145">+BF32+BG23</f>
        <v>161294.21195172454</v>
      </c>
      <c r="BH32" s="2">
        <f t="shared" ref="BH32" si="146">+BG32+BH23</f>
        <v>163699.88706690675</v>
      </c>
      <c r="BJ32" s="2" t="s">
        <v>296</v>
      </c>
      <c r="BK32" s="1">
        <f>BK31/Main!M3</f>
        <v>413.44801791175291</v>
      </c>
    </row>
    <row r="33" spans="2:33" s="2" customFormat="1" x14ac:dyDescent="0.25">
      <c r="B33" s="2" t="s">
        <v>261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>
        <v>977.55100000000004</v>
      </c>
      <c r="N33" s="12">
        <v>929.14200000000005</v>
      </c>
      <c r="O33" s="12">
        <v>1100.3720000000001</v>
      </c>
      <c r="P33" s="12">
        <v>1136.8</v>
      </c>
      <c r="Q33" s="12">
        <v>1292.8</v>
      </c>
      <c r="R33" s="12">
        <v>1332.9</v>
      </c>
      <c r="S33" s="12">
        <v>1385.2</v>
      </c>
      <c r="T33" s="12">
        <v>1442.2</v>
      </c>
      <c r="U33" s="12">
        <v>1547.8</v>
      </c>
      <c r="V33" s="2">
        <v>1556.2</v>
      </c>
      <c r="W33" s="2">
        <v>1538.7</v>
      </c>
      <c r="X33" s="2">
        <v>1563.4</v>
      </c>
      <c r="Y33" s="2">
        <v>1793.2</v>
      </c>
    </row>
    <row r="34" spans="2:33" s="2" customFormat="1" x14ac:dyDescent="0.25">
      <c r="B34" s="2" t="s">
        <v>262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>
        <v>298.863</v>
      </c>
      <c r="N34" s="12">
        <v>321.62</v>
      </c>
      <c r="O34" s="12">
        <v>333.45600000000002</v>
      </c>
      <c r="P34" s="12">
        <v>353.1</v>
      </c>
      <c r="Q34" s="12">
        <v>338.9</v>
      </c>
      <c r="R34" s="12">
        <v>367.7</v>
      </c>
      <c r="S34" s="12">
        <v>388.2</v>
      </c>
      <c r="T34" s="12">
        <v>460.6</v>
      </c>
      <c r="U34" s="12">
        <v>535.1</v>
      </c>
      <c r="V34" s="2">
        <v>603.5</v>
      </c>
      <c r="W34" s="2">
        <v>688.7</v>
      </c>
      <c r="X34" s="2">
        <v>738.8</v>
      </c>
      <c r="Y34" s="2">
        <v>813.1</v>
      </c>
    </row>
    <row r="35" spans="2:33" s="2" customFormat="1" x14ac:dyDescent="0.25">
      <c r="B35" s="2" t="s">
        <v>263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>
        <v>338.92500000000001</v>
      </c>
      <c r="N35" s="12">
        <v>498.75900000000001</v>
      </c>
      <c r="O35" s="12">
        <v>457.827</v>
      </c>
      <c r="P35" s="12">
        <v>545.79999999999995</v>
      </c>
      <c r="Q35" s="12">
        <v>491.5</v>
      </c>
      <c r="R35" s="12">
        <v>549.5</v>
      </c>
      <c r="S35" s="12">
        <v>726.9</v>
      </c>
      <c r="T35" s="12">
        <v>553.5</v>
      </c>
      <c r="U35" s="12">
        <v>468.7</v>
      </c>
      <c r="V35" s="2">
        <v>476.9</v>
      </c>
      <c r="W35" s="2">
        <v>540.20000000000005</v>
      </c>
      <c r="X35" s="2">
        <v>623.70000000000005</v>
      </c>
      <c r="Y35" s="2">
        <v>511.1</v>
      </c>
    </row>
    <row r="36" spans="2:33" s="2" customFormat="1" x14ac:dyDescent="0.25">
      <c r="B36" s="2" t="s">
        <v>264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>
        <v>986.12300000000005</v>
      </c>
      <c r="N36" s="12">
        <v>1021.2329999999999</v>
      </c>
      <c r="O36" s="12">
        <v>1042.347</v>
      </c>
      <c r="P36" s="12">
        <v>1094.0999999999999</v>
      </c>
      <c r="Q36" s="12">
        <v>1107.4000000000001</v>
      </c>
      <c r="R36" s="12">
        <v>1100.0999999999999</v>
      </c>
      <c r="S36" s="12">
        <v>1118.7</v>
      </c>
      <c r="T36" s="12">
        <v>1108.4000000000001</v>
      </c>
      <c r="U36" s="12">
        <v>1111.7</v>
      </c>
      <c r="V36" s="2">
        <v>1122.4000000000001</v>
      </c>
      <c r="W36" s="2">
        <v>1124</v>
      </c>
      <c r="X36" s="2">
        <v>1159.3</v>
      </c>
      <c r="Y36" s="2">
        <v>1172.8</v>
      </c>
    </row>
    <row r="37" spans="2:33" s="2" customFormat="1" x14ac:dyDescent="0.25">
      <c r="B37" s="2" t="s">
        <v>265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>
        <f>1002.158+400</f>
        <v>1402.1579999999999</v>
      </c>
      <c r="N37" s="12">
        <f>1002.158+400</f>
        <v>1402.1579999999999</v>
      </c>
      <c r="O37" s="12">
        <f>1002.158+400</f>
        <v>1402.1579999999999</v>
      </c>
      <c r="P37" s="12">
        <f>1002.2+400</f>
        <v>1402.2</v>
      </c>
      <c r="Q37" s="12">
        <f>1002.2+400</f>
        <v>1402.2</v>
      </c>
      <c r="R37" s="12">
        <f>1002.2+387</f>
        <v>1389.2</v>
      </c>
      <c r="S37" s="12">
        <f>1075.2+603.6</f>
        <v>1678.8000000000002</v>
      </c>
      <c r="T37" s="12">
        <f>1088+603.6</f>
        <v>1691.6</v>
      </c>
      <c r="U37" s="12">
        <f>1088+603.6</f>
        <v>1691.6</v>
      </c>
      <c r="V37" s="2">
        <f>1088+603.6</f>
        <v>1691.6</v>
      </c>
      <c r="W37" s="2">
        <f>1088+603.6</f>
        <v>1691.6</v>
      </c>
      <c r="X37" s="2">
        <f>1088+839.9</f>
        <v>1927.9</v>
      </c>
      <c r="Y37" s="2">
        <f>1088+834.9</f>
        <v>1922.9</v>
      </c>
    </row>
    <row r="38" spans="2:33" s="2" customFormat="1" x14ac:dyDescent="0.25">
      <c r="B38" s="2" t="s">
        <v>123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>
        <v>815.89</v>
      </c>
      <c r="N38" s="12">
        <v>952.80799999999999</v>
      </c>
      <c r="O38" s="12">
        <v>933.83900000000006</v>
      </c>
      <c r="P38" s="12">
        <v>934.5</v>
      </c>
      <c r="Q38" s="12">
        <v>945.5</v>
      </c>
      <c r="R38" s="12">
        <v>1143.8</v>
      </c>
      <c r="S38" s="12">
        <v>1162.7</v>
      </c>
      <c r="T38" s="12">
        <v>1246.9000000000001</v>
      </c>
      <c r="U38" s="12">
        <v>1359.9</v>
      </c>
      <c r="V38" s="2">
        <v>1538</v>
      </c>
      <c r="W38" s="2">
        <v>1729.1</v>
      </c>
      <c r="X38" s="2">
        <v>1812.1</v>
      </c>
      <c r="Y38" s="2">
        <v>1963</v>
      </c>
    </row>
    <row r="39" spans="2:33" s="2" customFormat="1" x14ac:dyDescent="0.25">
      <c r="B39" s="2" t="s">
        <v>266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>
        <v>322.31900000000002</v>
      </c>
      <c r="N39" s="12">
        <v>316.87400000000002</v>
      </c>
      <c r="O39" s="12">
        <v>312.34300000000002</v>
      </c>
      <c r="P39" s="12">
        <v>330.3</v>
      </c>
      <c r="Q39" s="12">
        <v>329</v>
      </c>
      <c r="R39" s="12">
        <v>318.3</v>
      </c>
      <c r="S39" s="12">
        <v>342.7</v>
      </c>
      <c r="T39" s="12">
        <v>347.4</v>
      </c>
      <c r="U39" s="12">
        <v>336.3</v>
      </c>
      <c r="V39" s="2">
        <v>324.3</v>
      </c>
      <c r="W39" s="2">
        <v>310.5</v>
      </c>
      <c r="X39" s="2">
        <v>293.60000000000002</v>
      </c>
      <c r="Y39" s="2">
        <v>312.89999999999998</v>
      </c>
    </row>
    <row r="40" spans="2:33" s="2" customFormat="1" x14ac:dyDescent="0.25">
      <c r="B40" s="2" t="s">
        <v>267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>
        <v>49.262</v>
      </c>
      <c r="N40" s="12">
        <v>71.099000000000004</v>
      </c>
      <c r="O40" s="12">
        <v>75.518000000000001</v>
      </c>
      <c r="P40" s="12">
        <v>110.8</v>
      </c>
      <c r="Q40" s="12">
        <v>110.7</v>
      </c>
      <c r="R40" s="12">
        <v>127.3</v>
      </c>
      <c r="S40" s="12">
        <v>132.5</v>
      </c>
      <c r="T40" s="12">
        <v>521.79999999999995</v>
      </c>
      <c r="U40" s="12">
        <v>427.5</v>
      </c>
      <c r="V40" s="2">
        <v>442.7</v>
      </c>
      <c r="W40" s="2">
        <v>475.2</v>
      </c>
      <c r="X40" s="2">
        <v>895.3</v>
      </c>
      <c r="Y40" s="2">
        <v>875.7</v>
      </c>
    </row>
    <row r="41" spans="2:33" s="2" customFormat="1" x14ac:dyDescent="0.25">
      <c r="B41" s="2" t="s">
        <v>260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>
        <f t="shared" ref="M41:R41" si="147">SUM(M32:M40)</f>
        <v>12115.058999999997</v>
      </c>
      <c r="N41" s="12">
        <f t="shared" si="147"/>
        <v>12221.686</v>
      </c>
      <c r="O41" s="12">
        <f t="shared" si="147"/>
        <v>12618.744999999999</v>
      </c>
      <c r="P41" s="12">
        <f t="shared" si="147"/>
        <v>13432.499999999998</v>
      </c>
      <c r="Q41" s="12">
        <f t="shared" si="147"/>
        <v>14256.1</v>
      </c>
      <c r="R41" s="12">
        <f t="shared" si="147"/>
        <v>15582.2</v>
      </c>
      <c r="S41" s="12">
        <f t="shared" ref="S41:AB41" si="148">SUM(S32:S40)</f>
        <v>16706.400000000005</v>
      </c>
      <c r="T41" s="12">
        <f t="shared" si="148"/>
        <v>18150.900000000001</v>
      </c>
      <c r="U41" s="12">
        <f t="shared" si="148"/>
        <v>18974.2</v>
      </c>
      <c r="V41" s="12">
        <f t="shared" si="148"/>
        <v>20349.2</v>
      </c>
      <c r="W41" s="12">
        <f t="shared" si="148"/>
        <v>21726.2</v>
      </c>
      <c r="X41" s="12">
        <f t="shared" si="148"/>
        <v>22730.199999999997</v>
      </c>
      <c r="Y41" s="12">
        <f t="shared" si="148"/>
        <v>23917.4</v>
      </c>
      <c r="Z41" s="12">
        <f t="shared" si="148"/>
        <v>15691.3</v>
      </c>
      <c r="AA41" s="12">
        <f t="shared" si="148"/>
        <v>16849.3</v>
      </c>
      <c r="AB41" s="12">
        <f t="shared" si="148"/>
        <v>17973.099999999999</v>
      </c>
      <c r="AC41" s="12"/>
      <c r="AD41" s="12"/>
      <c r="AE41" s="12"/>
      <c r="AF41" s="12"/>
      <c r="AG41" s="12"/>
    </row>
    <row r="43" spans="2:33" s="2" customFormat="1" x14ac:dyDescent="0.25">
      <c r="B43" s="2" t="s">
        <v>268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>
        <v>127.839</v>
      </c>
      <c r="N43" s="12">
        <v>127.53400000000001</v>
      </c>
      <c r="O43" s="12">
        <v>127.863</v>
      </c>
      <c r="P43" s="12">
        <v>195</v>
      </c>
      <c r="Q43" s="12">
        <v>173.6</v>
      </c>
      <c r="R43" s="12">
        <v>198</v>
      </c>
      <c r="S43" s="12">
        <v>126.9</v>
      </c>
      <c r="T43" s="12">
        <v>303.89999999999998</v>
      </c>
      <c r="U43" s="12">
        <v>323.2</v>
      </c>
      <c r="V43" s="2">
        <v>363</v>
      </c>
      <c r="W43" s="2">
        <v>375.9</v>
      </c>
      <c r="X43" s="2">
        <v>364.9</v>
      </c>
      <c r="Y43" s="2">
        <v>351.4</v>
      </c>
    </row>
    <row r="44" spans="2:33" s="2" customFormat="1" x14ac:dyDescent="0.25">
      <c r="B44" s="2" t="s">
        <v>269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>
        <v>1532.037</v>
      </c>
      <c r="N44" s="12">
        <v>1482.556</v>
      </c>
      <c r="O44" s="12">
        <v>1584.992</v>
      </c>
      <c r="P44" s="12">
        <v>1678.6</v>
      </c>
      <c r="Q44" s="12">
        <v>1720.5</v>
      </c>
      <c r="R44" s="12">
        <v>2119.5</v>
      </c>
      <c r="S44" s="12">
        <v>2264.4</v>
      </c>
      <c r="T44" s="12">
        <v>2126.6999999999998</v>
      </c>
      <c r="U44" s="12">
        <v>2326</v>
      </c>
      <c r="V44" s="2">
        <v>2598.1</v>
      </c>
      <c r="W44" s="2">
        <v>2907.3</v>
      </c>
      <c r="X44" s="2">
        <v>2655.3</v>
      </c>
      <c r="Y44" s="2">
        <v>2795.9</v>
      </c>
    </row>
    <row r="45" spans="2:33" s="2" customFormat="1" x14ac:dyDescent="0.25">
      <c r="B45" s="2" t="s">
        <v>270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>
        <v>284.17399999999998</v>
      </c>
      <c r="N45" s="12">
        <v>226.358</v>
      </c>
      <c r="O45" s="12">
        <v>201.40899999999999</v>
      </c>
      <c r="P45" s="12">
        <v>268.39999999999998</v>
      </c>
      <c r="Q45" s="12">
        <v>286.10000000000002</v>
      </c>
      <c r="R45" s="12">
        <v>238.7</v>
      </c>
      <c r="S45" s="12">
        <v>218</v>
      </c>
      <c r="T45" s="12">
        <v>311.5</v>
      </c>
      <c r="U45" s="12">
        <v>377</v>
      </c>
      <c r="V45" s="2">
        <v>391</v>
      </c>
      <c r="W45" s="2">
        <v>316.2</v>
      </c>
      <c r="X45" s="2">
        <v>527.20000000000005</v>
      </c>
      <c r="Y45" s="2">
        <v>648.6</v>
      </c>
    </row>
    <row r="46" spans="2:33" s="2" customFormat="1" x14ac:dyDescent="0.25">
      <c r="B46" s="2" t="s">
        <v>266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>
        <f>530.33+368.467</f>
        <v>898.79700000000003</v>
      </c>
      <c r="N46" s="12">
        <f>524.925+368.924</f>
        <v>893.84899999999993</v>
      </c>
      <c r="O46" s="12">
        <f>513.255+363.545</f>
        <v>876.8</v>
      </c>
      <c r="P46" s="12">
        <f>509.8+377.4</f>
        <v>887.2</v>
      </c>
      <c r="Q46" s="12">
        <f>495.5+377</f>
        <v>872.5</v>
      </c>
      <c r="R46" s="12">
        <f>482.3+365</f>
        <v>847.3</v>
      </c>
      <c r="S46" s="12">
        <f>442.3+382.3</f>
        <v>824.6</v>
      </c>
      <c r="T46" s="12">
        <f>430.8+379.5</f>
        <v>810.3</v>
      </c>
      <c r="U46" s="12">
        <f>417.6+371.6</f>
        <v>789.2</v>
      </c>
      <c r="V46" s="2">
        <f>404.1+363.5</f>
        <v>767.6</v>
      </c>
      <c r="W46" s="2">
        <f>390.3+354.4</f>
        <v>744.7</v>
      </c>
      <c r="X46" s="2">
        <f>376.1+348.6</f>
        <v>724.7</v>
      </c>
      <c r="Y46" s="2">
        <f>361.5+359.8</f>
        <v>721.3</v>
      </c>
    </row>
    <row r="47" spans="2:33" s="2" customFormat="1" x14ac:dyDescent="0.25">
      <c r="B47" s="2" t="s">
        <v>271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>
        <v>185.7</v>
      </c>
      <c r="N47" s="12">
        <v>187.3</v>
      </c>
      <c r="O47" s="12">
        <v>188.5</v>
      </c>
      <c r="P47" s="12">
        <v>186.5</v>
      </c>
      <c r="Q47" s="12">
        <v>179</v>
      </c>
      <c r="R47" s="12">
        <v>129.80000000000001</v>
      </c>
      <c r="S47" s="12">
        <v>127.2</v>
      </c>
      <c r="T47" s="12">
        <v>0</v>
      </c>
      <c r="U47" s="12">
        <v>0</v>
      </c>
      <c r="V47" s="2">
        <v>0</v>
      </c>
      <c r="W47" s="2">
        <v>0</v>
      </c>
      <c r="X47" s="2">
        <v>0</v>
      </c>
      <c r="Y47" s="2">
        <v>0</v>
      </c>
    </row>
    <row r="48" spans="2:33" s="2" customFormat="1" x14ac:dyDescent="0.25">
      <c r="B48" s="2" t="s">
        <v>272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>
        <v>106.258</v>
      </c>
      <c r="N48" s="12">
        <v>107.693</v>
      </c>
      <c r="O48" s="12">
        <v>108.473</v>
      </c>
      <c r="P48" s="12">
        <v>116.8</v>
      </c>
      <c r="Q48" s="12">
        <v>117.4</v>
      </c>
      <c r="R48" s="12">
        <v>115.4</v>
      </c>
      <c r="S48" s="12">
        <v>115.7</v>
      </c>
      <c r="T48" s="12">
        <v>685.8</v>
      </c>
      <c r="U48" s="12">
        <v>726.5</v>
      </c>
      <c r="V48" s="2">
        <v>759.3</v>
      </c>
      <c r="W48" s="2">
        <v>869.3</v>
      </c>
      <c r="X48" s="2">
        <v>877.7</v>
      </c>
      <c r="Y48" s="2">
        <v>853.6</v>
      </c>
    </row>
    <row r="49" spans="2:33" s="2" customFormat="1" x14ac:dyDescent="0.25">
      <c r="B49" s="2" t="s">
        <v>274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>
        <v>8980.2540000000008</v>
      </c>
      <c r="N49" s="12">
        <v>9196.3960000000006</v>
      </c>
      <c r="O49" s="12">
        <v>9530.7080000000005</v>
      </c>
      <c r="P49" s="12">
        <v>10100</v>
      </c>
      <c r="Q49" s="12">
        <v>10907</v>
      </c>
      <c r="R49" s="12">
        <v>11933.5</v>
      </c>
      <c r="S49" s="12">
        <v>13029.6</v>
      </c>
      <c r="T49" s="12">
        <v>13912.7</v>
      </c>
      <c r="U49" s="12">
        <v>14432.3</v>
      </c>
      <c r="V49" s="2">
        <v>15470.2</v>
      </c>
      <c r="W49" s="2">
        <v>16512.8</v>
      </c>
      <c r="X49" s="2">
        <v>17580.400000000001</v>
      </c>
      <c r="Y49" s="2">
        <v>18546.599999999999</v>
      </c>
    </row>
    <row r="50" spans="2:33" s="2" customFormat="1" x14ac:dyDescent="0.25">
      <c r="B50" s="2" t="s">
        <v>273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>
        <f t="shared" ref="M50:R50" si="149">SUM(M43:M49)</f>
        <v>12115.059000000001</v>
      </c>
      <c r="N50" s="12">
        <f t="shared" si="149"/>
        <v>12221.686000000002</v>
      </c>
      <c r="O50" s="12">
        <f t="shared" si="149"/>
        <v>12618.745000000001</v>
      </c>
      <c r="P50" s="12">
        <f t="shared" si="149"/>
        <v>13432.5</v>
      </c>
      <c r="Q50" s="12">
        <f t="shared" si="149"/>
        <v>14256.1</v>
      </c>
      <c r="R50" s="12">
        <f t="shared" si="149"/>
        <v>15582.2</v>
      </c>
      <c r="S50" s="12">
        <f t="shared" ref="S50:X50" si="150">SUM(S43:S49)</f>
        <v>16706.400000000001</v>
      </c>
      <c r="T50" s="12">
        <f t="shared" si="150"/>
        <v>18150.900000000001</v>
      </c>
      <c r="U50" s="12">
        <f t="shared" si="150"/>
        <v>18974.199999999997</v>
      </c>
      <c r="V50" s="12">
        <f t="shared" si="150"/>
        <v>20349.2</v>
      </c>
      <c r="W50" s="12">
        <f t="shared" si="150"/>
        <v>21726.2</v>
      </c>
      <c r="X50" s="12">
        <f t="shared" si="150"/>
        <v>22730.2</v>
      </c>
      <c r="Y50" s="12">
        <f>SUM(Y43:Y49)</f>
        <v>23917.399999999998</v>
      </c>
      <c r="Z50" s="12">
        <f t="shared" ref="Z50:AB50" si="151">SUM(Z43:Z49)</f>
        <v>0</v>
      </c>
      <c r="AA50" s="12">
        <f t="shared" si="151"/>
        <v>0</v>
      </c>
      <c r="AB50" s="12">
        <f t="shared" si="151"/>
        <v>0</v>
      </c>
      <c r="AC50" s="12"/>
      <c r="AD50" s="12"/>
      <c r="AE50" s="12"/>
      <c r="AF50" s="12"/>
      <c r="AG50" s="12"/>
    </row>
    <row r="52" spans="2:33" s="2" customFormat="1" x14ac:dyDescent="0.25">
      <c r="B52" s="2" t="s">
        <v>275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>
        <f t="shared" ref="M52:P52" si="152">+M23</f>
        <v>779.8</v>
      </c>
      <c r="N52" s="12">
        <f t="shared" si="152"/>
        <v>897.40000000000009</v>
      </c>
      <c r="O52" s="12">
        <f t="shared" si="152"/>
        <v>810.59600000000034</v>
      </c>
      <c r="P52" s="12">
        <f t="shared" si="152"/>
        <v>868.69999999999982</v>
      </c>
      <c r="Q52" s="12">
        <f t="shared" ref="Q52:AB52" si="153">+Q23</f>
        <v>1002.4000000000001</v>
      </c>
      <c r="R52" s="12">
        <f t="shared" si="153"/>
        <v>984.70000000000016</v>
      </c>
      <c r="S52" s="12">
        <f t="shared" si="153"/>
        <v>1104.7999999999995</v>
      </c>
      <c r="T52" s="12">
        <f t="shared" si="153"/>
        <v>989.79999999999984</v>
      </c>
      <c r="U52" s="12">
        <f t="shared" si="153"/>
        <v>1141.0999999999995</v>
      </c>
      <c r="V52" s="12">
        <f t="shared" si="153"/>
        <v>1124.5</v>
      </c>
      <c r="W52" s="12">
        <f t="shared" si="153"/>
        <v>1115.4000000000003</v>
      </c>
      <c r="X52" s="12">
        <f t="shared" si="153"/>
        <v>1149.4000000000003</v>
      </c>
      <c r="Y52" s="2">
        <f t="shared" si="153"/>
        <v>1318.5999999999995</v>
      </c>
      <c r="Z52" s="2">
        <f t="shared" si="153"/>
        <v>1138.5999999999999</v>
      </c>
      <c r="AA52" s="2">
        <f t="shared" si="153"/>
        <v>1158.0000000000002</v>
      </c>
      <c r="AB52" s="2">
        <f t="shared" si="153"/>
        <v>1123.7999999999997</v>
      </c>
    </row>
    <row r="53" spans="2:33" s="2" customFormat="1" x14ac:dyDescent="0.25">
      <c r="B53" s="2" t="s">
        <v>276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>
        <v>653.13800000000003</v>
      </c>
      <c r="N53" s="12">
        <f>720.062-M53</f>
        <v>66.923999999999978</v>
      </c>
      <c r="O53" s="12">
        <f>1571.99-N53-M53</f>
        <v>851.928</v>
      </c>
      <c r="P53" s="12">
        <f>2342.1-O53-N53-M53</f>
        <v>770.11</v>
      </c>
      <c r="Q53" s="12">
        <v>762.1</v>
      </c>
      <c r="R53" s="12">
        <f>1572.6-Q53</f>
        <v>810.49999999999989</v>
      </c>
      <c r="S53" s="12">
        <f>2503.1-R53-Q53</f>
        <v>930.49999999999989</v>
      </c>
      <c r="T53" s="12">
        <f>3322-S53-R53-Q53</f>
        <v>818.9</v>
      </c>
      <c r="U53" s="12">
        <v>699.8</v>
      </c>
      <c r="V53" s="2">
        <f>1615.5-U53</f>
        <v>915.7</v>
      </c>
      <c r="W53" s="2">
        <f>2650.8-V53-U53</f>
        <v>1035.3000000000002</v>
      </c>
      <c r="X53" s="2">
        <f>3619.6-W53-V53-U53</f>
        <v>968.79999999999973</v>
      </c>
      <c r="Y53" s="2">
        <v>1099.5999999999999</v>
      </c>
    </row>
    <row r="54" spans="2:33" s="2" customFormat="1" x14ac:dyDescent="0.25">
      <c r="B54" s="2" t="s">
        <v>277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>
        <v>115.17400000000001</v>
      </c>
      <c r="N54" s="12">
        <f>219.796-M54</f>
        <v>104.62199999999999</v>
      </c>
      <c r="O54" s="12">
        <f>322.792-N54-M54</f>
        <v>102.99599999999998</v>
      </c>
      <c r="P54" s="12">
        <f>441.4-O54-N54-M54</f>
        <v>118.608</v>
      </c>
      <c r="Q54" s="12">
        <v>130.30000000000001</v>
      </c>
      <c r="R54" s="12">
        <f>244.2-Q54</f>
        <v>113.89999999999998</v>
      </c>
      <c r="S54" s="12">
        <f>379.8-R54-Q54</f>
        <v>135.60000000000002</v>
      </c>
      <c r="T54" s="12">
        <f>491.3-S54-R54-Q54</f>
        <v>111.5</v>
      </c>
      <c r="U54" s="12">
        <v>122.4</v>
      </c>
      <c r="V54" s="2">
        <f>241.7-U54</f>
        <v>119.29999999999998</v>
      </c>
      <c r="W54" s="2">
        <f>372.6-V54-U54</f>
        <v>130.90000000000003</v>
      </c>
      <c r="X54" s="2">
        <f>581.2-W54-V54-U54</f>
        <v>208.6</v>
      </c>
      <c r="Y54" s="2">
        <v>191.9</v>
      </c>
    </row>
    <row r="55" spans="2:33" s="2" customFormat="1" x14ac:dyDescent="0.25">
      <c r="B55" s="2" t="s">
        <v>278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>
        <v>28.834</v>
      </c>
      <c r="N55" s="12">
        <f>60.072-M55</f>
        <v>31.238000000000003</v>
      </c>
      <c r="O55" s="12">
        <f>91.768-N55-M55</f>
        <v>31.696000000000002</v>
      </c>
      <c r="P55" s="12">
        <f>125.6-O55-N55-M55</f>
        <v>33.831999999999994</v>
      </c>
      <c r="Q55" s="12">
        <v>35.9</v>
      </c>
      <c r="R55" s="12">
        <f>73.2-Q55</f>
        <v>37.300000000000004</v>
      </c>
      <c r="S55" s="12">
        <f>109.9-R55-Q55</f>
        <v>36.699999999999996</v>
      </c>
      <c r="T55" s="12">
        <f>148.3-S55-R55-Q55</f>
        <v>38.400000000000013</v>
      </c>
      <c r="U55" s="12">
        <v>38.799999999999997</v>
      </c>
      <c r="V55" s="2">
        <f>80.2-U55</f>
        <v>41.400000000000006</v>
      </c>
      <c r="W55" s="2">
        <f>122.3-V55-U55</f>
        <v>42.099999999999994</v>
      </c>
      <c r="X55" s="2">
        <f>181.3-W55-V55-U55</f>
        <v>59.000000000000014</v>
      </c>
      <c r="Y55" s="2">
        <v>53.5</v>
      </c>
    </row>
    <row r="56" spans="2:33" s="2" customFormat="1" x14ac:dyDescent="0.25">
      <c r="B56" s="2" t="s">
        <v>271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>
        <v>-3.9</v>
      </c>
      <c r="N56" s="12">
        <f>-2.3-M56</f>
        <v>1.6</v>
      </c>
      <c r="O56" s="12">
        <f>-1.1-N56-M56</f>
        <v>1.1999999999999997</v>
      </c>
      <c r="P56" s="12">
        <f>-3.1-O56-N56-M56</f>
        <v>-2.0000000000000004</v>
      </c>
      <c r="Q56" s="12">
        <v>-7.5</v>
      </c>
      <c r="R56" s="12">
        <f>-56.7-Q56</f>
        <v>-49.2</v>
      </c>
      <c r="S56" s="12">
        <f>-59.3-R56-Q56</f>
        <v>-2.5999999999999943</v>
      </c>
      <c r="T56" s="12">
        <f>-57.5-S56-R56-Q56</f>
        <v>1.7999999999999972</v>
      </c>
      <c r="U56" s="12">
        <v>-1.9</v>
      </c>
      <c r="V56" s="2">
        <f>-2.5-U56</f>
        <v>-0.60000000000000009</v>
      </c>
      <c r="W56" s="2">
        <f>-1.3-V56-U56</f>
        <v>1.2</v>
      </c>
      <c r="X56" s="2">
        <f>-51.6-W56-V56-U56</f>
        <v>-50.300000000000004</v>
      </c>
      <c r="Y56" s="2">
        <v>-0.1</v>
      </c>
    </row>
    <row r="57" spans="2:33" s="2" customFormat="1" x14ac:dyDescent="0.25">
      <c r="B57" s="2" t="s">
        <v>123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>
        <v>57.042999999999999</v>
      </c>
      <c r="N57" s="12">
        <f>-180.895-M57</f>
        <v>-237.93800000000002</v>
      </c>
      <c r="O57" s="12">
        <f>-112.654-N57-M57</f>
        <v>68.241000000000014</v>
      </c>
      <c r="P57" s="12">
        <f>-154.6-O57-N57-M57</f>
        <v>-41.945999999999991</v>
      </c>
      <c r="Q57" s="12">
        <v>-12.3</v>
      </c>
      <c r="R57" s="12">
        <f>-241.7-Q57</f>
        <v>-229.39999999999998</v>
      </c>
      <c r="S57" s="12">
        <f>-424-R57-Q57</f>
        <v>-182.3</v>
      </c>
      <c r="T57" s="12">
        <f>-275.9-S57-R57-Q57</f>
        <v>148.10000000000002</v>
      </c>
      <c r="U57" s="12">
        <v>-113.4</v>
      </c>
      <c r="V57" s="2">
        <f>-290-U57</f>
        <v>-176.6</v>
      </c>
      <c r="W57" s="2">
        <f>-405.5-V57-U57</f>
        <v>-115.5</v>
      </c>
      <c r="X57" s="2">
        <f>-536.5-W57-V57-U57</f>
        <v>-131</v>
      </c>
      <c r="Y57" s="2">
        <v>-158.30000000000001</v>
      </c>
    </row>
    <row r="58" spans="2:33" s="2" customFormat="1" x14ac:dyDescent="0.25">
      <c r="B58" s="2" t="s">
        <v>279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>
        <v>52.295000000000002</v>
      </c>
      <c r="N58" s="12">
        <f>41.686-M58</f>
        <v>-10.609000000000002</v>
      </c>
      <c r="O58" s="12">
        <f>-4.993-N58-M58</f>
        <v>-46.679000000000002</v>
      </c>
      <c r="P58" s="12">
        <f>-17.1-O58-N58-M58</f>
        <v>-12.106999999999999</v>
      </c>
      <c r="Q58" s="12">
        <v>75.599999999999994</v>
      </c>
      <c r="R58" s="12">
        <f>159.8-Q58</f>
        <v>84.200000000000017</v>
      </c>
      <c r="S58" s="12">
        <f>143.1-R58-Q58</f>
        <v>-16.700000000000017</v>
      </c>
      <c r="T58" s="12">
        <f>149.1-S58-R58-Q58</f>
        <v>6</v>
      </c>
      <c r="U58" s="12">
        <v>-6.4</v>
      </c>
      <c r="V58" s="2">
        <f>-6-U58</f>
        <v>0.40000000000000036</v>
      </c>
      <c r="W58" s="2">
        <f>0.2-V58-U58</f>
        <v>6.2</v>
      </c>
      <c r="X58" s="2">
        <f>0.6-W58-V58-U58</f>
        <v>0.39999999999999947</v>
      </c>
      <c r="Y58" s="2">
        <v>27</v>
      </c>
    </row>
    <row r="59" spans="2:33" s="2" customFormat="1" x14ac:dyDescent="0.25">
      <c r="B59" s="2" t="s">
        <v>280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>
        <v>2.3319999999999999</v>
      </c>
      <c r="N59" s="12">
        <f>11.186-M59</f>
        <v>8.8539999999999992</v>
      </c>
      <c r="O59" s="12">
        <f>20.588-N59-M59</f>
        <v>9.402000000000001</v>
      </c>
      <c r="P59" s="12">
        <f>14.4-O59-N59-M59</f>
        <v>-6.1879999999999997</v>
      </c>
      <c r="Q59" s="12">
        <v>4.9000000000000004</v>
      </c>
      <c r="R59" s="12">
        <f>-6.3-Q59</f>
        <v>-11.2</v>
      </c>
      <c r="S59" s="12">
        <f>-32.8-R59-Q59</f>
        <v>-26.5</v>
      </c>
      <c r="T59" s="12">
        <f>11.8-S59-R59-Q59</f>
        <v>44.6</v>
      </c>
      <c r="U59" s="12">
        <v>21.7</v>
      </c>
      <c r="V59" s="2">
        <f>11.1-U59</f>
        <v>-10.6</v>
      </c>
      <c r="W59" s="2">
        <f>-9.6-V59-U59</f>
        <v>-20.7</v>
      </c>
      <c r="X59" s="2">
        <f>8.4-W59-V59-U59</f>
        <v>18.000000000000004</v>
      </c>
      <c r="Y59" s="2">
        <v>-36.299999999999997</v>
      </c>
    </row>
    <row r="60" spans="2:33" s="2" customFormat="1" x14ac:dyDescent="0.25">
      <c r="B60" s="2" t="s">
        <v>281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>
        <f>-98.373-22.785-13.319-10.644+152.983+8.277</f>
        <v>16.138999999999996</v>
      </c>
      <c r="N60" s="12">
        <f>-45.848-47.492-92.187-24.345+107.526-45.973-M60</f>
        <v>-164.45799999999997</v>
      </c>
      <c r="O60" s="12">
        <f>-231.166-65.827-107.672-22.043+254.157-67.333-N60-M60</f>
        <v>-91.564999999999984</v>
      </c>
      <c r="P60" s="12">
        <f>-274.7-92.8-91.8+31.9+305.4+16.8-O60-N60-M60</f>
        <v>134.68399999999991</v>
      </c>
      <c r="Q60" s="12">
        <f>-165.2+2+67.6-14.5+61.6+15.7</f>
        <v>-32.799999999999997</v>
      </c>
      <c r="R60" s="12">
        <f>-249.3-31.3+85.3+30.8+547.1-31.7-Q60</f>
        <v>383.70000000000005</v>
      </c>
      <c r="S60" s="12">
        <f>-368.8-58.1-41.9-39.1+980.3-40.7-R60-Q60</f>
        <v>80.799999999999883</v>
      </c>
      <c r="T60" s="12">
        <f>-358.6-136.4-326.4+120.8+542.5+498.9-S60-R60-Q60</f>
        <v>-90.899999999999991</v>
      </c>
      <c r="U60" s="12">
        <f>-90.5-82.6+46.2+35.7+140.7+89.4</f>
        <v>138.9</v>
      </c>
      <c r="V60" s="2">
        <f>-93.4-155.4+26.6+71.3+417.4+117.8-U60</f>
        <v>245.39999999999995</v>
      </c>
      <c r="W60" s="2">
        <f>-99.5-252.9-94.4+80.5+786.1+153.4-V60-U60</f>
        <v>188.90000000000006</v>
      </c>
      <c r="X60" s="2">
        <f>-84.1-322.9-545.7+48.7+429.4+208.9-W60-V60-U60</f>
        <v>-838.90000000000009</v>
      </c>
      <c r="Y60" s="2">
        <f>-251.6-80.1+99.2+0.1+194.1+167.6</f>
        <v>129.29999999999998</v>
      </c>
    </row>
    <row r="61" spans="2:33" s="2" customFormat="1" x14ac:dyDescent="0.25">
      <c r="B61" s="2" t="s">
        <v>285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>
        <f t="shared" ref="M61:Y61" si="154">SUM(M53:M60)</f>
        <v>921.05499999999995</v>
      </c>
      <c r="N61" s="12">
        <f t="shared" si="154"/>
        <v>-199.76700000000002</v>
      </c>
      <c r="O61" s="12">
        <f t="shared" si="154"/>
        <v>927.21900000000028</v>
      </c>
      <c r="P61" s="12">
        <f t="shared" si="154"/>
        <v>994.99299999999994</v>
      </c>
      <c r="Q61" s="12">
        <f t="shared" si="154"/>
        <v>956.20000000000016</v>
      </c>
      <c r="R61" s="12">
        <f t="shared" si="154"/>
        <v>1139.7999999999997</v>
      </c>
      <c r="S61" s="12">
        <f t="shared" si="154"/>
        <v>955.49999999999989</v>
      </c>
      <c r="T61" s="12">
        <f t="shared" si="154"/>
        <v>1078.3999999999996</v>
      </c>
      <c r="U61" s="12">
        <f t="shared" si="154"/>
        <v>899.9</v>
      </c>
      <c r="V61" s="12">
        <f t="shared" si="154"/>
        <v>1134.4000000000001</v>
      </c>
      <c r="W61" s="12">
        <f t="shared" si="154"/>
        <v>1268.4000000000003</v>
      </c>
      <c r="X61" s="12">
        <f t="shared" si="154"/>
        <v>234.59999999999968</v>
      </c>
      <c r="Y61" s="2">
        <f t="shared" si="154"/>
        <v>1306.6000000000001</v>
      </c>
    </row>
    <row r="63" spans="2:33" s="2" customFormat="1" x14ac:dyDescent="0.25">
      <c r="B63" s="2" t="s">
        <v>282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>
        <v>-70.926000000000002</v>
      </c>
      <c r="N63" s="12">
        <f>-120.763-M63</f>
        <v>-49.837000000000003</v>
      </c>
      <c r="O63" s="12">
        <f>-173.285-N63-M63</f>
        <v>-52.521999999999991</v>
      </c>
      <c r="P63" s="12">
        <f>-235-O63-N63-M63</f>
        <v>-61.715000000000018</v>
      </c>
      <c r="Q63" s="12">
        <v>-63.6</v>
      </c>
      <c r="R63" s="12">
        <f>-116.9-Q63</f>
        <v>-53.300000000000004</v>
      </c>
      <c r="S63" s="12">
        <f>-171.1-R63-Q63</f>
        <v>-54.199999999999982</v>
      </c>
      <c r="T63" s="12">
        <f>-204.7-S63-R63-Q63</f>
        <v>-33.599999999999987</v>
      </c>
      <c r="U63" s="12">
        <v>-42.1</v>
      </c>
      <c r="V63" s="2">
        <f>-101.7-U63</f>
        <v>-59.6</v>
      </c>
      <c r="W63" s="2">
        <f>-142.3-V63-U63</f>
        <v>-40.600000000000016</v>
      </c>
      <c r="X63" s="2">
        <f>-200.4-W63-V63-U63</f>
        <v>-58.099999999999987</v>
      </c>
      <c r="Y63" s="2">
        <v>-68.400000000000006</v>
      </c>
    </row>
    <row r="64" spans="2:33" s="2" customFormat="1" x14ac:dyDescent="0.25">
      <c r="B64" s="2" t="s">
        <v>356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-295.89999999999998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</row>
    <row r="65" spans="2:25" s="2" customFormat="1" x14ac:dyDescent="0.25">
      <c r="B65" s="2" t="s">
        <v>283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>
        <f>-121.455+118.072</f>
        <v>-3.3829999999999956</v>
      </c>
      <c r="N65" s="12">
        <f>-239.458+221.271-15-M65</f>
        <v>-29.804000000000016</v>
      </c>
      <c r="O65" s="12">
        <f>-447.759+452.133-37.991-N65-M65</f>
        <v>-0.43000000000002103</v>
      </c>
      <c r="P65" s="12">
        <f>-528.2+499.3-77-O65-N65-M65</f>
        <v>-72.283000000000001</v>
      </c>
      <c r="Q65" s="12">
        <f>-117.1+129.7</f>
        <v>12.599999999999994</v>
      </c>
      <c r="R65" s="12">
        <f>-227.9+242.3-10-Q65</f>
        <v>-8.1999999999999886</v>
      </c>
      <c r="S65" s="12">
        <f>-417.8+435.9-47.8-R65-Q65</f>
        <v>-34.100000000000037</v>
      </c>
      <c r="T65" s="12">
        <f>-692.7+920-47.8-S65-R65-Q65</f>
        <v>209.19999999999996</v>
      </c>
      <c r="U65" s="12">
        <f>-1816.6+50-24.9</f>
        <v>-1791.5</v>
      </c>
      <c r="V65" s="2">
        <f>-2390.8+289.8+95.1-29.9-U65</f>
        <v>-244.30000000000018</v>
      </c>
      <c r="W65" s="2">
        <f>-2798+621+95.1-31-V65-U65</f>
        <v>-77.099999999999909</v>
      </c>
      <c r="X65" s="2">
        <f>-3786.5+839.1+95.1-31-58-W65-V65-U65</f>
        <v>-828.40000000000009</v>
      </c>
      <c r="Y65" s="2">
        <f>-2598.5+710.5-180</f>
        <v>-2068</v>
      </c>
    </row>
    <row r="66" spans="2:25" s="2" customFormat="1" x14ac:dyDescent="0.25">
      <c r="B66" s="2" t="s">
        <v>284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>
        <f t="shared" ref="M66:R66" si="155">M63+M65</f>
        <v>-74.308999999999997</v>
      </c>
      <c r="N66" s="12">
        <f t="shared" si="155"/>
        <v>-79.64100000000002</v>
      </c>
      <c r="O66" s="12">
        <f t="shared" si="155"/>
        <v>-52.952000000000012</v>
      </c>
      <c r="P66" s="12">
        <f t="shared" si="155"/>
        <v>-133.99800000000002</v>
      </c>
      <c r="Q66" s="12">
        <f t="shared" si="155"/>
        <v>-51.000000000000007</v>
      </c>
      <c r="R66" s="12">
        <f t="shared" si="155"/>
        <v>-61.499999999999993</v>
      </c>
      <c r="S66" s="12">
        <f>S63+S65+S64</f>
        <v>-384.2</v>
      </c>
      <c r="T66" s="12">
        <f>T63+T65+T64</f>
        <v>175.59999999999997</v>
      </c>
      <c r="U66" s="12">
        <f>+U63+U65</f>
        <v>-1833.6</v>
      </c>
      <c r="V66" s="12">
        <f>+V63+V65</f>
        <v>-303.9000000000002</v>
      </c>
      <c r="W66" s="12">
        <f>+W63+W65</f>
        <v>-117.69999999999993</v>
      </c>
      <c r="X66" s="12">
        <f>+X63+X65</f>
        <v>-886.50000000000011</v>
      </c>
      <c r="Y66" s="2">
        <f>+Y63+Y65</f>
        <v>-2136.4</v>
      </c>
    </row>
    <row r="68" spans="2:25" s="2" customFormat="1" x14ac:dyDescent="0.25">
      <c r="B68" s="2" t="s">
        <v>289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>
        <v>15.558999999999999</v>
      </c>
      <c r="N68" s="12">
        <f>53.494-M68</f>
        <v>37.935000000000002</v>
      </c>
      <c r="O68" s="12">
        <f>67.289-N68-M68</f>
        <v>13.795</v>
      </c>
      <c r="P68" s="12">
        <f>102-O68-N68-M68</f>
        <v>34.710999999999999</v>
      </c>
      <c r="Q68" s="12">
        <v>33.700000000000003</v>
      </c>
      <c r="R68" s="12">
        <f>98.1-Q68</f>
        <v>64.399999999999991</v>
      </c>
      <c r="S68" s="12">
        <f>134.7-R68-Q68</f>
        <v>36.599999999999994</v>
      </c>
      <c r="T68" s="12">
        <f>186.3-S68-R68-Q68</f>
        <v>51.600000000000023</v>
      </c>
      <c r="U68" s="12">
        <v>14.2</v>
      </c>
      <c r="V68" s="2">
        <f>72.8-U68</f>
        <v>58.599999999999994</v>
      </c>
      <c r="W68" s="2">
        <f>88.2-V68-U68</f>
        <v>15.400000000000009</v>
      </c>
      <c r="X68" s="2">
        <f>134.6-W68-V68-U68</f>
        <v>46.399999999999991</v>
      </c>
      <c r="Y68" s="2">
        <v>16.899999999999999</v>
      </c>
    </row>
    <row r="69" spans="2:25" s="2" customFormat="1" x14ac:dyDescent="0.25">
      <c r="B69" s="2" t="s">
        <v>290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>
        <v>-102.14</v>
      </c>
      <c r="N69" s="12">
        <f>-105.664-M69</f>
        <v>-3.5240000000000009</v>
      </c>
      <c r="O69" s="12">
        <f>-134.223-N69-M69</f>
        <v>-28.559000000000012</v>
      </c>
      <c r="P69" s="12">
        <f>-135.9-O69-N69-M69</f>
        <v>-1.6769999999999925</v>
      </c>
      <c r="Q69" s="12">
        <v>-117.5</v>
      </c>
      <c r="R69" s="12">
        <f>-121.9-Q69</f>
        <v>-4.4000000000000057</v>
      </c>
      <c r="S69" s="12">
        <f>-169.9-R69-Q69</f>
        <v>-48</v>
      </c>
      <c r="T69" s="12">
        <f>-172-S69-R69-Q69</f>
        <v>-2.0999999999999943</v>
      </c>
      <c r="U69" s="12">
        <v>-166.6</v>
      </c>
      <c r="V69" s="2">
        <f>-169.7-U69</f>
        <v>-3.0999999999999943</v>
      </c>
      <c r="W69" s="2">
        <f>-222.9-V69-U69</f>
        <v>-53.200000000000017</v>
      </c>
      <c r="X69" s="2">
        <f>-226.1-W69-V69-U69</f>
        <v>-3.1999999999999886</v>
      </c>
      <c r="Y69" s="2">
        <v>0</v>
      </c>
    </row>
    <row r="70" spans="2:25" s="2" customFormat="1" x14ac:dyDescent="0.25">
      <c r="B70" s="2" t="s">
        <v>351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>
        <v>-424.952</v>
      </c>
      <c r="N70" s="12">
        <f>-424.952-M70</f>
        <v>0</v>
      </c>
      <c r="O70" s="12">
        <f>-1057.225-N70-M70</f>
        <v>-632.27299999999991</v>
      </c>
      <c r="P70" s="12">
        <f>-1425.4-O70-N70-M70</f>
        <v>-368.17500000000018</v>
      </c>
      <c r="Q70" s="12">
        <v>0</v>
      </c>
      <c r="R70" s="12">
        <v>0</v>
      </c>
      <c r="S70" s="12">
        <v>0</v>
      </c>
      <c r="T70" s="12">
        <v>0</v>
      </c>
      <c r="U70" s="12">
        <v>-132.80000000000001</v>
      </c>
      <c r="V70" s="2">
        <f>-161.1-U70</f>
        <v>-28.299999999999983</v>
      </c>
      <c r="W70" s="2">
        <f>-278.1-V70-U70</f>
        <v>-117.00000000000003</v>
      </c>
      <c r="X70" s="2">
        <f>-427.6-W70-V70-U70</f>
        <v>-149.50000000000006</v>
      </c>
      <c r="Y70" s="2">
        <v>-131.19999999999999</v>
      </c>
    </row>
    <row r="71" spans="2:25" s="2" customFormat="1" x14ac:dyDescent="0.25">
      <c r="B71" s="2" t="s">
        <v>266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>
        <f>-12.233+3.632</f>
        <v>-8.6010000000000009</v>
      </c>
      <c r="N71" s="12">
        <f>-22.535+11.625-M71</f>
        <v>-2.3089999999999993</v>
      </c>
      <c r="O71" s="12">
        <f>-34.592+12.647-N71-M71</f>
        <v>-11.035000000000002</v>
      </c>
      <c r="P71" s="12">
        <f>-47+22.6-O71-N71-M71</f>
        <v>-2.4549999999999965</v>
      </c>
      <c r="Q71" s="12">
        <v>-12.9</v>
      </c>
      <c r="R71" s="12">
        <f>-25.6-Q71</f>
        <v>-12.700000000000001</v>
      </c>
      <c r="S71" s="12">
        <f>-75.1-R71-Q71</f>
        <v>-49.499999999999993</v>
      </c>
      <c r="T71" s="12">
        <f>-85.5-S71-R71-Q71</f>
        <v>-10.400000000000004</v>
      </c>
      <c r="U71" s="12">
        <v>-10.6</v>
      </c>
      <c r="V71" s="2">
        <f>-21.6-U71</f>
        <v>-11.000000000000002</v>
      </c>
      <c r="W71" s="2">
        <f>-32.9-V71-U71</f>
        <v>-11.299999999999999</v>
      </c>
      <c r="X71" s="2">
        <f>-44.9-W71-V71-U71+1.8</f>
        <v>-10.200000000000001</v>
      </c>
      <c r="Y71" s="2">
        <f>-233.5-13.2</f>
        <v>-246.7</v>
      </c>
    </row>
    <row r="72" spans="2:25" s="2" customFormat="1" x14ac:dyDescent="0.25">
      <c r="B72" s="2" t="s">
        <v>267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>
        <v>1.48</v>
      </c>
      <c r="N72" s="12">
        <f>2.928-M72</f>
        <v>1.448</v>
      </c>
      <c r="O72" s="12">
        <f>4.339-N72-M72</f>
        <v>1.4110000000000005</v>
      </c>
      <c r="P72" s="12">
        <f>5.7-O72-N72-M72</f>
        <v>1.3609999999999998</v>
      </c>
      <c r="Q72" s="12">
        <v>1.3</v>
      </c>
      <c r="R72" s="12">
        <f>1.7-Q72</f>
        <v>0.39999999999999991</v>
      </c>
      <c r="S72" s="12">
        <f>2.4-R72-Q72</f>
        <v>0.7</v>
      </c>
      <c r="T72" s="12">
        <f>3.5-S72-R72-Q72</f>
        <v>1.0999999999999999</v>
      </c>
      <c r="U72" s="12">
        <v>1.1000000000000001</v>
      </c>
      <c r="V72" s="2">
        <f>2.2-U72</f>
        <v>1.1000000000000001</v>
      </c>
      <c r="W72" s="2">
        <f>3.3-V72-U72</f>
        <v>1.0999999999999996</v>
      </c>
      <c r="X72" s="2">
        <f>0-W72-V72-U72</f>
        <v>-3.3</v>
      </c>
      <c r="Y72" s="2">
        <v>3.5</v>
      </c>
    </row>
    <row r="73" spans="2:25" s="2" customFormat="1" x14ac:dyDescent="0.25">
      <c r="B73" s="2" t="s">
        <v>288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>
        <f t="shared" ref="M73:P73" si="156">SUM(M68:M72)</f>
        <v>-518.654</v>
      </c>
      <c r="N73" s="12">
        <f t="shared" si="156"/>
        <v>33.550000000000004</v>
      </c>
      <c r="O73" s="12">
        <f t="shared" si="156"/>
        <v>-656.66099999999994</v>
      </c>
      <c r="P73" s="12">
        <f t="shared" si="156"/>
        <v>-336.23500000000018</v>
      </c>
      <c r="Q73" s="12">
        <f t="shared" ref="Q73:Y73" si="157">SUM(Q68:Q72)</f>
        <v>-95.4</v>
      </c>
      <c r="R73" s="12">
        <f t="shared" si="157"/>
        <v>47.699999999999982</v>
      </c>
      <c r="S73" s="12">
        <f t="shared" si="157"/>
        <v>-60.199999999999996</v>
      </c>
      <c r="T73" s="12">
        <f t="shared" si="157"/>
        <v>40.200000000000024</v>
      </c>
      <c r="U73" s="2">
        <f t="shared" si="157"/>
        <v>-294.70000000000005</v>
      </c>
      <c r="V73" s="2">
        <f t="shared" si="157"/>
        <v>17.300000000000018</v>
      </c>
      <c r="W73" s="2">
        <f t="shared" si="157"/>
        <v>-165.00000000000006</v>
      </c>
      <c r="X73" s="2">
        <f t="shared" si="157"/>
        <v>-119.80000000000005</v>
      </c>
      <c r="Y73" s="2">
        <f t="shared" si="157"/>
        <v>-357.5</v>
      </c>
    </row>
    <row r="74" spans="2:25" s="2" customFormat="1" x14ac:dyDescent="0.25">
      <c r="B74" s="2" t="s">
        <v>287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>
        <v>-4.03</v>
      </c>
      <c r="N74" s="12">
        <f>-0.011-M74</f>
        <v>4.0190000000000001</v>
      </c>
      <c r="O74" s="12">
        <f>-8.472-N74-M74</f>
        <v>-8.4609999999999985</v>
      </c>
      <c r="P74" s="12">
        <f>-13.4-O74-N74-M74</f>
        <v>-4.9280000000000017</v>
      </c>
      <c r="Q74" s="12">
        <v>-5.9</v>
      </c>
      <c r="R74" s="12">
        <f>-31.8-Q74</f>
        <v>-25.9</v>
      </c>
      <c r="S74" s="12">
        <f>-70-R74-Q74</f>
        <v>-38.200000000000003</v>
      </c>
      <c r="T74" s="12">
        <f>-29.2-S74-R74-Q74</f>
        <v>40.800000000000004</v>
      </c>
      <c r="U74" s="2">
        <v>12</v>
      </c>
      <c r="V74" s="2">
        <f>22-U74</f>
        <v>10</v>
      </c>
      <c r="W74" s="2">
        <f>-0.5-V74-U74</f>
        <v>-22.5</v>
      </c>
      <c r="X74" s="2">
        <f>26.9-W74-V74-U74</f>
        <v>27.4</v>
      </c>
      <c r="Y74" s="2">
        <v>-15.6</v>
      </c>
    </row>
    <row r="75" spans="2:25" s="2" customFormat="1" x14ac:dyDescent="0.25">
      <c r="B75" s="2" t="s">
        <v>286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>
        <f t="shared" ref="M75:P75" si="158">+M73+M74+M66+M61</f>
        <v>324.06200000000001</v>
      </c>
      <c r="N75" s="12">
        <f t="shared" si="158"/>
        <v>-241.83900000000006</v>
      </c>
      <c r="O75" s="12">
        <f t="shared" si="158"/>
        <v>209.14500000000032</v>
      </c>
      <c r="P75" s="12">
        <f t="shared" si="158"/>
        <v>519.83199999999977</v>
      </c>
      <c r="Q75" s="12">
        <f>+Q73+Q74+Q66+Q61</f>
        <v>803.90000000000009</v>
      </c>
      <c r="R75" s="12">
        <f>+R73+R74+R66+R61</f>
        <v>1100.0999999999997</v>
      </c>
      <c r="S75" s="12">
        <f>+S73+S74+S66+S61</f>
        <v>472.89999999999986</v>
      </c>
      <c r="T75" s="12">
        <f>+T73+T74+T66+T61</f>
        <v>1334.9999999999995</v>
      </c>
      <c r="U75" s="2">
        <f>+U74+U73+U66+U61</f>
        <v>-1216.4000000000001</v>
      </c>
      <c r="V75" s="2">
        <f>+V74+V73+V66+V61</f>
        <v>857.8</v>
      </c>
      <c r="W75" s="2">
        <f>+W74+W73+W66+W61</f>
        <v>963.20000000000027</v>
      </c>
      <c r="X75" s="2">
        <f>+X74+X73+X66+X61</f>
        <v>-744.30000000000052</v>
      </c>
      <c r="Y75" s="2">
        <f>+Y74+Y73+Y66+Y61</f>
        <v>-1202.8999999999999</v>
      </c>
    </row>
    <row r="76" spans="2:25" s="2" customFormat="1" x14ac:dyDescent="0.25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</row>
    <row r="77" spans="2:25" x14ac:dyDescent="0.25">
      <c r="B77" t="s">
        <v>352</v>
      </c>
      <c r="P77" s="12">
        <v>3900</v>
      </c>
      <c r="T77" s="12">
        <v>4800</v>
      </c>
      <c r="X77" s="2">
        <v>5400</v>
      </c>
    </row>
  </sheetData>
  <hyperlinks>
    <hyperlink ref="A1" location="Main!A1" display="Main" xr:uid="{D2F5C3D2-A250-4343-8A6C-E8A5C19A1A0C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65BEA-589C-4679-9414-3940926A76D9}">
  <dimension ref="A1:C13"/>
  <sheetViews>
    <sheetView workbookViewId="0"/>
  </sheetViews>
  <sheetFormatPr defaultColWidth="8.81640625" defaultRowHeight="12.5" x14ac:dyDescent="0.25"/>
  <cols>
    <col min="1" max="1" width="5" bestFit="1" customWidth="1"/>
    <col min="2" max="2" width="12" bestFit="1" customWidth="1"/>
  </cols>
  <sheetData>
    <row r="1" spans="1:3" x14ac:dyDescent="0.25">
      <c r="A1" s="11" t="s">
        <v>20</v>
      </c>
    </row>
    <row r="2" spans="1:3" x14ac:dyDescent="0.25">
      <c r="B2" t="s">
        <v>7</v>
      </c>
      <c r="C2" t="s">
        <v>21</v>
      </c>
    </row>
    <row r="3" spans="1:3" x14ac:dyDescent="0.25">
      <c r="B3" t="s">
        <v>8</v>
      </c>
      <c r="C3" t="s">
        <v>159</v>
      </c>
    </row>
    <row r="4" spans="1:3" x14ac:dyDescent="0.25">
      <c r="B4" t="s">
        <v>9</v>
      </c>
      <c r="C4" t="s">
        <v>158</v>
      </c>
    </row>
    <row r="5" spans="1:3" x14ac:dyDescent="0.25">
      <c r="B5" t="s">
        <v>120</v>
      </c>
      <c r="C5" t="s">
        <v>181</v>
      </c>
    </row>
    <row r="6" spans="1:3" x14ac:dyDescent="0.25">
      <c r="B6" t="s">
        <v>193</v>
      </c>
      <c r="C6" t="s">
        <v>194</v>
      </c>
    </row>
    <row r="7" spans="1:3" x14ac:dyDescent="0.25">
      <c r="B7" t="s">
        <v>183</v>
      </c>
      <c r="C7" t="s">
        <v>184</v>
      </c>
    </row>
    <row r="8" spans="1:3" x14ac:dyDescent="0.25">
      <c r="B8" t="s">
        <v>185</v>
      </c>
      <c r="C8" t="s">
        <v>186</v>
      </c>
    </row>
    <row r="9" spans="1:3" x14ac:dyDescent="0.25">
      <c r="B9" t="s">
        <v>190</v>
      </c>
      <c r="C9" t="s">
        <v>191</v>
      </c>
    </row>
    <row r="10" spans="1:3" x14ac:dyDescent="0.25">
      <c r="B10" t="s">
        <v>192</v>
      </c>
      <c r="C10" t="s">
        <v>191</v>
      </c>
    </row>
    <row r="11" spans="1:3" x14ac:dyDescent="0.25">
      <c r="B11" t="s">
        <v>135</v>
      </c>
    </row>
    <row r="12" spans="1:3" ht="13" x14ac:dyDescent="0.3">
      <c r="C12" s="18" t="s">
        <v>187</v>
      </c>
    </row>
    <row r="13" spans="1:3" x14ac:dyDescent="0.25">
      <c r="C13" t="s">
        <v>188</v>
      </c>
    </row>
  </sheetData>
  <hyperlinks>
    <hyperlink ref="A1" location="Main!A1" display="Main" xr:uid="{81E4C234-025B-413E-B9C8-D7764BCDF02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E6387-11D8-4B2C-A093-43065AD20DB4}">
  <dimension ref="A1:C4"/>
  <sheetViews>
    <sheetView workbookViewId="0"/>
  </sheetViews>
  <sheetFormatPr defaultColWidth="8.81640625" defaultRowHeight="12.5" x14ac:dyDescent="0.25"/>
  <cols>
    <col min="1" max="1" width="5" bestFit="1" customWidth="1"/>
    <col min="2" max="2" width="9.81640625" bestFit="1" customWidth="1"/>
  </cols>
  <sheetData>
    <row r="1" spans="1:3" x14ac:dyDescent="0.25">
      <c r="A1" s="11" t="s">
        <v>20</v>
      </c>
    </row>
    <row r="2" spans="1:3" x14ac:dyDescent="0.25">
      <c r="B2" t="s">
        <v>7</v>
      </c>
      <c r="C2" t="s">
        <v>23</v>
      </c>
    </row>
    <row r="3" spans="1:3" x14ac:dyDescent="0.25">
      <c r="B3" t="s">
        <v>8</v>
      </c>
      <c r="C3" t="s">
        <v>114</v>
      </c>
    </row>
    <row r="4" spans="1:3" x14ac:dyDescent="0.25">
      <c r="B4" t="s">
        <v>120</v>
      </c>
      <c r="C4" t="s">
        <v>189</v>
      </c>
    </row>
  </sheetData>
  <hyperlinks>
    <hyperlink ref="A1" location="Main!A1" display="Main" xr:uid="{2558785C-ADB2-4095-9A7B-C13C6F6F08D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7770F-9056-4627-9D3F-7EDFE9146A1F}">
  <dimension ref="A1:C5"/>
  <sheetViews>
    <sheetView workbookViewId="0"/>
  </sheetViews>
  <sheetFormatPr defaultColWidth="8.81640625" defaultRowHeight="12.5" x14ac:dyDescent="0.25"/>
  <cols>
    <col min="1" max="1" width="5" bestFit="1" customWidth="1"/>
    <col min="2" max="2" width="9.81640625" bestFit="1" customWidth="1"/>
  </cols>
  <sheetData>
    <row r="1" spans="1:3" x14ac:dyDescent="0.25">
      <c r="A1" s="11" t="s">
        <v>20</v>
      </c>
    </row>
    <row r="2" spans="1:3" x14ac:dyDescent="0.25">
      <c r="B2" t="s">
        <v>7</v>
      </c>
      <c r="C2" t="s">
        <v>22</v>
      </c>
    </row>
    <row r="3" spans="1:3" x14ac:dyDescent="0.25">
      <c r="B3" t="s">
        <v>9</v>
      </c>
      <c r="C3" t="s">
        <v>15</v>
      </c>
    </row>
    <row r="4" spans="1:3" x14ac:dyDescent="0.25">
      <c r="B4" t="s">
        <v>120</v>
      </c>
    </row>
    <row r="5" spans="1:3" x14ac:dyDescent="0.25">
      <c r="B5" t="s">
        <v>11</v>
      </c>
    </row>
  </sheetData>
  <hyperlinks>
    <hyperlink ref="A1" location="Main!A1" display="Main" xr:uid="{E5C88E55-6C29-4777-9D64-A162F6CEE2A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4BF29-0A94-4770-AA68-CFDB5D68D6D1}">
  <dimension ref="A1:C6"/>
  <sheetViews>
    <sheetView workbookViewId="0"/>
  </sheetViews>
  <sheetFormatPr defaultColWidth="8.81640625" defaultRowHeight="12.5" x14ac:dyDescent="0.25"/>
  <cols>
    <col min="1" max="1" width="5" bestFit="1" customWidth="1"/>
  </cols>
  <sheetData>
    <row r="1" spans="1:3" x14ac:dyDescent="0.25">
      <c r="A1" s="11" t="s">
        <v>20</v>
      </c>
    </row>
    <row r="2" spans="1:3" x14ac:dyDescent="0.25">
      <c r="B2" t="s">
        <v>7</v>
      </c>
      <c r="C2" t="s">
        <v>13</v>
      </c>
    </row>
    <row r="3" spans="1:3" x14ac:dyDescent="0.25">
      <c r="B3" t="s">
        <v>8</v>
      </c>
    </row>
    <row r="4" spans="1:3" x14ac:dyDescent="0.25">
      <c r="B4" t="s">
        <v>9</v>
      </c>
      <c r="C4" t="s">
        <v>15</v>
      </c>
    </row>
    <row r="5" spans="1:3" x14ac:dyDescent="0.25">
      <c r="B5" t="s">
        <v>92</v>
      </c>
      <c r="C5" t="s">
        <v>93</v>
      </c>
    </row>
    <row r="6" spans="1:3" x14ac:dyDescent="0.25">
      <c r="B6" t="s">
        <v>12</v>
      </c>
    </row>
  </sheetData>
  <hyperlinks>
    <hyperlink ref="A1" location="Main!A1" display="Main" xr:uid="{00432356-2035-497F-B68F-E19036CF21B5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4667-B707-436E-8242-61F1E098F287}">
  <dimension ref="A1:I28"/>
  <sheetViews>
    <sheetView zoomScale="190" zoomScaleNormal="190" workbookViewId="0"/>
  </sheetViews>
  <sheetFormatPr defaultColWidth="8.81640625" defaultRowHeight="12.5" x14ac:dyDescent="0.25"/>
  <cols>
    <col min="1" max="1" width="5" bestFit="1" customWidth="1"/>
    <col min="2" max="2" width="14.54296875" bestFit="1" customWidth="1"/>
  </cols>
  <sheetData>
    <row r="1" spans="1:9" x14ac:dyDescent="0.25">
      <c r="A1" s="11" t="s">
        <v>20</v>
      </c>
    </row>
    <row r="2" spans="1:9" x14ac:dyDescent="0.25">
      <c r="B2" t="s">
        <v>7</v>
      </c>
      <c r="C2" t="s">
        <v>327</v>
      </c>
    </row>
    <row r="3" spans="1:9" x14ac:dyDescent="0.25">
      <c r="B3" t="s">
        <v>8</v>
      </c>
      <c r="C3" t="s">
        <v>141</v>
      </c>
    </row>
    <row r="4" spans="1:9" x14ac:dyDescent="0.25">
      <c r="B4" t="s">
        <v>9</v>
      </c>
      <c r="C4" t="s">
        <v>142</v>
      </c>
    </row>
    <row r="5" spans="1:9" x14ac:dyDescent="0.25">
      <c r="B5" t="s">
        <v>18</v>
      </c>
      <c r="C5" t="s">
        <v>38</v>
      </c>
    </row>
    <row r="6" spans="1:9" x14ac:dyDescent="0.25">
      <c r="B6" t="s">
        <v>10</v>
      </c>
      <c r="C6" t="s">
        <v>201</v>
      </c>
    </row>
    <row r="7" spans="1:9" x14ac:dyDescent="0.25">
      <c r="B7" t="s">
        <v>133</v>
      </c>
      <c r="C7" t="s">
        <v>143</v>
      </c>
    </row>
    <row r="8" spans="1:9" x14ac:dyDescent="0.25">
      <c r="B8" t="s">
        <v>120</v>
      </c>
      <c r="C8" t="s">
        <v>202</v>
      </c>
    </row>
    <row r="9" spans="1:9" x14ac:dyDescent="0.25">
      <c r="C9" t="s">
        <v>360</v>
      </c>
    </row>
    <row r="10" spans="1:9" x14ac:dyDescent="0.25">
      <c r="B10" t="s">
        <v>358</v>
      </c>
      <c r="C10" t="s">
        <v>359</v>
      </c>
    </row>
    <row r="11" spans="1:9" x14ac:dyDescent="0.25">
      <c r="B11" t="s">
        <v>135</v>
      </c>
    </row>
    <row r="12" spans="1:9" ht="13" x14ac:dyDescent="0.3">
      <c r="C12" s="18" t="s">
        <v>153</v>
      </c>
    </row>
    <row r="13" spans="1:9" x14ac:dyDescent="0.25">
      <c r="C13" t="s">
        <v>150</v>
      </c>
      <c r="I13" s="11" t="s">
        <v>173</v>
      </c>
    </row>
    <row r="14" spans="1:9" x14ac:dyDescent="0.25">
      <c r="C14" t="s">
        <v>147</v>
      </c>
    </row>
    <row r="15" spans="1:9" x14ac:dyDescent="0.25">
      <c r="C15" t="s">
        <v>144</v>
      </c>
    </row>
    <row r="16" spans="1:9" x14ac:dyDescent="0.25">
      <c r="C16" t="s">
        <v>145</v>
      </c>
    </row>
    <row r="17" spans="3:3" x14ac:dyDescent="0.25">
      <c r="C17" t="s">
        <v>146</v>
      </c>
    </row>
    <row r="18" spans="3:3" x14ac:dyDescent="0.25">
      <c r="C18" t="s">
        <v>148</v>
      </c>
    </row>
    <row r="19" spans="3:3" x14ac:dyDescent="0.25">
      <c r="C19" t="s">
        <v>154</v>
      </c>
    </row>
    <row r="21" spans="3:3" ht="13" x14ac:dyDescent="0.3">
      <c r="C21" s="18" t="s">
        <v>152</v>
      </c>
    </row>
    <row r="22" spans="3:3" x14ac:dyDescent="0.25">
      <c r="C22" t="s">
        <v>154</v>
      </c>
    </row>
    <row r="24" spans="3:3" ht="13" x14ac:dyDescent="0.3">
      <c r="C24" s="18" t="s">
        <v>151</v>
      </c>
    </row>
    <row r="26" spans="3:3" ht="13" x14ac:dyDescent="0.3">
      <c r="C26" s="18" t="s">
        <v>155</v>
      </c>
    </row>
    <row r="28" spans="3:3" ht="13" x14ac:dyDescent="0.3">
      <c r="C28" s="18" t="s">
        <v>156</v>
      </c>
    </row>
  </sheetData>
  <hyperlinks>
    <hyperlink ref="A1" location="Main!A1" display="Main" xr:uid="{B7375EF0-5582-4E12-AC44-5AB9BFB39A26}"/>
    <hyperlink ref="I13" r:id="rId1" location="!*menu=16*browseby=9*sortby=1*trend=4016" xr:uid="{5FC3E2BD-FEEC-4C40-834C-9C4DE1F9CFC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57B1-62FF-469A-BFF1-F8D2D83B9698}">
  <dimension ref="A1:C15"/>
  <sheetViews>
    <sheetView zoomScale="190" zoomScaleNormal="190" workbookViewId="0"/>
  </sheetViews>
  <sheetFormatPr defaultColWidth="8.81640625" defaultRowHeight="12.5" x14ac:dyDescent="0.25"/>
  <cols>
    <col min="1" max="1" width="5" bestFit="1" customWidth="1"/>
    <col min="2" max="2" width="14" customWidth="1"/>
  </cols>
  <sheetData>
    <row r="1" spans="1:3" x14ac:dyDescent="0.25">
      <c r="A1" s="11" t="s">
        <v>20</v>
      </c>
    </row>
    <row r="2" spans="1:3" x14ac:dyDescent="0.25">
      <c r="B2" t="s">
        <v>7</v>
      </c>
      <c r="C2" t="s">
        <v>51</v>
      </c>
    </row>
    <row r="3" spans="1:3" x14ac:dyDescent="0.25">
      <c r="B3" t="s">
        <v>9</v>
      </c>
      <c r="C3" t="s">
        <v>131</v>
      </c>
    </row>
    <row r="4" spans="1:3" x14ac:dyDescent="0.25">
      <c r="B4" t="s">
        <v>10</v>
      </c>
      <c r="C4" t="s">
        <v>132</v>
      </c>
    </row>
    <row r="5" spans="1:3" x14ac:dyDescent="0.25">
      <c r="B5" t="s">
        <v>133</v>
      </c>
      <c r="C5" t="s">
        <v>134</v>
      </c>
    </row>
    <row r="6" spans="1:3" x14ac:dyDescent="0.25">
      <c r="B6" t="s">
        <v>135</v>
      </c>
    </row>
    <row r="7" spans="1:3" ht="13" x14ac:dyDescent="0.3">
      <c r="C7" s="18" t="s">
        <v>136</v>
      </c>
    </row>
    <row r="8" spans="1:3" x14ac:dyDescent="0.25">
      <c r="C8" t="s">
        <v>167</v>
      </c>
    </row>
    <row r="9" spans="1:3" x14ac:dyDescent="0.25">
      <c r="C9" t="s">
        <v>169</v>
      </c>
    </row>
    <row r="10" spans="1:3" x14ac:dyDescent="0.25">
      <c r="C10" t="s">
        <v>168</v>
      </c>
    </row>
    <row r="11" spans="1:3" x14ac:dyDescent="0.25">
      <c r="C11" t="s">
        <v>137</v>
      </c>
    </row>
    <row r="12" spans="1:3" x14ac:dyDescent="0.25">
      <c r="C12" t="s">
        <v>138</v>
      </c>
    </row>
    <row r="14" spans="1:3" x14ac:dyDescent="0.25">
      <c r="C14" t="s">
        <v>338</v>
      </c>
    </row>
    <row r="15" spans="1:3" x14ac:dyDescent="0.25">
      <c r="C15" t="s">
        <v>339</v>
      </c>
    </row>
  </sheetData>
  <hyperlinks>
    <hyperlink ref="A1" location="Main!A1" display="Main" xr:uid="{9BF225D4-86E4-4BAF-A010-4C234C9F139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38714-88C7-42B3-B2FD-3531313A58EB}">
  <dimension ref="A1:C13"/>
  <sheetViews>
    <sheetView zoomScale="220" zoomScaleNormal="220" workbookViewId="0"/>
  </sheetViews>
  <sheetFormatPr defaultColWidth="8.81640625" defaultRowHeight="12.5" x14ac:dyDescent="0.25"/>
  <cols>
    <col min="1" max="1" width="5" bestFit="1" customWidth="1"/>
    <col min="2" max="2" width="12.81640625" customWidth="1"/>
    <col min="3" max="3" width="12.26953125" customWidth="1"/>
  </cols>
  <sheetData>
    <row r="1" spans="1:3" x14ac:dyDescent="0.25">
      <c r="A1" s="11" t="s">
        <v>20</v>
      </c>
    </row>
    <row r="2" spans="1:3" x14ac:dyDescent="0.25">
      <c r="B2" t="s">
        <v>7</v>
      </c>
      <c r="C2" t="s">
        <v>46</v>
      </c>
    </row>
    <row r="3" spans="1:3" x14ac:dyDescent="0.25">
      <c r="B3" t="s">
        <v>8</v>
      </c>
      <c r="C3" t="s">
        <v>324</v>
      </c>
    </row>
    <row r="4" spans="1:3" x14ac:dyDescent="0.25">
      <c r="B4" t="s">
        <v>9</v>
      </c>
      <c r="C4" t="s">
        <v>15</v>
      </c>
    </row>
    <row r="5" spans="1:3" x14ac:dyDescent="0.25">
      <c r="B5" t="s">
        <v>135</v>
      </c>
    </row>
    <row r="6" spans="1:3" ht="13" x14ac:dyDescent="0.3">
      <c r="C6" s="18" t="s">
        <v>195</v>
      </c>
    </row>
    <row r="7" spans="1:3" x14ac:dyDescent="0.25">
      <c r="C7" t="s">
        <v>197</v>
      </c>
    </row>
    <row r="9" spans="1:3" x14ac:dyDescent="0.25">
      <c r="C9" t="s">
        <v>196</v>
      </c>
    </row>
    <row r="13" spans="1:3" ht="13" x14ac:dyDescent="0.3">
      <c r="C13" s="18" t="s">
        <v>329</v>
      </c>
    </row>
  </sheetData>
  <hyperlinks>
    <hyperlink ref="A1" location="Main!A1" display="Main" xr:uid="{D27BB88E-1A8F-41E5-B99C-BA493095DC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Main</vt:lpstr>
      <vt:lpstr>Model</vt:lpstr>
      <vt:lpstr>Trikafta</vt:lpstr>
      <vt:lpstr>Orkambi</vt:lpstr>
      <vt:lpstr>Symdeko</vt:lpstr>
      <vt:lpstr>Kalydeco</vt:lpstr>
      <vt:lpstr>Casgevy</vt:lpstr>
      <vt:lpstr>VX-880</vt:lpstr>
      <vt:lpstr>vanzacaftor</vt:lpstr>
      <vt:lpstr>VX-548</vt:lpstr>
      <vt:lpstr>VX-522</vt:lpstr>
      <vt:lpstr>inaxaplin</vt:lpstr>
      <vt:lpstr>VX-634</vt:lpstr>
      <vt:lpstr>IP</vt:lpstr>
      <vt:lpstr>Compounds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2022-07-19T23:53:26Z</dcterms:created>
  <dcterms:modified xsi:type="dcterms:W3CDTF">2025-03-31T19:03:11Z</dcterms:modified>
</cp:coreProperties>
</file>