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3647560-70B1-4927-B777-CA1B86A8C54E}" xr6:coauthVersionLast="47" xr6:coauthVersionMax="47" xr10:uidLastSave="{00000000-0000-0000-0000-000000000000}"/>
  <bookViews>
    <workbookView xWindow="-39030" yWindow="1440" windowWidth="26790" windowHeight="1629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4" i="1" l="1"/>
  <c r="D20" i="1"/>
  <c r="D21" i="1" s="1"/>
  <c r="D18" i="1"/>
  <c r="D17" i="1"/>
  <c r="I482" i="1" l="1"/>
  <c r="L482" i="1"/>
  <c r="H482" i="1" s="1"/>
  <c r="J482" i="1" l="1"/>
  <c r="I389" i="1" l="1"/>
  <c r="L389" i="1"/>
  <c r="H389" i="1" s="1"/>
  <c r="J389" i="1" l="1"/>
  <c r="I92" i="1"/>
  <c r="L92" i="1"/>
  <c r="H92" i="1" s="1"/>
  <c r="J92" i="1" l="1"/>
  <c r="I222" i="1" l="1"/>
  <c r="L222" i="1"/>
  <c r="H222" i="1" s="1"/>
  <c r="J222" i="1" l="1"/>
  <c r="I251" i="1"/>
  <c r="L251" i="1"/>
  <c r="H251" i="1" s="1"/>
  <c r="J251" i="1" l="1"/>
  <c r="I163" i="1" l="1"/>
  <c r="L163" i="1"/>
  <c r="H163" i="1" s="1"/>
  <c r="J163" i="1" l="1"/>
  <c r="I244" i="1" l="1"/>
  <c r="L244" i="1"/>
  <c r="H244" i="1" s="1"/>
  <c r="J244" i="1" l="1"/>
  <c r="I243" i="1"/>
  <c r="L243" i="1"/>
  <c r="H243" i="1" s="1"/>
  <c r="J243" i="1" l="1"/>
  <c r="I477" i="1" l="1"/>
  <c r="L477" i="1"/>
  <c r="H477" i="1" s="1"/>
  <c r="AN1" i="6"/>
  <c r="J477" i="1" l="1"/>
  <c r="I381" i="1"/>
  <c r="L381" i="1"/>
  <c r="H381" i="1" s="1"/>
  <c r="J381" i="1" l="1"/>
  <c r="R15" i="1" l="1"/>
  <c r="Q15" i="1"/>
  <c r="P15" i="1"/>
  <c r="N15" i="1" l="1"/>
  <c r="O15" i="1" s="1"/>
  <c r="N19" i="9" l="1"/>
  <c r="N16" i="9" s="1"/>
  <c r="I478" i="1" l="1"/>
  <c r="L478" i="1"/>
  <c r="H478" i="1" s="1"/>
  <c r="I465" i="1"/>
  <c r="L465" i="1"/>
  <c r="H465" i="1" s="1"/>
  <c r="I432" i="1"/>
  <c r="L432" i="1"/>
  <c r="H432" i="1" s="1"/>
  <c r="J465" i="1" l="1"/>
  <c r="J478" i="1"/>
  <c r="J432" i="1"/>
  <c r="I209" i="1" l="1"/>
  <c r="L209" i="1"/>
  <c r="H209" i="1" s="1"/>
  <c r="J209" i="1" l="1"/>
  <c r="I166" i="1"/>
  <c r="L166" i="1"/>
  <c r="H166" i="1" s="1"/>
  <c r="I305" i="1"/>
  <c r="L305" i="1"/>
  <c r="H305" i="1" s="1"/>
  <c r="L214" i="1"/>
  <c r="H214" i="1" s="1"/>
  <c r="J166" i="1" l="1"/>
  <c r="J305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9" i="1"/>
  <c r="L439" i="1"/>
  <c r="H439" i="1" s="1"/>
  <c r="I248" i="1"/>
  <c r="L248" i="1"/>
  <c r="H248" i="1" s="1"/>
  <c r="I446" i="1"/>
  <c r="L446" i="1"/>
  <c r="H446" i="1" s="1"/>
  <c r="J439" i="1" l="1"/>
  <c r="J248" i="1"/>
  <c r="J446" i="1"/>
  <c r="K8" i="1"/>
  <c r="I245" i="1" l="1"/>
  <c r="L245" i="1"/>
  <c r="H245" i="1" s="1"/>
  <c r="J245" i="1" l="1"/>
  <c r="I213" i="1"/>
  <c r="L213" i="1"/>
  <c r="H213" i="1" s="1"/>
  <c r="I249" i="1"/>
  <c r="L249" i="1"/>
  <c r="H249" i="1" s="1"/>
  <c r="J213" i="1" l="1"/>
  <c r="J249" i="1"/>
  <c r="I374" i="1"/>
  <c r="L374" i="1"/>
  <c r="H374" i="1" s="1"/>
  <c r="J374" i="1" l="1"/>
  <c r="I84" i="1" l="1"/>
  <c r="L84" i="1"/>
  <c r="H84" i="1" s="1"/>
  <c r="I373" i="1"/>
  <c r="L373" i="1"/>
  <c r="H373" i="1" s="1"/>
  <c r="I445" i="1"/>
  <c r="L445" i="1"/>
  <c r="H445" i="1" s="1"/>
  <c r="I438" i="1"/>
  <c r="L438" i="1"/>
  <c r="H438" i="1" s="1"/>
  <c r="L436" i="1"/>
  <c r="H436" i="1" s="1"/>
  <c r="I436" i="1"/>
  <c r="I449" i="1"/>
  <c r="L449" i="1"/>
  <c r="H449" i="1" s="1"/>
  <c r="I448" i="1"/>
  <c r="L448" i="1"/>
  <c r="H448" i="1" s="1"/>
  <c r="I444" i="1"/>
  <c r="L444" i="1"/>
  <c r="H444" i="1" s="1"/>
  <c r="I437" i="1"/>
  <c r="L437" i="1"/>
  <c r="H437" i="1" s="1"/>
  <c r="J448" i="1" l="1"/>
  <c r="J373" i="1"/>
  <c r="J84" i="1"/>
  <c r="J445" i="1"/>
  <c r="J438" i="1"/>
  <c r="J436" i="1"/>
  <c r="J449" i="1"/>
  <c r="J444" i="1"/>
  <c r="J437" i="1"/>
  <c r="H18" i="1" l="1"/>
  <c r="I112" i="1" l="1"/>
  <c r="L112" i="1"/>
  <c r="H112" i="1" s="1"/>
  <c r="I435" i="1"/>
  <c r="L435" i="1"/>
  <c r="H435" i="1" s="1"/>
  <c r="J112" i="1" l="1"/>
  <c r="J435" i="1"/>
  <c r="I361" i="1"/>
  <c r="L361" i="1"/>
  <c r="H361" i="1" s="1"/>
  <c r="J361" i="1" l="1"/>
  <c r="N8" i="1" l="1"/>
  <c r="O8" i="1" s="1"/>
  <c r="I440" i="1"/>
  <c r="L440" i="1"/>
  <c r="H440" i="1" s="1"/>
  <c r="I443" i="1"/>
  <c r="L443" i="1"/>
  <c r="H443" i="1" s="1"/>
  <c r="I433" i="1"/>
  <c r="L433" i="1"/>
  <c r="H433" i="1" s="1"/>
  <c r="L111" i="1"/>
  <c r="J440" i="1" l="1"/>
  <c r="J443" i="1"/>
  <c r="J433" i="1"/>
  <c r="I117" i="1"/>
  <c r="L117" i="1"/>
  <c r="H117" i="1" s="1"/>
  <c r="J117" i="1" l="1"/>
  <c r="I90" i="1"/>
  <c r="L90" i="1"/>
  <c r="H90" i="1" s="1"/>
  <c r="J90" i="1" l="1"/>
  <c r="J6" i="12"/>
  <c r="I447" i="1" l="1"/>
  <c r="L447" i="1"/>
  <c r="H447" i="1" s="1"/>
  <c r="J447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0" i="1"/>
  <c r="L260" i="1"/>
  <c r="H260" i="1" s="1"/>
  <c r="I111" i="1"/>
  <c r="H111" i="1"/>
  <c r="J111" i="1" l="1"/>
  <c r="J260" i="1"/>
  <c r="I104" i="1" l="1"/>
  <c r="L104" i="1"/>
  <c r="H104" i="1" s="1"/>
  <c r="J104" i="1" l="1"/>
  <c r="I254" i="1" l="1"/>
  <c r="L254" i="1"/>
  <c r="H254" i="1" s="1"/>
  <c r="J254" i="1" l="1"/>
  <c r="I103" i="1"/>
  <c r="L103" i="1"/>
  <c r="H103" i="1" s="1"/>
  <c r="J103" i="1" l="1"/>
  <c r="I101" i="1"/>
  <c r="L101" i="1"/>
  <c r="H101" i="1" s="1"/>
  <c r="J101" i="1" l="1"/>
  <c r="I113" i="1"/>
  <c r="L113" i="1"/>
  <c r="H113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7" i="1"/>
  <c r="L77" i="1"/>
  <c r="H77" i="1" s="1"/>
  <c r="J77" i="1" l="1"/>
  <c r="I220" i="1" l="1"/>
  <c r="L220" i="1"/>
  <c r="H220" i="1" s="1"/>
  <c r="J220" i="1" l="1"/>
  <c r="I223" i="1"/>
  <c r="L223" i="1"/>
  <c r="H223" i="1" s="1"/>
  <c r="I322" i="1"/>
  <c r="L322" i="1"/>
  <c r="H322" i="1" s="1"/>
  <c r="J223" i="1" l="1"/>
  <c r="J322" i="1"/>
  <c r="I218" i="1"/>
  <c r="L218" i="1"/>
  <c r="H218" i="1" s="1"/>
  <c r="J218" i="1" l="1"/>
  <c r="I434" i="1"/>
  <c r="L434" i="1"/>
  <c r="H434" i="1" s="1"/>
  <c r="J434" i="1" l="1"/>
  <c r="I442" i="1"/>
  <c r="L442" i="1"/>
  <c r="H442" i="1" s="1"/>
  <c r="I323" i="1"/>
  <c r="L323" i="1"/>
  <c r="H323" i="1" s="1"/>
  <c r="I114" i="1"/>
  <c r="L114" i="1"/>
  <c r="H114" i="1" s="1"/>
  <c r="J114" i="1" l="1"/>
  <c r="J323" i="1"/>
  <c r="J442" i="1"/>
  <c r="I73" i="1"/>
  <c r="L73" i="1"/>
  <c r="H73" i="1" s="1"/>
  <c r="J73" i="1" l="1"/>
  <c r="I82" i="1"/>
  <c r="L82" i="1"/>
  <c r="H82" i="1" s="1"/>
  <c r="I68" i="1"/>
  <c r="L68" i="1"/>
  <c r="I74" i="1"/>
  <c r="L74" i="1"/>
  <c r="H74" i="1" s="1"/>
  <c r="J82" i="1" l="1"/>
  <c r="J74" i="1"/>
  <c r="H68" i="1" l="1"/>
  <c r="J68" i="1" s="1"/>
  <c r="I124" i="1" l="1"/>
  <c r="H124" i="1"/>
  <c r="J124" i="1" l="1"/>
  <c r="I330" i="1" l="1"/>
  <c r="L330" i="1"/>
  <c r="H330" i="1" s="1"/>
  <c r="J330" i="1" l="1"/>
  <c r="I62" i="1"/>
  <c r="L62" i="1"/>
  <c r="H62" i="1" s="1"/>
  <c r="K121" i="1"/>
  <c r="M121" i="1"/>
  <c r="J62" i="1" l="1"/>
  <c r="I123" i="1"/>
  <c r="L123" i="1"/>
  <c r="H123" i="1" s="1"/>
  <c r="J113" i="1"/>
  <c r="J123" i="1" l="1"/>
  <c r="I125" i="1"/>
  <c r="L125" i="1"/>
  <c r="H125" i="1" s="1"/>
  <c r="I54" i="1"/>
  <c r="L54" i="1"/>
  <c r="H54" i="1" s="1"/>
  <c r="J125" i="1" l="1"/>
  <c r="J54" i="1"/>
  <c r="I225" i="1"/>
  <c r="L225" i="1"/>
  <c r="H225" i="1" s="1"/>
  <c r="J225" i="1" l="1"/>
  <c r="I328" i="1" l="1"/>
  <c r="L328" i="1"/>
  <c r="H328" i="1" s="1"/>
  <c r="I93" i="1"/>
  <c r="J328" i="1" l="1"/>
  <c r="L93" i="1"/>
  <c r="H93" i="1" s="1"/>
  <c r="J93" i="1" s="1"/>
  <c r="I215" i="1"/>
  <c r="L215" i="1"/>
  <c r="H215" i="1" s="1"/>
  <c r="J215" i="1" l="1"/>
  <c r="I325" i="1" l="1"/>
  <c r="L325" i="1"/>
  <c r="H325" i="1" s="1"/>
  <c r="I86" i="1"/>
  <c r="L86" i="1"/>
  <c r="H86" i="1" s="1"/>
  <c r="J325" i="1" l="1"/>
  <c r="J86" i="1"/>
  <c r="I217" i="1"/>
  <c r="L217" i="1"/>
  <c r="H217" i="1" s="1"/>
  <c r="J217" i="1" l="1"/>
  <c r="I327" i="1" l="1"/>
  <c r="L327" i="1"/>
  <c r="H327" i="1" s="1"/>
  <c r="J327" i="1" l="1"/>
  <c r="I105" i="1"/>
  <c r="L105" i="1"/>
  <c r="H105" i="1" s="1"/>
  <c r="J105" i="1" l="1"/>
  <c r="L126" i="1" l="1"/>
  <c r="H126" i="1" s="1"/>
  <c r="I126" i="1"/>
  <c r="J126" i="1" l="1"/>
  <c r="L107" i="1"/>
  <c r="H107" i="1" s="1"/>
  <c r="I107" i="1"/>
  <c r="I261" i="1"/>
  <c r="L261" i="1"/>
  <c r="H261" i="1" s="1"/>
  <c r="J107" i="1" l="1"/>
  <c r="J261" i="1"/>
  <c r="R8" i="1"/>
  <c r="Q8" i="1"/>
  <c r="I80" i="1" l="1"/>
  <c r="L80" i="1"/>
  <c r="H80" i="1" s="1"/>
  <c r="J80" i="1" l="1"/>
  <c r="I224" i="1"/>
  <c r="L224" i="1"/>
  <c r="H224" i="1" s="1"/>
  <c r="I326" i="1"/>
  <c r="L326" i="1"/>
  <c r="H326" i="1" s="1"/>
  <c r="J224" i="1" l="1"/>
  <c r="J326" i="1"/>
  <c r="I102" i="1"/>
  <c r="L102" i="1"/>
  <c r="H102" i="1" s="1"/>
  <c r="I75" i="1"/>
  <c r="L75" i="1"/>
  <c r="H75" i="1" s="1"/>
  <c r="J102" i="1" l="1"/>
  <c r="J75" i="1"/>
  <c r="I61" i="1" l="1"/>
  <c r="L61" i="1"/>
  <c r="H61" i="1" s="1"/>
  <c r="I53" i="1"/>
  <c r="L53" i="1"/>
  <c r="H53" i="1" s="1"/>
  <c r="J61" i="1" l="1"/>
  <c r="J53" i="1"/>
  <c r="I120" i="1"/>
  <c r="L120" i="1" l="1"/>
  <c r="H120" i="1" s="1"/>
  <c r="J120" i="1" s="1"/>
  <c r="I110" i="1"/>
  <c r="L110" i="1"/>
  <c r="H110" i="1" s="1"/>
  <c r="I83" i="1"/>
  <c r="L83" i="1"/>
  <c r="H83" i="1" s="1"/>
  <c r="I35" i="1"/>
  <c r="L35" i="1"/>
  <c r="H35" i="1" s="1"/>
  <c r="I55" i="1"/>
  <c r="L55" i="1"/>
  <c r="H55" i="1" s="1"/>
  <c r="I56" i="1"/>
  <c r="L56" i="1"/>
  <c r="H56" i="1" s="1"/>
  <c r="I108" i="1"/>
  <c r="L108" i="1"/>
  <c r="H108" i="1" s="1"/>
  <c r="I70" i="1"/>
  <c r="L70" i="1"/>
  <c r="H70" i="1" s="1"/>
  <c r="J110" i="1" l="1"/>
  <c r="J83" i="1"/>
  <c r="J35" i="1"/>
  <c r="J70" i="1"/>
  <c r="J55" i="1"/>
  <c r="J56" i="1"/>
  <c r="J108" i="1"/>
  <c r="L95" i="1" l="1"/>
  <c r="H95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1" i="1" l="1"/>
  <c r="I27" i="1" l="1"/>
  <c r="I32" i="1" l="1"/>
  <c r="I33" i="1" l="1"/>
  <c r="L33" i="1" l="1"/>
  <c r="I29" i="1"/>
  <c r="I26" i="1"/>
  <c r="I24" i="1" l="1"/>
  <c r="I23" i="1" l="1"/>
  <c r="I22" i="1"/>
  <c r="I226" i="1" l="1"/>
  <c r="L226" i="1"/>
  <c r="H226" i="1" s="1"/>
  <c r="J226" i="1" l="1"/>
  <c r="I17" i="1"/>
  <c r="I5" i="1" l="1"/>
  <c r="I16" i="1" l="1"/>
  <c r="K12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41" i="1" l="1"/>
  <c r="H441" i="1" s="1"/>
  <c r="I441" i="1"/>
  <c r="J441" i="1" l="1"/>
  <c r="L122" i="1"/>
  <c r="H122" i="1" s="1"/>
  <c r="I122" i="1"/>
  <c r="J122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9" i="1" l="1"/>
  <c r="L99" i="1"/>
  <c r="H99" i="1" s="1"/>
  <c r="I25" i="1"/>
  <c r="J99" i="1" l="1"/>
  <c r="I165" i="1"/>
  <c r="L165" i="1"/>
  <c r="H165" i="1" s="1"/>
  <c r="I164" i="1"/>
  <c r="L164" i="1"/>
  <c r="H164" i="1" s="1"/>
  <c r="J165" i="1" l="1"/>
  <c r="J164" i="1"/>
  <c r="L115" i="1"/>
  <c r="H115" i="1" s="1"/>
  <c r="I115" i="1"/>
  <c r="F12" i="5" a="1"/>
  <c r="F12" i="5" s="1"/>
  <c r="I324" i="1"/>
  <c r="L324" i="1"/>
  <c r="H324" i="1" s="1"/>
  <c r="I329" i="1"/>
  <c r="L329" i="1"/>
  <c r="G329" i="1"/>
  <c r="J115" i="1" l="1"/>
  <c r="H329" i="1"/>
  <c r="J329" i="1" s="1"/>
  <c r="J324" i="1"/>
  <c r="I10" i="1"/>
  <c r="R10" i="1"/>
  <c r="Q10" i="1"/>
  <c r="P10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7" i="1"/>
  <c r="H167" i="1" s="1"/>
  <c r="I167" i="1"/>
  <c r="J167" i="1" l="1"/>
  <c r="I106" i="1"/>
  <c r="L106" i="1"/>
  <c r="H106" i="1" s="1"/>
  <c r="J106" i="1" l="1"/>
  <c r="L94" i="1"/>
  <c r="H94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8" i="1"/>
  <c r="L78" i="1"/>
  <c r="H78" i="1" s="1"/>
  <c r="J47" i="1" l="1"/>
  <c r="J78" i="1"/>
  <c r="M14" i="1"/>
  <c r="I50" i="1" l="1"/>
  <c r="I49" i="1"/>
  <c r="L50" i="1"/>
  <c r="H50" i="1" s="1"/>
  <c r="L49" i="1"/>
  <c r="H49" i="1" s="1"/>
  <c r="I116" i="1"/>
  <c r="L116" i="1"/>
  <c r="H116" i="1" s="1"/>
  <c r="I66" i="1"/>
  <c r="L66" i="1"/>
  <c r="H66" i="1" s="1"/>
  <c r="I109" i="1"/>
  <c r="L109" i="1"/>
  <c r="H109" i="1" s="1"/>
  <c r="J116" i="1" l="1"/>
  <c r="J50" i="1"/>
  <c r="J49" i="1"/>
  <c r="J66" i="1"/>
  <c r="J109" i="1"/>
  <c r="I76" i="1"/>
  <c r="L76" i="1"/>
  <c r="H76" i="1" s="1"/>
  <c r="L46" i="1"/>
  <c r="H46" i="1" s="1"/>
  <c r="J76" i="1" l="1"/>
  <c r="J46" i="1"/>
  <c r="L71" i="1"/>
  <c r="H71" i="1" s="1"/>
  <c r="I71" i="1"/>
  <c r="J71" i="1" l="1"/>
  <c r="L16" i="1" l="1"/>
  <c r="I119" i="1" l="1"/>
  <c r="L119" i="1"/>
  <c r="H119" i="1" s="1"/>
  <c r="J119" i="1" l="1"/>
  <c r="I216" i="1"/>
  <c r="L216" i="1"/>
  <c r="H216" i="1" s="1"/>
  <c r="J216" i="1" l="1"/>
  <c r="L48" i="1"/>
  <c r="I48" i="1"/>
  <c r="N10" i="1" l="1"/>
  <c r="O10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5" i="1"/>
  <c r="L31" i="1"/>
  <c r="H31" i="1" s="1" a="1"/>
  <c r="H31" i="1" s="1"/>
  <c r="J31" i="1" s="1"/>
  <c r="H208" i="1"/>
  <c r="J51" i="1" l="1"/>
  <c r="J95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4" i="1" l="1"/>
  <c r="L14" i="1"/>
  <c r="H14" i="1" s="1"/>
  <c r="J14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D11" i="1" s="1"/>
  <c r="H48" i="1"/>
  <c r="J48" i="1" s="1"/>
  <c r="J65" i="1" l="1"/>
  <c r="L36" i="1"/>
  <c r="H36" i="1" s="1"/>
  <c r="I36" i="1"/>
  <c r="H33" i="1"/>
  <c r="J33" i="1" s="1"/>
  <c r="I12" i="1"/>
  <c r="L12" i="1"/>
  <c r="H12" i="1" s="1"/>
  <c r="I11" i="1"/>
  <c r="L11" i="1"/>
  <c r="H11" i="1" s="1"/>
  <c r="J36" i="1" l="1"/>
  <c r="J12" i="1"/>
  <c r="J11" i="1"/>
  <c r="I45" i="1"/>
  <c r="L45" i="1"/>
  <c r="H45" i="1" s="1"/>
  <c r="J45" i="1" l="1"/>
  <c r="L32" i="1" l="1"/>
  <c r="H32" i="1" s="1"/>
  <c r="J32" i="1" s="1"/>
  <c r="L29" i="1"/>
  <c r="H29" i="1" s="1"/>
  <c r="J29" i="1" l="1"/>
  <c r="L27" i="1"/>
  <c r="H27" i="1" s="1"/>
  <c r="J27" i="1" l="1"/>
  <c r="I40" i="1"/>
  <c r="L40" i="1" l="1"/>
  <c r="I221" i="1" l="1"/>
  <c r="L221" i="1"/>
  <c r="H221" i="1" s="1"/>
  <c r="L118" i="1"/>
  <c r="H118" i="1" s="1"/>
  <c r="I118" i="1"/>
  <c r="I162" i="1"/>
  <c r="L162" i="1"/>
  <c r="H162" i="1" s="1"/>
  <c r="J221" i="1" l="1"/>
  <c r="J162" i="1"/>
  <c r="J118" i="1"/>
  <c r="L26" i="1"/>
  <c r="H26" i="1" s="1"/>
  <c r="J26" i="1" s="1"/>
  <c r="L25" i="1"/>
  <c r="H25" i="1" s="1"/>
  <c r="J25" i="1" s="1"/>
  <c r="L22" i="1"/>
  <c r="L23" i="1" s="1"/>
  <c r="I247" i="1" l="1"/>
  <c r="L247" i="1"/>
  <c r="H247" i="1" s="1"/>
  <c r="I97" i="1"/>
  <c r="L97" i="1"/>
  <c r="H97" i="1" s="1"/>
  <c r="J97" i="1" l="1"/>
  <c r="J247" i="1"/>
  <c r="L63" i="1"/>
  <c r="H63" i="1" s="1"/>
  <c r="J63" i="1" s="1"/>
  <c r="L88" i="1" l="1"/>
  <c r="H88" i="1" s="1"/>
  <c r="I88" i="1"/>
  <c r="L21" i="1"/>
  <c r="J88" i="1" l="1"/>
  <c r="L24" i="1"/>
  <c r="H24" i="1" s="1"/>
  <c r="J24" i="1" s="1"/>
  <c r="L18" i="1" l="1"/>
  <c r="L19" i="1" s="1"/>
  <c r="H19" i="1" s="1"/>
  <c r="J19" i="1" s="1"/>
  <c r="L15" i="1" l="1"/>
  <c r="H15" i="1" s="1"/>
  <c r="I13" i="1" l="1"/>
  <c r="I20" i="1" l="1"/>
  <c r="L20" i="1"/>
  <c r="H20" i="1" s="1"/>
  <c r="L13" i="1" l="1"/>
  <c r="H13" i="1" l="1"/>
  <c r="H23" i="1" l="1"/>
  <c r="H22" i="1"/>
  <c r="M23" i="1"/>
  <c r="M2" i="1" s="1"/>
  <c r="I30" i="1" l="1"/>
  <c r="H40" i="1"/>
  <c r="L30" i="1"/>
  <c r="H30" i="1" s="1"/>
  <c r="J30" i="1" l="1"/>
  <c r="I255" i="1"/>
  <c r="L255" i="1"/>
  <c r="H255" i="1" s="1"/>
  <c r="I89" i="1"/>
  <c r="L89" i="1"/>
  <c r="H89" i="1" s="1"/>
  <c r="J89" i="1" l="1"/>
  <c r="J255" i="1"/>
  <c r="L17" i="1"/>
  <c r="H17" i="1" s="1"/>
  <c r="J17" i="1" s="1"/>
  <c r="L10" i="1" l="1"/>
  <c r="H10" i="1" s="1"/>
  <c r="J10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9" i="1"/>
  <c r="H219" i="1"/>
  <c r="J219" i="1" l="1"/>
  <c r="J58" i="1" l="1"/>
  <c r="I214" i="1"/>
  <c r="H21" i="1"/>
  <c r="I21" i="1"/>
  <c r="J214" i="1" l="1"/>
  <c r="J21" i="1"/>
  <c r="I252" i="1"/>
  <c r="H252" i="1"/>
  <c r="J40" i="1" l="1"/>
  <c r="J252" i="1"/>
  <c r="I94" i="1"/>
  <c r="J94" i="1" l="1"/>
  <c r="H6" i="1"/>
  <c r="I52" i="1" l="1"/>
  <c r="J52" i="1" l="1"/>
  <c r="I259" i="1"/>
  <c r="H259" i="1"/>
  <c r="I258" i="1"/>
  <c r="H258" i="1"/>
  <c r="I257" i="1"/>
  <c r="H257" i="1"/>
  <c r="I256" i="1"/>
  <c r="H256" i="1"/>
  <c r="I253" i="1"/>
  <c r="H253" i="1"/>
  <c r="I250" i="1"/>
  <c r="H250" i="1"/>
  <c r="I246" i="1"/>
  <c r="H246" i="1"/>
  <c r="J7" i="1"/>
  <c r="J6" i="1"/>
  <c r="H2" i="1" l="1"/>
  <c r="J258" i="1"/>
  <c r="J23" i="1"/>
  <c r="J13" i="1"/>
  <c r="J257" i="1"/>
  <c r="J259" i="1"/>
  <c r="J18" i="1"/>
  <c r="J22" i="1"/>
  <c r="J253" i="1"/>
  <c r="J15" i="1"/>
  <c r="J246" i="1"/>
  <c r="J250" i="1"/>
  <c r="J9" i="1"/>
  <c r="J20" i="1"/>
  <c r="J256" i="1"/>
  <c r="J4" i="1" l="1"/>
  <c r="B3" i="5" l="1"/>
  <c r="D12" i="1" l="1"/>
  <c r="D13" i="1" l="1"/>
  <c r="D14" i="1" s="1"/>
  <c r="D15" i="1" s="1"/>
  <c r="D16" i="1" s="1"/>
  <c r="D19" i="1" l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l="1"/>
  <c r="D33" i="1" s="1"/>
  <c r="D34" i="1" s="1"/>
  <c r="D35" i="1" s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l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l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7" i="1" l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46" i="1"/>
  <c r="D163" i="1" l="1"/>
  <c r="D164" i="1" s="1"/>
  <c r="D165" i="1" s="1"/>
  <c r="D166" i="1" l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13" i="1" s="1"/>
  <c r="D207" i="1" s="1"/>
  <c r="D208" i="1" l="1"/>
  <c r="D209" i="1" s="1"/>
  <c r="D210" i="1" s="1"/>
  <c r="D211" i="1" s="1"/>
  <c r="D212" i="1" s="1"/>
  <c r="D214" i="1"/>
  <c r="D215" i="1" s="1"/>
  <c r="D216" i="1" s="1"/>
  <c r="D217" i="1" s="1"/>
  <c r="D218" i="1" s="1"/>
  <c r="D219" i="1" s="1"/>
  <c r="D221" i="1" s="1"/>
  <c r="D220" i="1" s="1"/>
  <c r="D223" i="1" s="1"/>
  <c r="D226" i="1" s="1"/>
  <c r="D227" i="1" s="1"/>
  <c r="D228" i="1" s="1"/>
  <c r="D229" i="1" s="1"/>
  <c r="D224" i="1" s="1"/>
  <c r="D230" i="1" s="1"/>
  <c r="D231" i="1" s="1"/>
  <c r="D232" i="1" s="1"/>
  <c r="D225" i="1" s="1"/>
  <c r="D233" i="1" s="1"/>
  <c r="D234" i="1" s="1"/>
  <c r="D235" i="1" s="1"/>
  <c r="D236" i="1" s="1"/>
  <c r="D237" i="1" s="1"/>
  <c r="D238" i="1" s="1"/>
  <c r="D222" i="1" s="1"/>
  <c r="D239" i="1" s="1"/>
  <c r="D240" i="1" s="1"/>
  <c r="D241" i="1" s="1"/>
  <c r="D242" i="1" s="1"/>
  <c r="D243" i="1" s="1"/>
  <c r="D244" i="1" s="1"/>
  <c r="D245" i="1" l="1"/>
  <c r="D246" i="1" l="1"/>
  <c r="D247" i="1" s="1"/>
  <c r="D277" i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248" i="1" l="1"/>
  <c r="D2" i="1"/>
  <c r="D249" i="1" l="1"/>
  <c r="D250" i="1" s="1"/>
  <c r="D251" i="1" s="1"/>
  <c r="D252" i="1" l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307" i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5" i="1" s="1"/>
  <c r="D382" i="1" s="1"/>
  <c r="D383" i="1" s="1"/>
  <c r="D396" i="1" s="1"/>
  <c r="D389" i="1" l="1"/>
  <c r="D400" i="1" s="1"/>
  <c r="D390" i="1" s="1"/>
  <c r="D393" i="1" s="1"/>
  <c r="D387" i="1" s="1"/>
  <c r="D394" i="1" s="1"/>
  <c r="D392" i="1" s="1"/>
  <c r="D391" i="1" s="1"/>
  <c r="D386" i="1" s="1"/>
  <c r="D395" i="1" s="1"/>
  <c r="D384" i="1" s="1"/>
  <c r="D397" i="1" s="1"/>
  <c r="D398" i="1" s="1"/>
  <c r="D388" i="1" s="1"/>
  <c r="D399" i="1" s="1"/>
  <c r="D381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38" i="1" s="1"/>
  <c r="D440" i="1" s="1"/>
  <c r="D441" i="1" s="1"/>
  <c r="D442" i="1" s="1"/>
  <c r="D443" i="1" s="1"/>
  <c r="D444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45" i="1" l="1"/>
  <c r="D463" i="1"/>
  <c r="D464" i="1" s="1"/>
  <c r="D466" i="1" s="1"/>
  <c r="D467" i="1" s="1"/>
  <c r="D468" i="1" s="1"/>
  <c r="D469" i="1" s="1"/>
  <c r="D446" i="1" s="1"/>
  <c r="D470" i="1" l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39" i="1" l="1"/>
  <c r="D465" i="1"/>
  <c r="D4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0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3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<sst xmlns="http://schemas.openxmlformats.org/spreadsheetml/2006/main" count="3020" uniqueCount="1842">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</sst>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theme" Target="theme/theme1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styles" Target="styles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haredStrings" Target="sharedString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heetMetadata" Target="metadata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microsoft.com/office/2017/10/relationships/person" Target="persons/perso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calcChain" Target="calcChain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948.16999899999996</v>
          </cell>
        </row>
        <row r="5">
          <cell r="J5">
            <v>6639.1</v>
          </cell>
        </row>
        <row r="6">
          <cell r="J6">
            <v>33644.199999999997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887.75663931758174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24522</v>
          </cell>
        </row>
        <row r="6">
          <cell r="R6">
            <v>36634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182.665966841965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97.435217423782063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0" dT="2025-01-25T23:30:42.16" personId="{5A20BCEA-4C45-4B42-BEED-323725F9E7FF}" id="{B2572E6F-40CC-4FA7-9340-8AC8902D6330}">
    <text>Expropriated from Merck in Germany</text>
  </threadedComment>
  <threadedComment ref="AE13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16" Type="http://schemas.openxmlformats.org/officeDocument/2006/relationships/comments" Target="../comments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TNXP.xlsx" TargetMode="External"/><Relationship Id="rId182" Type="http://schemas.openxmlformats.org/officeDocument/2006/relationships/hyperlink" Target="../Downloads/URGN.xlsx" TargetMode="External"/><Relationship Id="rId217" Type="http://schemas.microsoft.com/office/2017/10/relationships/threadedComment" Target="../threadedComments/threadedComment1.x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hyperlink" Target="XERS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208" Type="http://schemas.openxmlformats.org/officeDocument/2006/relationships/hyperlink" Target="DY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hyperlink" Target="ALV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openxmlformats.org/officeDocument/2006/relationships/hyperlink" Target="CMPS.xlsx" TargetMode="External"/><Relationship Id="rId215" Type="http://schemas.openxmlformats.org/officeDocument/2006/relationships/vmlDrawing" Target="../drawings/vmlDrawing1.v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11" Type="http://schemas.openxmlformats.org/officeDocument/2006/relationships/hyperlink" Target="ELEV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PROK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CAP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84"/>
  <sheetViews>
    <sheetView tabSelected="1" zoomScale="190" zoomScaleNormal="19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F4" sqref="F4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RANDBETWEEN(1,D247)</f>
        <v>66</v>
      </c>
      <c r="H2" s="6">
        <f>SUM(H4:H463)-H7-H11-H13-H18-H22-H25-H49-H55</f>
        <v>4810406.144092028</v>
      </c>
      <c r="M2" s="9">
        <f>MIN(M4:M95)</f>
        <v>45530</v>
      </c>
      <c r="O2" s="10">
        <f>AVERAGE(O4:O24)</f>
        <v>0.20377215190436881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">
      <c r="A4" s="102" t="s">
        <v>333</v>
      </c>
      <c r="D4" s="1">
        <v>1</v>
      </c>
      <c r="E4" s="5" t="s">
        <v>19</v>
      </c>
      <c r="F4" s="1" t="s">
        <v>20</v>
      </c>
      <c r="G4" s="7">
        <v>754</v>
      </c>
      <c r="H4" s="6">
        <f>+G4*L4</f>
        <v>714920.17924600001</v>
      </c>
      <c r="I4" s="6">
        <f>+[1]Main!$J$5-[1]Main!$J$6</f>
        <v>-27005.1</v>
      </c>
      <c r="J4" s="6">
        <f t="shared" ref="J4:J10" si="0">H4-I4</f>
        <v>741925.27924599999</v>
      </c>
      <c r="K4" s="3" t="s">
        <v>1278</v>
      </c>
      <c r="L4" s="6">
        <f>+[1]Main!$J$3</f>
        <v>948.16999899999996</v>
      </c>
      <c r="M4" s="9">
        <v>45754</v>
      </c>
      <c r="N4" s="7">
        <f>[1]Model!$FY$101</f>
        <v>887.75663931758174</v>
      </c>
      <c r="O4" s="10">
        <f>+N4/G4-1</f>
        <v>0.17739607336549312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>H5-I5</f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153.94999999999999</v>
      </c>
      <c r="H6" s="6">
        <f>G6*[3]Main!$R$3</f>
        <v>370557.64999999997</v>
      </c>
      <c r="I6" s="6">
        <f>+[3]Main!$R$5-[3]Main!$R$6</f>
        <v>-12112</v>
      </c>
      <c r="J6" s="6">
        <f>H6-I6</f>
        <v>382669.64999999997</v>
      </c>
      <c r="K6" s="3" t="s">
        <v>1278</v>
      </c>
      <c r="L6" s="6">
        <f>+[3]Main!$R$3</f>
        <v>2407</v>
      </c>
      <c r="M6" s="9">
        <v>45764</v>
      </c>
      <c r="N6" s="7">
        <f>[3]Model!$FN$85</f>
        <v>182.665966841965</v>
      </c>
      <c r="O6" s="10">
        <f>N6/G6-1</f>
        <v>0.18652787815501792</v>
      </c>
      <c r="P6" s="10">
        <f>[3]Model!$FN$77</f>
        <v>0.01</v>
      </c>
      <c r="Q6" s="10">
        <f>[3]Model!$FN$78</f>
        <v>5.0000000000000001E-3</v>
      </c>
      <c r="R6" s="10">
        <f>[3]Model!$FN$79</f>
        <v>6.5500000000000003E-2</v>
      </c>
      <c r="AB6" s="63">
        <f>+[3]Model!$EZ$76</f>
        <v>10.082666502598578</v>
      </c>
      <c r="AC6" s="63">
        <f>+[3]Model!$FA$76</f>
        <v>9.4302222435610581</v>
      </c>
      <c r="AD6" s="63">
        <f>+[3]Model!$FB$76</f>
        <v>9.6219595012797736</v>
      </c>
      <c r="AE6">
        <v>1886</v>
      </c>
    </row>
    <row r="7" spans="1:32" x14ac:dyDescent="0.2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>H7-I7</f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>H8-I8</f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712.2625599390999</v>
      </c>
      <c r="O8" s="10">
        <f>N8/G8-1</f>
        <v>0.51609740302064688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>H9-I9</f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">
      <c r="A10" s="102" t="s">
        <v>333</v>
      </c>
      <c r="B10"/>
      <c r="C10"/>
      <c r="D10" s="1">
        <f>+D9+1</f>
        <v>6</v>
      </c>
      <c r="E10" s="5" t="s">
        <v>27</v>
      </c>
      <c r="F10" s="1" t="s">
        <v>28</v>
      </c>
      <c r="G10" s="7">
        <v>85.24</v>
      </c>
      <c r="H10" s="6">
        <f>+G10*L10</f>
        <v>215319.32909759998</v>
      </c>
      <c r="I10" s="6">
        <f>+[6]Main!$J$5-[6]Main!$J$6</f>
        <v>-22959</v>
      </c>
      <c r="J10" s="6">
        <f t="shared" si="0"/>
        <v>238278.32909759998</v>
      </c>
      <c r="K10" s="3" t="s">
        <v>1278</v>
      </c>
      <c r="L10" s="6">
        <f>+[6]Main!$J$3</f>
        <v>2526.0362399999999</v>
      </c>
      <c r="M10" s="9">
        <v>45751</v>
      </c>
      <c r="N10" s="7">
        <f>[6]Model!$EM$111</f>
        <v>97.435217423782063</v>
      </c>
      <c r="O10" s="10">
        <f>N10/G10-1</f>
        <v>0.14306918610725083</v>
      </c>
      <c r="P10" s="10">
        <f>[6]Model!$EM$107</f>
        <v>0.01</v>
      </c>
      <c r="Q10" s="10">
        <f>[6]Model!$EM$108</f>
        <v>-0.01</v>
      </c>
      <c r="R10" s="10">
        <f>[6]Model!$EM$109</f>
        <v>7.0000000000000007E-2</v>
      </c>
      <c r="AE10">
        <v>1919</v>
      </c>
    </row>
    <row r="11" spans="1:32" x14ac:dyDescent="0.2">
      <c r="A11" s="102" t="s">
        <v>333</v>
      </c>
      <c r="B11"/>
      <c r="C11"/>
      <c r="D11" s="1">
        <f>+D10+1</f>
        <v>7</v>
      </c>
      <c r="E11" s="5" t="s">
        <v>37</v>
      </c>
      <c r="F11" s="1" t="s">
        <v>38</v>
      </c>
      <c r="G11" s="7">
        <v>72.64</v>
      </c>
      <c r="H11" s="6">
        <f>+G11*L11*2</f>
        <v>226636.79999999999</v>
      </c>
      <c r="I11" s="6">
        <f>+[7]Main!$K$5-[7]Main!$K$6</f>
        <v>-26324</v>
      </c>
      <c r="J11" s="6">
        <f>H11-I11</f>
        <v>252960.8</v>
      </c>
      <c r="K11" s="3" t="s">
        <v>1071</v>
      </c>
      <c r="L11" s="6">
        <f>+[7]Main!$K$3</f>
        <v>1560</v>
      </c>
      <c r="M11" s="9">
        <v>45608</v>
      </c>
    </row>
    <row r="12" spans="1:32" x14ac:dyDescent="0.2">
      <c r="A12" s="102" t="s">
        <v>333</v>
      </c>
      <c r="B12"/>
      <c r="C12"/>
      <c r="D12" s="1">
        <f>+D11</f>
        <v>7</v>
      </c>
      <c r="E12" s="5" t="s">
        <v>37</v>
      </c>
      <c r="F12" s="1" t="s">
        <v>416</v>
      </c>
      <c r="G12" s="16">
        <v>11254</v>
      </c>
      <c r="H12" s="6">
        <f>+G12*L12/100*GBP</f>
        <v>228231.12</v>
      </c>
      <c r="I12" s="6">
        <f>+[7]Main!$K$5-[7]Main!$K$6</f>
        <v>-26324</v>
      </c>
      <c r="J12" s="6">
        <f>H12-I12</f>
        <v>254555.12</v>
      </c>
      <c r="K12" s="3" t="str">
        <f>+K11</f>
        <v>Q224</v>
      </c>
      <c r="L12" s="6">
        <f>+[7]Main!$K$3</f>
        <v>1560</v>
      </c>
      <c r="M12" s="9">
        <v>45608</v>
      </c>
      <c r="N12" s="3" t="s">
        <v>1682</v>
      </c>
      <c r="O12" s="3" t="s">
        <v>1682</v>
      </c>
      <c r="P12" s="3" t="s">
        <v>1682</v>
      </c>
      <c r="Q12" s="3" t="s">
        <v>1682</v>
      </c>
      <c r="R12" s="3" t="s">
        <v>1682</v>
      </c>
    </row>
    <row r="13" spans="1:32" x14ac:dyDescent="0.2">
      <c r="A13" s="102" t="s">
        <v>333</v>
      </c>
      <c r="B13"/>
      <c r="C13"/>
      <c r="D13" s="1">
        <f>+D12+1</f>
        <v>8</v>
      </c>
      <c r="E13" s="5" t="s">
        <v>29</v>
      </c>
      <c r="F13" s="1" t="s">
        <v>30</v>
      </c>
      <c r="G13" s="7">
        <v>110.58</v>
      </c>
      <c r="H13" s="6">
        <f>+G13*L13</f>
        <v>221079.28024913999</v>
      </c>
      <c r="I13" s="6">
        <f>+[8]Main!$K$6-[8]Main!$K$7</f>
        <v>-16296</v>
      </c>
      <c r="J13" s="6">
        <f t="shared" ref="J13:J15" si="1">H13-I13</f>
        <v>237375.28024913999</v>
      </c>
      <c r="K13" s="3" t="s">
        <v>1071</v>
      </c>
      <c r="L13" s="6">
        <f>+[8]Main!$K$4</f>
        <v>1999.270033</v>
      </c>
      <c r="M13" s="9">
        <v>45690</v>
      </c>
    </row>
    <row r="14" spans="1:32" x14ac:dyDescent="0.2">
      <c r="A14" s="102" t="s">
        <v>333</v>
      </c>
      <c r="B14"/>
      <c r="C14"/>
      <c r="D14" s="1">
        <f>+D13</f>
        <v>8</v>
      </c>
      <c r="E14" s="5" t="s">
        <v>29</v>
      </c>
      <c r="F14" t="s">
        <v>421</v>
      </c>
      <c r="G14" s="21">
        <v>97.84</v>
      </c>
      <c r="H14" s="6">
        <f>+G14*L14/CHF</f>
        <v>214954.48354804394</v>
      </c>
      <c r="I14" s="6">
        <f>+[8]Main!$K$6-[8]Main!$K$7</f>
        <v>-16296</v>
      </c>
      <c r="J14" s="6">
        <f t="shared" si="1"/>
        <v>231250.48354804394</v>
      </c>
      <c r="K14" s="3" t="s">
        <v>1071</v>
      </c>
      <c r="L14" s="6">
        <f>+[8]Main!$K$4</f>
        <v>1999.270033</v>
      </c>
      <c r="M14" s="9">
        <f>+M13</f>
        <v>45690</v>
      </c>
      <c r="N14" s="3" t="s">
        <v>1682</v>
      </c>
      <c r="O14" s="3" t="s">
        <v>1682</v>
      </c>
      <c r="P14" s="3" t="s">
        <v>1682</v>
      </c>
      <c r="Q14" s="3" t="s">
        <v>1682</v>
      </c>
      <c r="R14" s="3" t="s">
        <v>1682</v>
      </c>
    </row>
    <row r="15" spans="1:32" x14ac:dyDescent="0.2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1"/>
        <v>205002</v>
      </c>
      <c r="K15" s="3" t="s">
        <v>1277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0.10547537743756474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23.84</v>
      </c>
      <c r="H16" s="6">
        <f>+L16*G16</f>
        <v>135109.39546976</v>
      </c>
      <c r="I16" s="6">
        <f>+[11]Main!$K$5-[11]Main!$K$6</f>
        <v>-41647</v>
      </c>
      <c r="J16" s="6">
        <f>H16-I16</f>
        <v>176756.39546976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>H17-I17</f>
        <v>148361.04</v>
      </c>
      <c r="K17" s="3" t="s">
        <v>1278</v>
      </c>
      <c r="L17" s="6">
        <f>+[12]Main!$J$3</f>
        <v>1259</v>
      </c>
      <c r="M17" s="9">
        <v>45768</v>
      </c>
    </row>
    <row r="18" spans="1:31" x14ac:dyDescent="0.2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1113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>H18-I18</f>
        <v>154273.26120000001</v>
      </c>
      <c r="K18" s="3" t="s">
        <v>1071</v>
      </c>
      <c r="L18" s="6">
        <f>+[13]Main!$K$3</f>
        <v>1251</v>
      </c>
      <c r="M18" s="9">
        <v>45530</v>
      </c>
    </row>
    <row r="19" spans="1:31" x14ac:dyDescent="0.2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55</v>
      </c>
      <c r="H19" s="6">
        <f>+G19*L19*2</f>
        <v>137610</v>
      </c>
      <c r="I19" s="6">
        <f>([14]Main!$K$5-[14]Main!$K$6)*EUR</f>
        <v>-12746.130000000001</v>
      </c>
      <c r="J19" s="6">
        <f>H19-I19</f>
        <v>150356.13</v>
      </c>
      <c r="K19" s="3" t="str">
        <f>+K18</f>
        <v>Q224</v>
      </c>
      <c r="L19" s="6">
        <f>+L18</f>
        <v>1251</v>
      </c>
      <c r="M19" s="9">
        <f>+M18</f>
        <v>45530</v>
      </c>
      <c r="N19" s="3" t="s">
        <v>1682</v>
      </c>
      <c r="O19" s="3" t="s">
        <v>1682</v>
      </c>
      <c r="P19" s="3" t="s">
        <v>1682</v>
      </c>
      <c r="Q19" s="3" t="s">
        <v>1682</v>
      </c>
      <c r="R19" s="3" t="s">
        <v>1682</v>
      </c>
    </row>
    <row r="20" spans="1:31" x14ac:dyDescent="0.2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48.67</v>
      </c>
      <c r="H20" s="6">
        <f>+G20*L20</f>
        <v>98673.32331326</v>
      </c>
      <c r="I20" s="6">
        <f>+[15]Main!$K$5-[15]Main!$K$6</f>
        <v>-45379</v>
      </c>
      <c r="J20" s="6">
        <f>H20-I20</f>
        <v>144052.32331325999</v>
      </c>
      <c r="K20" s="3" t="s">
        <v>1071</v>
      </c>
      <c r="L20" s="6">
        <f>+[15]Main!$K$3</f>
        <v>2027.395178</v>
      </c>
      <c r="M20" s="9">
        <v>45578</v>
      </c>
      <c r="AE20" s="1">
        <v>1887</v>
      </c>
    </row>
    <row r="21" spans="1:31" x14ac:dyDescent="0.2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ref="J21:J28" si="2">H21-I21</f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2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2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>H24-I24</f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">
      <c r="A27" s="102" t="s">
        <v>333</v>
      </c>
      <c r="B27"/>
      <c r="C27"/>
      <c r="D27" s="1">
        <f t="shared" ref="D27:D40" si="3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">
      <c r="A28" s="102" t="s">
        <v>333</v>
      </c>
      <c r="B28"/>
      <c r="C28"/>
      <c r="D28" s="1">
        <f t="shared" si="3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 t="shared" si="2"/>
        <v>63895.5</v>
      </c>
      <c r="K28" s="3" t="s">
        <v>1071</v>
      </c>
      <c r="L28" s="3">
        <v>435</v>
      </c>
      <c r="M28" s="9">
        <v>45532</v>
      </c>
    </row>
    <row r="29" spans="1:31" x14ac:dyDescent="0.2">
      <c r="A29" s="102" t="s">
        <v>333</v>
      </c>
      <c r="B29"/>
      <c r="C29"/>
      <c r="D29" s="1">
        <f t="shared" si="3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">
      <c r="A30" s="102" t="s">
        <v>333</v>
      </c>
      <c r="B30"/>
      <c r="C30"/>
      <c r="D30" s="1">
        <f t="shared" si="3"/>
        <v>21</v>
      </c>
      <c r="E30" s="5" t="s">
        <v>51</v>
      </c>
      <c r="F30" s="1" t="s">
        <v>52</v>
      </c>
      <c r="G30" s="7">
        <v>627</v>
      </c>
      <c r="H30" s="6">
        <f>+G30*L30</f>
        <v>68546.575614000001</v>
      </c>
      <c r="I30" s="6">
        <f>+[23]Main!$J$5-[23]Main!$J$6</f>
        <v>15547</v>
      </c>
      <c r="J30" s="6">
        <f>H30-I30</f>
        <v>52999.575614000001</v>
      </c>
      <c r="K30" s="3" t="s">
        <v>1071</v>
      </c>
      <c r="L30" s="6">
        <f>+[23]Main!$J$3</f>
        <v>109.324682</v>
      </c>
      <c r="M30" s="9">
        <v>45530</v>
      </c>
      <c r="AE30" s="1">
        <v>1988</v>
      </c>
    </row>
    <row r="31" spans="1:31" x14ac:dyDescent="0.2">
      <c r="A31" s="102" t="s">
        <v>333</v>
      </c>
      <c r="B31"/>
      <c r="C31"/>
      <c r="D31" s="1">
        <f t="shared" si="3"/>
        <v>22</v>
      </c>
      <c r="E31" s="5" t="s">
        <v>264</v>
      </c>
      <c r="F31" t="s">
        <v>265</v>
      </c>
      <c r="G31" s="18">
        <v>1733.95</v>
      </c>
      <c r="H31" s="6" cm="1">
        <f t="array" ref="H31">+G31*L31/INR</f>
        <v>50390.624470018178</v>
      </c>
      <c r="I31" s="6">
        <f>([24]Main!$J$5-[24]Main!$J$6)/INR</f>
        <v>361.34100545124147</v>
      </c>
      <c r="J31" s="6">
        <f>H31-I31</f>
        <v>50029.283464566935</v>
      </c>
      <c r="K31" s="3" t="s">
        <v>1071</v>
      </c>
      <c r="L31" s="6">
        <f>+[24]Main!$J$3</f>
        <v>2399</v>
      </c>
      <c r="M31" s="9">
        <v>45537</v>
      </c>
      <c r="AE31" s="1">
        <v>1983</v>
      </c>
    </row>
    <row r="32" spans="1:31" x14ac:dyDescent="0.2">
      <c r="A32" s="102" t="s">
        <v>333</v>
      </c>
      <c r="B32"/>
      <c r="C32"/>
      <c r="D32" s="1">
        <f t="shared" si="3"/>
        <v>23</v>
      </c>
      <c r="E32" s="5" t="s">
        <v>256</v>
      </c>
      <c r="F32" t="s">
        <v>257</v>
      </c>
      <c r="G32" s="20">
        <v>1014000</v>
      </c>
      <c r="H32" s="6">
        <f>+G32*L32/KRW</f>
        <v>50363.179344033495</v>
      </c>
      <c r="I32" s="6">
        <f>([25]Main!$M$5-[25]Main!$M$6)/KRW*1000</f>
        <v>439.56163852058603</v>
      </c>
      <c r="J32" s="6">
        <f>+H32-I32</f>
        <v>49923.617705512908</v>
      </c>
      <c r="K32" s="3" t="s">
        <v>1041</v>
      </c>
      <c r="L32" s="6">
        <f>+[25]Main!$M$3</f>
        <v>71.174000000000007</v>
      </c>
      <c r="M32" s="9">
        <v>45536</v>
      </c>
    </row>
    <row r="33" spans="1:32" x14ac:dyDescent="0.2">
      <c r="A33" s="102" t="s">
        <v>333</v>
      </c>
      <c r="D33" s="1">
        <f t="shared" si="3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 t="shared" ref="J33" si="4"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">
      <c r="A34" s="102" t="s">
        <v>333</v>
      </c>
      <c r="D34" s="1">
        <f t="shared" si="3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">
      <c r="D35" s="1">
        <f t="shared" si="3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">
      <c r="A36" s="102" t="s">
        <v>333</v>
      </c>
      <c r="B36"/>
      <c r="C36"/>
      <c r="D36" s="1">
        <f t="shared" si="3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">
      <c r="A37" s="102" t="s">
        <v>333</v>
      </c>
      <c r="B37"/>
      <c r="C37"/>
      <c r="D37" s="1">
        <f t="shared" si="3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">
      <c r="A38"/>
      <c r="B38"/>
      <c r="C38"/>
      <c r="D38" s="1">
        <f t="shared" si="3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 s="102" t="s">
        <v>333</v>
      </c>
      <c r="B39"/>
      <c r="C39"/>
      <c r="D39" s="1">
        <f t="shared" si="3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">
      <c r="D40" s="1">
        <f t="shared" si="3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">
      <c r="D41" s="1">
        <f>+D40+1</f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">
      <c r="A42" s="102" t="s">
        <v>333</v>
      </c>
      <c r="D42" s="1">
        <f>+D41+1</f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">
      <c r="A43" s="102" t="s">
        <v>333</v>
      </c>
      <c r="B43"/>
      <c r="C43"/>
      <c r="D43" s="1">
        <f>+D42+1</f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">
      <c r="A44"/>
      <c r="B44"/>
      <c r="C44"/>
      <c r="D44" s="1">
        <f t="shared" ref="D44:D55" si="5">+D43+1</f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">
      <c r="A45" s="102" t="s">
        <v>333</v>
      </c>
      <c r="B45"/>
      <c r="C45"/>
      <c r="D45" s="1">
        <f>+D44+1</f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">
      <c r="A46" s="102" t="s">
        <v>333</v>
      </c>
      <c r="B46"/>
      <c r="C46"/>
      <c r="D46" s="1">
        <f>+D45+1</f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">
      <c r="A47"/>
      <c r="B47">
        <v>1</v>
      </c>
      <c r="C47">
        <v>3</v>
      </c>
      <c r="D47" s="1">
        <f>+D46+1</f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>H47-I47</f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">
      <c r="A48"/>
      <c r="B48"/>
      <c r="C48"/>
      <c r="D48" s="1">
        <f>+D47+1</f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ref="J48" si="6">H48-I48</f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">
      <c r="A49"/>
      <c r="B49"/>
      <c r="C49"/>
      <c r="D49" s="1">
        <f t="shared" si="5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ref="J49:J53" si="7">H49-I49</f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">
      <c r="A50"/>
      <c r="B50"/>
      <c r="C50"/>
      <c r="D50" s="1">
        <f t="shared" si="5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7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">
      <c r="A51"/>
      <c r="B51"/>
      <c r="C51"/>
      <c r="D51" s="1">
        <f>+D50+1</f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7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">
      <c r="A52"/>
      <c r="B52"/>
      <c r="C52"/>
      <c r="D52" s="1">
        <f t="shared" si="5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7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">
      <c r="A53" t="s">
        <v>333</v>
      </c>
      <c r="B53"/>
      <c r="C53"/>
      <c r="D53" s="1">
        <f t="shared" si="5"/>
        <v>44</v>
      </c>
      <c r="E53" s="5" t="s">
        <v>707</v>
      </c>
      <c r="F53" t="s">
        <v>708</v>
      </c>
      <c r="G53" s="7">
        <v>19.28</v>
      </c>
      <c r="H53" s="6">
        <f>+G53*L53</f>
        <v>13969.08783928</v>
      </c>
      <c r="I53" s="6">
        <f>+[44]Main!$K$5-[44]Main!$K$6</f>
        <v>225.46900000000005</v>
      </c>
      <c r="J53" s="6">
        <f t="shared" si="7"/>
        <v>13743.61883928</v>
      </c>
      <c r="K53" s="3" t="s">
        <v>1071</v>
      </c>
      <c r="L53" s="6">
        <f>+[44]Main!$K$3</f>
        <v>724.53775099999996</v>
      </c>
      <c r="M53" s="9">
        <v>45544</v>
      </c>
    </row>
    <row r="54" spans="1:32" x14ac:dyDescent="0.2">
      <c r="A54"/>
      <c r="B54"/>
      <c r="C54"/>
      <c r="D54" s="1">
        <f t="shared" si="5"/>
        <v>45</v>
      </c>
      <c r="E54" s="5" t="s">
        <v>113</v>
      </c>
      <c r="F54" s="1" t="s">
        <v>114</v>
      </c>
      <c r="G54" s="3">
        <v>14.74</v>
      </c>
      <c r="H54" s="6">
        <f>+G54*L54</f>
        <v>3795.1590509800003</v>
      </c>
      <c r="I54" s="6">
        <f>[45]Main!$L$5-[45]Main!$L$6</f>
        <v>-7952</v>
      </c>
      <c r="J54" s="6">
        <f>+H54-I54</f>
        <v>11747.159050980001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">
      <c r="D55" s="1">
        <f t="shared" si="5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">
      <c r="A57" t="s">
        <v>333</v>
      </c>
      <c r="B57"/>
      <c r="C57"/>
      <c r="D57" s="1">
        <f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">
      <c r="D58" s="1">
        <f>+D57+1</f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">
      <c r="A59"/>
      <c r="B59"/>
      <c r="C59"/>
      <c r="D59" s="1">
        <f>+D58+1</f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">
      <c r="A60"/>
      <c r="B60"/>
      <c r="C60"/>
      <c r="D60" s="1">
        <f t="shared" ref="D60:D114" si="8">+D59+1</f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">
      <c r="A61"/>
      <c r="B61"/>
      <c r="C61"/>
      <c r="D61" s="1">
        <f t="shared" si="8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 t="shared" ref="J61" si="9"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">
      <c r="D62" s="1">
        <f t="shared" si="8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">
      <c r="A63" s="89" t="s">
        <v>333</v>
      </c>
      <c r="B63"/>
      <c r="C63"/>
      <c r="D63" s="1">
        <f>+D62+1</f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">
      <c r="D64" s="1">
        <f>+D63+1</f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">
      <c r="D65" s="1">
        <f t="shared" si="8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">
      <c r="A66"/>
      <c r="B66"/>
      <c r="C66"/>
      <c r="D66" s="1">
        <f t="shared" si="8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">
      <c r="A67"/>
      <c r="B67"/>
      <c r="C67"/>
      <c r="D67" s="1">
        <f t="shared" si="8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8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">
      <c r="D69" s="1">
        <f t="shared" si="8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x14ac:dyDescent="0.2">
      <c r="D70" s="25">
        <f t="shared" si="8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" si="10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">
      <c r="D71">
        <f t="shared" si="8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>+H71-I71</f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">
      <c r="D72">
        <f t="shared" si="8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ref="J72:J87" si="11">+H72-I72</f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">
      <c r="D73" s="1">
        <f t="shared" si="8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>+H73-I73</f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">
      <c r="A74" t="s">
        <v>333</v>
      </c>
      <c r="B74"/>
      <c r="C74"/>
      <c r="D74" s="1">
        <f t="shared" si="8"/>
        <v>64</v>
      </c>
      <c r="E74" s="5" t="s">
        <v>130</v>
      </c>
      <c r="F74" s="1" t="s">
        <v>131</v>
      </c>
      <c r="G74" s="3">
        <v>27.9</v>
      </c>
      <c r="H74" s="6">
        <f t="shared" ref="H74:H80" si="12">+G74*L74</f>
        <v>3805.9901621999993</v>
      </c>
      <c r="I74" s="6">
        <f>+[64]Main!$N$5-[64]Main!$N$6</f>
        <v>-3514.8</v>
      </c>
      <c r="J74" s="6">
        <f>+H74-I74</f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s="34" customFormat="1" x14ac:dyDescent="0.2">
      <c r="A75" s="34" t="s">
        <v>333</v>
      </c>
      <c r="D75" s="34">
        <f t="shared" si="8"/>
        <v>65</v>
      </c>
      <c r="E75" s="59" t="s">
        <v>128</v>
      </c>
      <c r="F75" s="34" t="s">
        <v>129</v>
      </c>
      <c r="G75" s="35">
        <v>131</v>
      </c>
      <c r="H75" s="36">
        <f t="shared" si="12"/>
        <v>13842.367175000001</v>
      </c>
      <c r="I75" s="36">
        <f>+[65]Main!$L$5-[65]Main!$L$6</f>
        <v>1024.6570000000002</v>
      </c>
      <c r="J75" s="36">
        <f>+H75-I75</f>
        <v>12817.710175</v>
      </c>
      <c r="K75" s="60" t="s">
        <v>1071</v>
      </c>
      <c r="L75" s="36">
        <f>+[65]Main!$L$3</f>
        <v>105.66692500000001</v>
      </c>
      <c r="M75" s="61">
        <v>45545</v>
      </c>
      <c r="N75" s="60"/>
      <c r="O75" s="60"/>
      <c r="P75" s="60"/>
      <c r="Q75" s="60"/>
      <c r="R75" s="60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2" x14ac:dyDescent="0.2">
      <c r="D76" s="1">
        <f>+D75+1</f>
        <v>66</v>
      </c>
      <c r="E76" s="5" t="s">
        <v>126</v>
      </c>
      <c r="F76" s="1" t="s">
        <v>127</v>
      </c>
      <c r="G76" s="7">
        <v>63.33</v>
      </c>
      <c r="H76" s="6">
        <f>+G76*L76</f>
        <v>6039.5499322199994</v>
      </c>
      <c r="I76" s="6">
        <f>+[66]Main!$L$5-[66]Main!$L$6</f>
        <v>234.15900000000011</v>
      </c>
      <c r="J76" s="6">
        <f>+H76-I76</f>
        <v>5805.3909322199997</v>
      </c>
      <c r="K76" s="3" t="s">
        <v>1071</v>
      </c>
      <c r="L76" s="6">
        <f>+[66]Main!$L$3</f>
        <v>95.366333999999995</v>
      </c>
      <c r="M76" s="9">
        <v>45738</v>
      </c>
    </row>
    <row r="77" spans="1:32" x14ac:dyDescent="0.2">
      <c r="D77" s="1">
        <f>+D76+1</f>
        <v>67</v>
      </c>
      <c r="E77" s="5" t="s">
        <v>685</v>
      </c>
      <c r="F77" t="s">
        <v>686</v>
      </c>
      <c r="G77" s="7">
        <v>40.200000000000003</v>
      </c>
      <c r="H77" s="6">
        <f t="shared" si="12"/>
        <v>4729.9150356</v>
      </c>
      <c r="I77" s="6">
        <f>+[67]Main!$K$5-[67]Main!$K$6</f>
        <v>707.18499999999995</v>
      </c>
      <c r="J77" s="6">
        <f>+H77-I77</f>
        <v>4022.7300356000001</v>
      </c>
      <c r="K77" s="3" t="s">
        <v>1071</v>
      </c>
      <c r="L77" s="6">
        <f>+[67]Main!$K$3</f>
        <v>117.659578</v>
      </c>
      <c r="M77" s="9">
        <v>45570</v>
      </c>
    </row>
    <row r="78" spans="1:32" x14ac:dyDescent="0.2">
      <c r="D78" s="1">
        <f>+D77+1</f>
        <v>68</v>
      </c>
      <c r="E78" s="5" t="s">
        <v>121</v>
      </c>
      <c r="F78" s="1" t="s">
        <v>122</v>
      </c>
      <c r="G78" s="7">
        <v>36</v>
      </c>
      <c r="H78" s="6">
        <f t="shared" si="12"/>
        <v>10269.062100000001</v>
      </c>
      <c r="I78" s="6">
        <f>+[68]Main!$M$5-[68]Main!$M$6</f>
        <v>1434.3040000000001</v>
      </c>
      <c r="J78" s="6">
        <f t="shared" si="11"/>
        <v>8834.7581000000009</v>
      </c>
      <c r="K78" s="3" t="s">
        <v>1071</v>
      </c>
      <c r="L78" s="6">
        <f>+[68]Main!$M$3</f>
        <v>285.25172500000002</v>
      </c>
      <c r="M78" s="9">
        <v>45540</v>
      </c>
    </row>
    <row r="79" spans="1:32" x14ac:dyDescent="0.2">
      <c r="D79" s="1">
        <f t="shared" si="8"/>
        <v>69</v>
      </c>
      <c r="E79" s="5" t="s">
        <v>697</v>
      </c>
      <c r="F79" t="s">
        <v>698</v>
      </c>
      <c r="G79" s="54">
        <v>34.42</v>
      </c>
      <c r="H79" s="30">
        <f>+G79*L79</f>
        <v>6456.7101200000006</v>
      </c>
      <c r="I79" s="30">
        <f>+[69]Main!$N$5-[69]Main!$N$6</f>
        <v>-1130.3990000000001</v>
      </c>
      <c r="J79" s="30">
        <f t="shared" ref="J79:J86" si="13">+H79-I79</f>
        <v>7587.109120000001</v>
      </c>
      <c r="K79" s="28" t="s">
        <v>1071</v>
      </c>
      <c r="L79" s="30">
        <f>+[69]Main!$N$3</f>
        <v>187.58600000000001</v>
      </c>
      <c r="M79" s="37">
        <v>45579</v>
      </c>
    </row>
    <row r="80" spans="1:32" x14ac:dyDescent="0.2">
      <c r="A80"/>
      <c r="B80"/>
      <c r="C80"/>
      <c r="D80" s="1">
        <f>+D79+1</f>
        <v>70</v>
      </c>
      <c r="E80" s="5" t="s">
        <v>151</v>
      </c>
      <c r="F80" s="1" t="s">
        <v>152</v>
      </c>
      <c r="G80" s="3">
        <v>86.95</v>
      </c>
      <c r="H80" s="6">
        <f t="shared" si="12"/>
        <v>5465.1553000000004</v>
      </c>
      <c r="I80" s="6">
        <f>+[70]Main!$K$5-[70]Main!$K$6</f>
        <v>481.55700000000002</v>
      </c>
      <c r="J80" s="6">
        <f t="shared" si="13"/>
        <v>4983.5983000000006</v>
      </c>
      <c r="K80" s="3" t="s">
        <v>1071</v>
      </c>
      <c r="L80" s="6">
        <f>+[70]Main!$K$3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8"/>
        <v>71</v>
      </c>
      <c r="E81" s="5" t="s">
        <v>680</v>
      </c>
      <c r="F81" t="s">
        <v>1826</v>
      </c>
      <c r="G81" s="7">
        <v>28.8</v>
      </c>
      <c r="H81" s="6">
        <f>+G81*L81/DKK</f>
        <v>4047.1815218931561</v>
      </c>
      <c r="I81" s="6">
        <f>([71]Main!$K$5-[71]Main!$K$6)/DKK</f>
        <v>356.95054555760237</v>
      </c>
      <c r="J81" s="6">
        <f t="shared" si="13"/>
        <v>3690.2309763355538</v>
      </c>
      <c r="K81" s="3" t="s">
        <v>1071</v>
      </c>
      <c r="L81" s="6">
        <f>+[71]Main!$K$3</f>
        <v>991.7</v>
      </c>
      <c r="M81" s="9">
        <v>45581</v>
      </c>
    </row>
    <row r="82" spans="1:32" x14ac:dyDescent="0.2">
      <c r="A82" s="1" t="s">
        <v>333</v>
      </c>
      <c r="D82" s="1">
        <f t="shared" si="8"/>
        <v>72</v>
      </c>
      <c r="E82" s="5" t="s">
        <v>804</v>
      </c>
      <c r="F82" t="s">
        <v>805</v>
      </c>
      <c r="G82" s="3">
        <v>19.350000000000001</v>
      </c>
      <c r="H82" s="6">
        <f t="shared" ref="H82:H88" si="14">+G82*L82</f>
        <v>4682.7000000000007</v>
      </c>
      <c r="I82" s="6">
        <f>+[72]Main!$L$5-[72]Main!$L$6</f>
        <v>-43</v>
      </c>
      <c r="J82" s="6">
        <f t="shared" si="13"/>
        <v>4725.7000000000007</v>
      </c>
      <c r="K82" s="3" t="s">
        <v>1071</v>
      </c>
      <c r="L82" s="6">
        <f>+[72]Main!$L$3</f>
        <v>242</v>
      </c>
      <c r="M82" s="9">
        <v>45566</v>
      </c>
    </row>
    <row r="83" spans="1:32" x14ac:dyDescent="0.2">
      <c r="D83" s="1">
        <f>+D82+1</f>
        <v>73</v>
      </c>
      <c r="E83" s="5" t="s">
        <v>117</v>
      </c>
      <c r="F83" s="1" t="s">
        <v>118</v>
      </c>
      <c r="G83" s="7">
        <v>33.270000000000003</v>
      </c>
      <c r="H83" s="6">
        <f>+G83*L83</f>
        <v>6075.1711017900006</v>
      </c>
      <c r="I83" s="6">
        <f>+[73]Main!$K$5-[73]Main!$K$6</f>
        <v>1008.441</v>
      </c>
      <c r="J83" s="6">
        <f>+H83-I83</f>
        <v>5066.7301017900008</v>
      </c>
      <c r="K83" s="3" t="s">
        <v>1071</v>
      </c>
      <c r="L83" s="6">
        <f>+[73]Main!$K$3</f>
        <v>182.60207700000001</v>
      </c>
      <c r="M83" s="9">
        <v>45574</v>
      </c>
    </row>
    <row r="84" spans="1:32" x14ac:dyDescent="0.2">
      <c r="A84"/>
      <c r="B84"/>
      <c r="C84"/>
      <c r="D84" s="1">
        <f>+D83+1</f>
        <v>74</v>
      </c>
      <c r="E84" s="5" t="s">
        <v>197</v>
      </c>
      <c r="F84" s="1" t="s">
        <v>198</v>
      </c>
      <c r="G84" s="7">
        <v>177</v>
      </c>
      <c r="H84" s="6">
        <f t="shared" si="14"/>
        <v>5090.6169959999997</v>
      </c>
      <c r="I84" s="6">
        <f>+[74]Main!$K$5-[74]Main!$K$6</f>
        <v>694.2120000000001</v>
      </c>
      <c r="J84" s="6">
        <f>+H84-I84</f>
        <v>4396.4049959999993</v>
      </c>
      <c r="K84" s="3" t="s">
        <v>1277</v>
      </c>
      <c r="L84" s="6">
        <f>+[74]Main!$K$3</f>
        <v>28.760548</v>
      </c>
      <c r="M84" s="9">
        <v>45631</v>
      </c>
    </row>
    <row r="85" spans="1:32" x14ac:dyDescent="0.2">
      <c r="A85" t="s">
        <v>333</v>
      </c>
      <c r="B85"/>
      <c r="C85"/>
      <c r="D85" s="1">
        <f t="shared" si="8"/>
        <v>75</v>
      </c>
      <c r="E85" s="5" t="s">
        <v>86</v>
      </c>
      <c r="F85" s="1" t="s">
        <v>87</v>
      </c>
      <c r="G85" s="7">
        <v>20.46</v>
      </c>
      <c r="H85" s="6">
        <f t="shared" si="14"/>
        <v>2067.5831517000001</v>
      </c>
      <c r="I85" s="6">
        <f>+[75]Main!$L$5-[75]Main!$L$6</f>
        <v>489</v>
      </c>
      <c r="J85" s="6">
        <f t="shared" si="13"/>
        <v>1578.5831517000001</v>
      </c>
      <c r="K85" s="3" t="s">
        <v>1071</v>
      </c>
      <c r="L85" s="6">
        <f>+[75]Main!$L$3</f>
        <v>101.054895</v>
      </c>
      <c r="M85" s="9">
        <v>45583</v>
      </c>
    </row>
    <row r="86" spans="1:32" x14ac:dyDescent="0.2">
      <c r="A86"/>
      <c r="B86"/>
      <c r="C86"/>
      <c r="D86" s="1">
        <f t="shared" si="8"/>
        <v>76</v>
      </c>
      <c r="E86" s="5" t="s">
        <v>678</v>
      </c>
      <c r="F86" t="s">
        <v>679</v>
      </c>
      <c r="G86" s="7">
        <v>325</v>
      </c>
      <c r="H86" s="6">
        <f t="shared" si="14"/>
        <v>7056.6200250000002</v>
      </c>
      <c r="I86" s="6">
        <f>+[76]Main!$M$5-[76]Main!$M$6</f>
        <v>946.1869999999999</v>
      </c>
      <c r="J86" s="6">
        <f t="shared" si="13"/>
        <v>6110.4330250000003</v>
      </c>
      <c r="K86" s="3" t="s">
        <v>1071</v>
      </c>
      <c r="L86" s="6">
        <f>+[76]Main!$M$3</f>
        <v>21.712676999999999</v>
      </c>
      <c r="M86" s="9">
        <v>45556</v>
      </c>
    </row>
    <row r="87" spans="1:32" x14ac:dyDescent="0.2">
      <c r="A87" t="s">
        <v>333</v>
      </c>
      <c r="B87"/>
      <c r="C87"/>
      <c r="D87" s="1">
        <f t="shared" si="8"/>
        <v>77</v>
      </c>
      <c r="E87" s="5" t="s">
        <v>430</v>
      </c>
      <c r="F87" t="s">
        <v>431</v>
      </c>
      <c r="G87" s="7">
        <v>115.95</v>
      </c>
      <c r="H87" s="6">
        <f t="shared" si="14"/>
        <v>5616.1667226</v>
      </c>
      <c r="I87" s="6">
        <f>+[77]Main!$L$5-[77]Main!$L$6</f>
        <v>206.86999999999998</v>
      </c>
      <c r="J87" s="6">
        <f t="shared" si="11"/>
        <v>5409.2967226000001</v>
      </c>
      <c r="K87" s="3" t="s">
        <v>1071</v>
      </c>
      <c r="L87" s="6">
        <f>+[77]Main!$L$3</f>
        <v>48.436107999999997</v>
      </c>
      <c r="M87" s="9">
        <v>45540</v>
      </c>
    </row>
    <row r="88" spans="1:32" x14ac:dyDescent="0.2">
      <c r="A88"/>
      <c r="B88"/>
      <c r="C88"/>
      <c r="D88" s="1">
        <f t="shared" si="8"/>
        <v>78</v>
      </c>
      <c r="E88" s="14" t="s">
        <v>53</v>
      </c>
      <c r="F88" s="1" t="s">
        <v>54</v>
      </c>
      <c r="G88" s="7">
        <v>28.15</v>
      </c>
      <c r="H88" s="6">
        <f t="shared" si="14"/>
        <v>10832.62137965</v>
      </c>
      <c r="I88" s="6">
        <f>+[78]Main!$K$5-[78]Main!$K$6</f>
        <v>9519</v>
      </c>
      <c r="J88" s="6">
        <f>H88-I88</f>
        <v>1313.6213796499997</v>
      </c>
      <c r="K88" s="3" t="s">
        <v>1278</v>
      </c>
      <c r="L88" s="6">
        <f>+[78]Main!$K$3</f>
        <v>384.81781100000001</v>
      </c>
      <c r="M88" s="9">
        <v>45707</v>
      </c>
      <c r="AF88" s="1" t="s">
        <v>608</v>
      </c>
    </row>
    <row r="89" spans="1:32" x14ac:dyDescent="0.2">
      <c r="A89" t="s">
        <v>333</v>
      </c>
      <c r="B89"/>
      <c r="C89"/>
      <c r="D89" s="1">
        <f t="shared" si="8"/>
        <v>79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+[79]Main!$L$5-[79]Main!$L$6</f>
        <v>673.06</v>
      </c>
      <c r="J89" s="6">
        <f t="shared" ref="J89:J94" si="15">+H89-I89</f>
        <v>4693.4808421100006</v>
      </c>
      <c r="K89" s="3" t="s">
        <v>1071</v>
      </c>
      <c r="L89" s="6">
        <f>+[79]Main!$L$3</f>
        <v>164.668329</v>
      </c>
      <c r="M89" s="9">
        <v>45540</v>
      </c>
    </row>
    <row r="90" spans="1:32" x14ac:dyDescent="0.2">
      <c r="D90" s="1">
        <f t="shared" si="8"/>
        <v>80</v>
      </c>
      <c r="E90" s="43" t="s">
        <v>335</v>
      </c>
      <c r="F90" s="25" t="s">
        <v>336</v>
      </c>
      <c r="G90" s="47">
        <v>61.31</v>
      </c>
      <c r="H90" s="27">
        <f>+G90*L90</f>
        <v>3295.7606794900003</v>
      </c>
      <c r="I90" s="27">
        <f>+[80]Main!$K$5-[80]Main!$K$6</f>
        <v>649.44200000000001</v>
      </c>
      <c r="J90" s="27">
        <f t="shared" si="15"/>
        <v>2646.3186794900002</v>
      </c>
      <c r="K90" s="26" t="s">
        <v>1071</v>
      </c>
      <c r="L90" s="27">
        <f>+[80]Main!$K$3</f>
        <v>53.755679000000001</v>
      </c>
      <c r="M90" s="44">
        <v>45591</v>
      </c>
    </row>
    <row r="91" spans="1:32" x14ac:dyDescent="0.2">
      <c r="A91" s="1" t="s">
        <v>333</v>
      </c>
      <c r="D91" s="1">
        <f t="shared" si="8"/>
        <v>81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+[81]Main!$J$5-[81]Main!$J$6</f>
        <v>115.66200000000001</v>
      </c>
      <c r="J91" s="6">
        <f t="shared" si="15"/>
        <v>5628.2763826999999</v>
      </c>
      <c r="K91" s="3" t="s">
        <v>1071</v>
      </c>
      <c r="L91" s="6">
        <f>+[81]Main!$J$3</f>
        <v>154.823137</v>
      </c>
      <c r="M91" s="9">
        <v>45580</v>
      </c>
    </row>
    <row r="92" spans="1:32" x14ac:dyDescent="0.2">
      <c r="D92" s="1">
        <f t="shared" si="8"/>
        <v>82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+[82]Main!$J$5-[82]Main!$J$6</f>
        <v>-984</v>
      </c>
      <c r="J92" s="6">
        <f t="shared" si="15"/>
        <v>3298.8682848000003</v>
      </c>
      <c r="K92" s="3" t="s">
        <v>1278</v>
      </c>
      <c r="L92" s="6">
        <f>+[82]Main!$J$3</f>
        <v>267.92457000000002</v>
      </c>
      <c r="M92" s="9">
        <v>45761</v>
      </c>
    </row>
    <row r="93" spans="1:32" x14ac:dyDescent="0.2">
      <c r="D93" s="1">
        <f t="shared" si="8"/>
        <v>83</v>
      </c>
      <c r="E93" s="5" t="s">
        <v>788</v>
      </c>
      <c r="F93" t="s">
        <v>1174</v>
      </c>
      <c r="G93" s="7">
        <v>29.13</v>
      </c>
      <c r="H93" s="6">
        <f>+G93*L93</f>
        <v>3411.7462946099999</v>
      </c>
      <c r="I93" s="6">
        <f>+[83]Main!$L$5-[83]Main!$L$6</f>
        <v>1590.0459999999998</v>
      </c>
      <c r="J93" s="6">
        <f t="shared" si="15"/>
        <v>1821.7002946100001</v>
      </c>
      <c r="K93" s="3" t="s">
        <v>1071</v>
      </c>
      <c r="L93" s="6">
        <f>+[83]Main!$L$3</f>
        <v>117.121397</v>
      </c>
      <c r="M93" s="9">
        <v>45558</v>
      </c>
    </row>
    <row r="94" spans="1:32" x14ac:dyDescent="0.2">
      <c r="A94" t="s">
        <v>333</v>
      </c>
      <c r="B94"/>
      <c r="C94"/>
      <c r="D94" s="1">
        <f t="shared" si="8"/>
        <v>84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+[84]Main!$L$5-[84]Main!$L$6</f>
        <v>-96.746999999999957</v>
      </c>
      <c r="J94" s="6">
        <f t="shared" si="15"/>
        <v>2780.4768691199997</v>
      </c>
      <c r="K94" s="3" t="s">
        <v>1071</v>
      </c>
      <c r="L94" s="6">
        <f>[84]Main!$L$3</f>
        <v>121.766328</v>
      </c>
      <c r="M94" s="9">
        <v>45540</v>
      </c>
      <c r="AE94" s="1">
        <v>2009</v>
      </c>
      <c r="AF94" s="1" t="s">
        <v>995</v>
      </c>
    </row>
    <row r="95" spans="1:32" x14ac:dyDescent="0.2">
      <c r="A95"/>
      <c r="B95"/>
      <c r="C95"/>
      <c r="D95" s="1">
        <f t="shared" si="8"/>
        <v>85</v>
      </c>
      <c r="E95" s="5" t="s">
        <v>406</v>
      </c>
      <c r="F95" t="s">
        <v>407</v>
      </c>
      <c r="G95" s="19">
        <v>3.14</v>
      </c>
      <c r="H95" s="6">
        <f>+G95*L95/HKD</f>
        <v>7410.5214572128207</v>
      </c>
      <c r="I95" s="6">
        <f>([85]Main!$K$5-[85]Main!$K$6)/HKD</f>
        <v>3986.4565384615375</v>
      </c>
      <c r="J95" s="6">
        <f t="shared" ref="J95" si="16">H95-I95</f>
        <v>3424.0649187512831</v>
      </c>
      <c r="K95" s="3" t="s">
        <v>1071</v>
      </c>
      <c r="L95" s="6">
        <f>+[85]Main!$K$3</f>
        <v>18408.301708999999</v>
      </c>
      <c r="M95" s="9">
        <v>45539</v>
      </c>
    </row>
    <row r="96" spans="1:32" x14ac:dyDescent="0.2">
      <c r="A96" t="s">
        <v>333</v>
      </c>
      <c r="B96"/>
      <c r="C96"/>
      <c r="D96" s="1">
        <f t="shared" si="8"/>
        <v>86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+[86]Main!$M$5-[86]Main!$M$6</f>
        <v>-128.87700000000001</v>
      </c>
      <c r="J96" s="6">
        <f t="shared" ref="J96:J101" si="17">+H96-I96</f>
        <v>3222.32041033</v>
      </c>
      <c r="K96" s="3" t="s">
        <v>1071</v>
      </c>
      <c r="L96" s="6">
        <f>+[86]Main!$M$3</f>
        <v>296.59093100000001</v>
      </c>
      <c r="M96" s="9">
        <v>45580</v>
      </c>
    </row>
    <row r="97" spans="1:31" x14ac:dyDescent="0.2">
      <c r="A97"/>
      <c r="B97"/>
      <c r="C97"/>
      <c r="D97" s="1">
        <f t="shared" si="8"/>
        <v>87</v>
      </c>
      <c r="E97" s="5" t="s">
        <v>349</v>
      </c>
      <c r="F97" t="s">
        <v>690</v>
      </c>
      <c r="G97" s="3">
        <v>12.01</v>
      </c>
      <c r="H97" s="6">
        <f>+G97*L97</f>
        <v>8881.6571062399998</v>
      </c>
      <c r="I97" s="6">
        <f>+[87]Main!$K$5-[87]Main!$K$6</f>
        <v>5617.777</v>
      </c>
      <c r="J97" s="6">
        <f t="shared" si="17"/>
        <v>3263.8801062399998</v>
      </c>
      <c r="K97" s="3" t="s">
        <v>1071</v>
      </c>
      <c r="L97" s="6">
        <f>+[87]Main!$K$3</f>
        <v>739.52182400000004</v>
      </c>
      <c r="M97" s="9">
        <v>45540</v>
      </c>
    </row>
    <row r="98" spans="1:31" x14ac:dyDescent="0.2">
      <c r="A98" t="s">
        <v>333</v>
      </c>
      <c r="B98"/>
      <c r="C98"/>
      <c r="D98" s="1">
        <f t="shared" si="8"/>
        <v>88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+[88]Main!$L$5-[88]Main!$L$6</f>
        <v>1071.1729999999998</v>
      </c>
      <c r="J98" s="6">
        <f>+H98-I98</f>
        <v>1978.2084795799997</v>
      </c>
      <c r="K98" s="3" t="s">
        <v>1277</v>
      </c>
      <c r="L98" s="6">
        <f>+[88]Main!$L$3</f>
        <v>78.958608999999996</v>
      </c>
      <c r="M98" s="9">
        <v>45684</v>
      </c>
    </row>
    <row r="99" spans="1:31" x14ac:dyDescent="0.2">
      <c r="A99" t="s">
        <v>333</v>
      </c>
      <c r="B99"/>
      <c r="C99"/>
      <c r="D99" s="1">
        <f t="shared" si="8"/>
        <v>89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[89]Main!$K$5-[89]Main!$K$6</f>
        <v>1347.038</v>
      </c>
      <c r="J99" s="6">
        <f t="shared" si="17"/>
        <v>2925.5480572500005</v>
      </c>
      <c r="K99" s="3" t="s">
        <v>1071</v>
      </c>
      <c r="L99" s="6">
        <f>[89]Main!$K$3</f>
        <v>169.21132900000001</v>
      </c>
      <c r="M99" s="9">
        <v>45545</v>
      </c>
    </row>
    <row r="100" spans="1:31" x14ac:dyDescent="0.2">
      <c r="A100" s="1" t="s">
        <v>333</v>
      </c>
      <c r="D100" s="1">
        <f t="shared" si="8"/>
        <v>90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+[90]Main!$L$5-[90]Main!$L$6</f>
        <v>568.66099999999994</v>
      </c>
      <c r="J100" s="6">
        <f t="shared" si="17"/>
        <v>2991.3389999999999</v>
      </c>
      <c r="K100" s="3" t="s">
        <v>1041</v>
      </c>
      <c r="L100" s="6">
        <f>[90]Main!$L$3</f>
        <v>83.133341000000001</v>
      </c>
      <c r="M100" s="9">
        <v>45571</v>
      </c>
    </row>
    <row r="101" spans="1:31" x14ac:dyDescent="0.2">
      <c r="A101" t="s">
        <v>333</v>
      </c>
      <c r="B101"/>
      <c r="C101"/>
      <c r="D101" s="1">
        <f t="shared" si="8"/>
        <v>91</v>
      </c>
      <c r="E101" s="5" t="s">
        <v>211</v>
      </c>
      <c r="F101" s="1" t="s">
        <v>212</v>
      </c>
      <c r="G101" s="7">
        <v>3.52</v>
      </c>
      <c r="H101" s="6">
        <f t="shared" ref="H101:H105" si="18">+G101*L101</f>
        <v>2451.7976313599997</v>
      </c>
      <c r="I101" s="6">
        <f>+[91]Main!$J$5-[91]Main!$J$6</f>
        <v>-474.93899999999996</v>
      </c>
      <c r="J101" s="6">
        <f t="shared" si="17"/>
        <v>2926.7366313599996</v>
      </c>
      <c r="K101" s="3" t="s">
        <v>1071</v>
      </c>
      <c r="L101" s="6">
        <f>+[91]Main!$J$3</f>
        <v>696.53341799999998</v>
      </c>
      <c r="M101" s="9">
        <v>45572</v>
      </c>
    </row>
    <row r="102" spans="1:31" x14ac:dyDescent="0.2">
      <c r="D102" s="1">
        <f t="shared" si="8"/>
        <v>92</v>
      </c>
      <c r="E102" s="40" t="s">
        <v>1162</v>
      </c>
      <c r="F102" t="s">
        <v>1163</v>
      </c>
      <c r="G102" s="7">
        <v>65</v>
      </c>
      <c r="H102" s="6">
        <f>+G102*L102</f>
        <v>2970.747715</v>
      </c>
      <c r="I102" s="6">
        <f>+[92]Main!$J$5-[92]Main!$J$6</f>
        <v>268.82000000000005</v>
      </c>
      <c r="J102" s="6">
        <f t="shared" ref="J102:J107" si="19">+H102-I102</f>
        <v>2701.9277149999998</v>
      </c>
      <c r="K102" s="3" t="s">
        <v>1278</v>
      </c>
      <c r="L102" s="6">
        <f>+[92]Main!$J$3</f>
        <v>45.703811000000002</v>
      </c>
      <c r="M102" s="9">
        <v>45546</v>
      </c>
      <c r="AE102" s="1">
        <v>1999</v>
      </c>
    </row>
    <row r="103" spans="1:31" x14ac:dyDescent="0.2">
      <c r="A103"/>
      <c r="B103"/>
      <c r="C103"/>
      <c r="D103" s="1">
        <f t="shared" si="8"/>
        <v>93</v>
      </c>
      <c r="E103" s="5" t="s">
        <v>1291</v>
      </c>
      <c r="F103" t="s">
        <v>1292</v>
      </c>
      <c r="G103" s="7">
        <v>35</v>
      </c>
      <c r="H103" s="6">
        <f t="shared" si="18"/>
        <v>2801.12</v>
      </c>
      <c r="I103" s="6">
        <f>+[93]Main!$K$5-[93]Main!$K$6</f>
        <v>140.42099999999999</v>
      </c>
      <c r="J103" s="6">
        <f t="shared" si="19"/>
        <v>2660.6990000000001</v>
      </c>
      <c r="K103" s="3" t="s">
        <v>1071</v>
      </c>
      <c r="L103" s="6">
        <f>+[93]Main!$K$3</f>
        <v>80.031999999999996</v>
      </c>
      <c r="M103" s="9">
        <v>45572</v>
      </c>
    </row>
    <row r="104" spans="1:31" x14ac:dyDescent="0.2">
      <c r="A104" t="s">
        <v>333</v>
      </c>
      <c r="B104"/>
      <c r="C104"/>
      <c r="D104" s="1">
        <f t="shared" si="8"/>
        <v>94</v>
      </c>
      <c r="E104" s="5" t="s">
        <v>203</v>
      </c>
      <c r="F104" s="1" t="s">
        <v>204</v>
      </c>
      <c r="G104" s="3">
        <v>46.29</v>
      </c>
      <c r="H104" s="6">
        <f t="shared" si="18"/>
        <v>2253.2038003799998</v>
      </c>
      <c r="I104" s="6">
        <f>+[94]Main!$L$5-[94]Main!$L$6</f>
        <v>-356.94799999999998</v>
      </c>
      <c r="J104" s="6">
        <f t="shared" si="19"/>
        <v>2610.1518003799997</v>
      </c>
      <c r="K104" s="3" t="s">
        <v>1071</v>
      </c>
      <c r="L104" s="6">
        <f>+[94]Main!$L$3</f>
        <v>48.675821999999997</v>
      </c>
      <c r="M104" s="9">
        <v>45576</v>
      </c>
    </row>
    <row r="105" spans="1:31" x14ac:dyDescent="0.2">
      <c r="A105" t="s">
        <v>333</v>
      </c>
      <c r="B105"/>
      <c r="C105"/>
      <c r="D105" s="1">
        <f t="shared" si="8"/>
        <v>95</v>
      </c>
      <c r="E105" s="5" t="s">
        <v>848</v>
      </c>
      <c r="F105" t="s">
        <v>849</v>
      </c>
      <c r="G105" s="3">
        <v>29.07</v>
      </c>
      <c r="H105" s="6">
        <f t="shared" si="18"/>
        <v>2725.96041216</v>
      </c>
      <c r="I105" s="6">
        <f>+[95]Main!$J$5-[95]Main!$J$6</f>
        <v>511.75100000000003</v>
      </c>
      <c r="J105" s="6">
        <f t="shared" si="19"/>
        <v>2214.2094121599998</v>
      </c>
      <c r="K105" s="3" t="s">
        <v>1071</v>
      </c>
      <c r="L105" s="6">
        <f>+[95]Main!$J$3</f>
        <v>93.772288000000003</v>
      </c>
      <c r="M105" s="9">
        <v>45554</v>
      </c>
    </row>
    <row r="106" spans="1:31" x14ac:dyDescent="0.2">
      <c r="A106"/>
      <c r="B106"/>
      <c r="C106"/>
      <c r="D106" s="1">
        <f t="shared" si="8"/>
        <v>96</v>
      </c>
      <c r="E106" s="5" t="s">
        <v>119</v>
      </c>
      <c r="F106" s="1" t="s">
        <v>120</v>
      </c>
      <c r="G106" s="7">
        <v>47</v>
      </c>
      <c r="H106" s="6">
        <f>G106*L106</f>
        <v>4002.9034260000003</v>
      </c>
      <c r="I106" s="6">
        <f>[96]Main!$L$5-[96]Main!$L$6</f>
        <v>2012.8349999999998</v>
      </c>
      <c r="J106" s="6">
        <f t="shared" si="19"/>
        <v>1990.0684260000005</v>
      </c>
      <c r="K106" s="3" t="s">
        <v>1071</v>
      </c>
      <c r="L106" s="6">
        <f>[96]Main!$L$3</f>
        <v>85.168158000000005</v>
      </c>
      <c r="M106" s="9">
        <v>45565</v>
      </c>
    </row>
    <row r="107" spans="1:31" x14ac:dyDescent="0.2">
      <c r="A107" t="s">
        <v>333</v>
      </c>
      <c r="B107"/>
      <c r="C107"/>
      <c r="D107" s="1">
        <f t="shared" si="8"/>
        <v>97</v>
      </c>
      <c r="E107" s="5" t="s">
        <v>711</v>
      </c>
      <c r="F107" t="s">
        <v>712</v>
      </c>
      <c r="G107" s="7">
        <v>38</v>
      </c>
      <c r="H107" s="6">
        <f>+G107*L107</f>
        <v>2238.3742299999999</v>
      </c>
      <c r="I107" s="6">
        <f>+[97]Main!$L$5-[97]Main!$L$6</f>
        <v>595.44399999999996</v>
      </c>
      <c r="J107" s="6">
        <f t="shared" si="19"/>
        <v>1642.9302299999999</v>
      </c>
      <c r="K107" s="3" t="s">
        <v>1071</v>
      </c>
      <c r="L107" s="6">
        <f>+[97]Main!$L$3</f>
        <v>58.904584999999997</v>
      </c>
      <c r="M107" s="9">
        <v>45553</v>
      </c>
    </row>
    <row r="108" spans="1:31" x14ac:dyDescent="0.2">
      <c r="A108" t="s">
        <v>333</v>
      </c>
      <c r="B108"/>
      <c r="C108"/>
      <c r="D108" s="1">
        <f t="shared" si="8"/>
        <v>98</v>
      </c>
      <c r="E108" s="5" t="s">
        <v>124</v>
      </c>
      <c r="F108" s="1" t="s">
        <v>125</v>
      </c>
      <c r="G108" s="3">
        <v>16.22</v>
      </c>
      <c r="H108" s="6">
        <f>+G108*L108</f>
        <v>2695.3422799999998</v>
      </c>
      <c r="I108" s="6">
        <f>+[98]Main!$K$5-[98]Main!$K$6</f>
        <v>501</v>
      </c>
      <c r="J108" s="6">
        <f t="shared" ref="J108:J120" si="20">+H108-I108</f>
        <v>2194.3422799999998</v>
      </c>
      <c r="K108" s="3" t="s">
        <v>1071</v>
      </c>
      <c r="L108" s="6">
        <f>+[98]Main!$K$3</f>
        <v>166.17400000000001</v>
      </c>
      <c r="M108" s="9">
        <v>45541</v>
      </c>
    </row>
    <row r="109" spans="1:31" x14ac:dyDescent="0.2">
      <c r="A109" t="s">
        <v>333</v>
      </c>
      <c r="B109"/>
      <c r="C109"/>
      <c r="D109" s="1">
        <f t="shared" si="8"/>
        <v>99</v>
      </c>
      <c r="E109" s="5" t="s">
        <v>111</v>
      </c>
      <c r="F109" s="1" t="s">
        <v>112</v>
      </c>
      <c r="G109" s="3">
        <v>19.670000000000002</v>
      </c>
      <c r="H109" s="6">
        <f>+G109*L109</f>
        <v>2445.2814395800001</v>
      </c>
      <c r="I109" s="6">
        <f>+[99]Main!$L$5-[99]Main!$L$6</f>
        <v>436.77100000000002</v>
      </c>
      <c r="J109" s="6">
        <f>+H109-I109</f>
        <v>2008.5104395800001</v>
      </c>
      <c r="K109" s="3" t="s">
        <v>1071</v>
      </c>
      <c r="L109" s="6">
        <f>+[99]Main!$L$3</f>
        <v>124.315274</v>
      </c>
      <c r="M109" s="9">
        <v>45562</v>
      </c>
    </row>
    <row r="110" spans="1:31" x14ac:dyDescent="0.2">
      <c r="A110" t="s">
        <v>333</v>
      </c>
      <c r="B110"/>
      <c r="C110"/>
      <c r="D110" s="1">
        <f t="shared" si="8"/>
        <v>100</v>
      </c>
      <c r="E110" s="5" t="s">
        <v>367</v>
      </c>
      <c r="F110" t="s">
        <v>368</v>
      </c>
      <c r="G110" s="42">
        <v>51800</v>
      </c>
      <c r="H110" s="6">
        <f>+G110*L110/KRW</f>
        <v>2777.1378925331474</v>
      </c>
      <c r="I110" s="6">
        <f>([100]Main!$L$5-[100]Main!$L$6)/KRW</f>
        <v>792.45638520586181</v>
      </c>
      <c r="J110" s="6">
        <f t="shared" si="20"/>
        <v>1984.6815073272855</v>
      </c>
      <c r="K110" s="3" t="s">
        <v>1071</v>
      </c>
      <c r="L110" s="6">
        <f>+[100]Main!$L$3</f>
        <v>76.826999999999998</v>
      </c>
      <c r="M110" s="9">
        <v>45542</v>
      </c>
    </row>
    <row r="111" spans="1:31" x14ac:dyDescent="0.2">
      <c r="D111" s="1">
        <f t="shared" si="8"/>
        <v>101</v>
      </c>
      <c r="E111" s="5" t="s">
        <v>1296</v>
      </c>
      <c r="F111" t="s">
        <v>1297</v>
      </c>
      <c r="G111" s="7">
        <v>10</v>
      </c>
      <c r="H111" s="6">
        <f>+G111*[101]Main!$K$3</f>
        <v>1589.8400000000001</v>
      </c>
      <c r="I111" s="6">
        <f>+[101]Main!$K$5-[101]Main!$K$6</f>
        <v>371.63900000000001</v>
      </c>
      <c r="J111" s="6">
        <f>+H111-I111</f>
        <v>1218.201</v>
      </c>
      <c r="K111" s="3" t="s">
        <v>1071</v>
      </c>
      <c r="L111" s="6">
        <f>+[101]Main!$K$3</f>
        <v>158.98400000000001</v>
      </c>
      <c r="M111" s="9">
        <v>45600</v>
      </c>
    </row>
    <row r="112" spans="1:31" x14ac:dyDescent="0.2">
      <c r="A112" t="s">
        <v>333</v>
      </c>
      <c r="B112"/>
      <c r="C112"/>
      <c r="D112" s="1">
        <f t="shared" si="8"/>
        <v>102</v>
      </c>
      <c r="E112" s="5" t="s">
        <v>846</v>
      </c>
      <c r="F112" t="s">
        <v>847</v>
      </c>
      <c r="G112" s="7">
        <v>41</v>
      </c>
      <c r="H112" s="6">
        <f>+G112*L112</f>
        <v>2151.7628199999999</v>
      </c>
      <c r="I112" s="6">
        <f>+[102]Main!$L$5-[102]Main!$L$6</f>
        <v>658</v>
      </c>
      <c r="J112" s="6">
        <f>+H112-I112</f>
        <v>1493.7628199999999</v>
      </c>
      <c r="K112" s="3" t="s">
        <v>1277</v>
      </c>
      <c r="L112" s="6">
        <f>+[102]Main!$L$3</f>
        <v>52.482019999999999</v>
      </c>
      <c r="M112" s="9">
        <v>45628</v>
      </c>
      <c r="AE112" s="1">
        <v>2017</v>
      </c>
    </row>
    <row r="113" spans="1:32" s="25" customFormat="1" x14ac:dyDescent="0.2">
      <c r="A113" s="25" t="s">
        <v>333</v>
      </c>
      <c r="D113" s="1">
        <f t="shared" si="8"/>
        <v>103</v>
      </c>
      <c r="E113" s="43" t="s">
        <v>662</v>
      </c>
      <c r="F113" s="25" t="s">
        <v>663</v>
      </c>
      <c r="G113" s="54">
        <v>42</v>
      </c>
      <c r="H113" s="30">
        <f>+G113*L113</f>
        <v>2402.253854</v>
      </c>
      <c r="I113" s="30">
        <f>+[103]Main!$N$5-[103]Main!$N$6</f>
        <v>927.11899999999991</v>
      </c>
      <c r="J113" s="30">
        <f>+H113-I113</f>
        <v>1475.1348540000001</v>
      </c>
      <c r="K113" s="28" t="s">
        <v>1071</v>
      </c>
      <c r="L113" s="30">
        <f>+[103]Main!$N$3</f>
        <v>57.196520333333332</v>
      </c>
      <c r="M113" s="37">
        <v>45572</v>
      </c>
      <c r="N113" s="26"/>
      <c r="O113" s="26"/>
      <c r="P113" s="26"/>
      <c r="Q113" s="26"/>
      <c r="R113" s="26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</row>
    <row r="114" spans="1:32" x14ac:dyDescent="0.2">
      <c r="A114" t="s">
        <v>333</v>
      </c>
      <c r="B114"/>
      <c r="C114"/>
      <c r="D114" s="1">
        <f t="shared" si="8"/>
        <v>104</v>
      </c>
      <c r="E114" s="5" t="s">
        <v>292</v>
      </c>
      <c r="F114" s="1" t="s">
        <v>184</v>
      </c>
      <c r="G114" s="7">
        <v>7</v>
      </c>
      <c r="H114" s="6">
        <f>+G114*L114</f>
        <v>1444.6396159999999</v>
      </c>
      <c r="I114" s="6">
        <f>+[104]Main!$M$5-[104]Main!$M$6</f>
        <v>28.069999999999993</v>
      </c>
      <c r="J114" s="6">
        <f>+H114-I114</f>
        <v>1416.569616</v>
      </c>
      <c r="K114" s="3" t="s">
        <v>1041</v>
      </c>
      <c r="L114" s="6">
        <f>+[104]Main!$M$3</f>
        <v>206.37708799999999</v>
      </c>
      <c r="M114" s="9">
        <v>45567</v>
      </c>
    </row>
    <row r="115" spans="1:32" x14ac:dyDescent="0.2">
      <c r="A115" t="s">
        <v>333</v>
      </c>
      <c r="B115"/>
      <c r="C115"/>
      <c r="D115" s="1">
        <f t="shared" ref="D115:D138" si="21">+D114+1</f>
        <v>105</v>
      </c>
      <c r="E115" s="5" t="s">
        <v>205</v>
      </c>
      <c r="F115" s="1" t="s">
        <v>206</v>
      </c>
      <c r="G115" s="7">
        <v>5.32</v>
      </c>
      <c r="H115" s="6">
        <f>G115*L115</f>
        <v>1787.7114136</v>
      </c>
      <c r="I115" s="6">
        <f>[105]Main!$K$5-[105]Main!$K$6</f>
        <v>575.553</v>
      </c>
      <c r="J115" s="6">
        <f>H115-I115</f>
        <v>1212.1584136000001</v>
      </c>
      <c r="K115" s="3" t="s">
        <v>1071</v>
      </c>
      <c r="L115" s="6">
        <f>[105]Main!$K$3</f>
        <v>336.03598</v>
      </c>
      <c r="M115" s="9">
        <v>45572</v>
      </c>
    </row>
    <row r="116" spans="1:32" x14ac:dyDescent="0.2">
      <c r="A116" t="s">
        <v>333</v>
      </c>
      <c r="B116"/>
      <c r="C116"/>
      <c r="D116" s="1">
        <f t="shared" si="21"/>
        <v>106</v>
      </c>
      <c r="E116" s="5" t="s">
        <v>96</v>
      </c>
      <c r="F116" s="1" t="s">
        <v>97</v>
      </c>
      <c r="G116" s="3">
        <v>17.149999999999999</v>
      </c>
      <c r="H116" s="6">
        <f>+G116*L116</f>
        <v>1559.8953999999999</v>
      </c>
      <c r="I116" s="6">
        <f>+[106]Main!$K$5-[106]Main!$K$6</f>
        <v>278.82499999999999</v>
      </c>
      <c r="J116" s="6">
        <f>+H116-I116</f>
        <v>1281.0703999999998</v>
      </c>
      <c r="K116" s="3" t="s">
        <v>1071</v>
      </c>
      <c r="L116" s="6">
        <f>+[106]Main!$K$3</f>
        <v>90.956000000000003</v>
      </c>
      <c r="M116" s="9">
        <v>45573</v>
      </c>
    </row>
    <row r="117" spans="1:32" x14ac:dyDescent="0.2">
      <c r="D117" s="1">
        <f t="shared" si="21"/>
        <v>107</v>
      </c>
      <c r="E117" s="5" t="s">
        <v>738</v>
      </c>
      <c r="F117" t="s">
        <v>739</v>
      </c>
      <c r="G117" s="3">
        <v>5.92</v>
      </c>
      <c r="H117" s="6">
        <f>+G117*L117</f>
        <v>1317.2</v>
      </c>
      <c r="I117" s="6">
        <f>+[107]Main!$I$5-[107]Main!$I$6</f>
        <v>251.643</v>
      </c>
      <c r="J117" s="6">
        <f>+H117-I117</f>
        <v>1065.557</v>
      </c>
      <c r="K117" s="3" t="s">
        <v>1071</v>
      </c>
      <c r="L117" s="6">
        <f>+[107]Main!$I$3</f>
        <v>222.5</v>
      </c>
      <c r="M117" s="9">
        <v>45593</v>
      </c>
    </row>
    <row r="118" spans="1:32" x14ac:dyDescent="0.2">
      <c r="A118" t="s">
        <v>333</v>
      </c>
      <c r="B118"/>
      <c r="C118"/>
      <c r="D118" s="1">
        <f t="shared" si="21"/>
        <v>108</v>
      </c>
      <c r="E118" s="5" t="s">
        <v>157</v>
      </c>
      <c r="F118" s="1" t="s">
        <v>158</v>
      </c>
      <c r="G118" s="7">
        <v>24.5</v>
      </c>
      <c r="H118" s="6">
        <f>+G118*L118</f>
        <v>2019.1826655000002</v>
      </c>
      <c r="I118" s="6">
        <f>+[108]Main!$K$5-[108]Main!$K$6</f>
        <v>1008.165</v>
      </c>
      <c r="J118" s="6">
        <f>+H118-I118</f>
        <v>1011.0176655000002</v>
      </c>
      <c r="K118" s="3" t="s">
        <v>1071</v>
      </c>
      <c r="L118" s="6">
        <f>+[108]Main!$K$3</f>
        <v>82.415619000000007</v>
      </c>
      <c r="M118" s="9">
        <v>45565</v>
      </c>
    </row>
    <row r="119" spans="1:32" x14ac:dyDescent="0.2">
      <c r="A119" t="s">
        <v>333</v>
      </c>
      <c r="B119"/>
      <c r="C119"/>
      <c r="D119" s="1">
        <f t="shared" si="21"/>
        <v>109</v>
      </c>
      <c r="E119" s="5" t="s">
        <v>144</v>
      </c>
      <c r="F119" s="1" t="s">
        <v>145</v>
      </c>
      <c r="G119" s="7">
        <v>20</v>
      </c>
      <c r="H119" s="6">
        <f>+G119*L119</f>
        <v>1929.5</v>
      </c>
      <c r="I119" s="6">
        <f>+[109]Main!$J$5-[109]Main!$J$6</f>
        <v>939.9</v>
      </c>
      <c r="J119" s="6">
        <f t="shared" ref="J119" si="22">+H119-I119</f>
        <v>989.6</v>
      </c>
      <c r="K119" s="3" t="s">
        <v>1041</v>
      </c>
      <c r="L119" s="6">
        <f>+[109]Main!$J$3</f>
        <v>96.474999999999994</v>
      </c>
      <c r="M119" s="9">
        <v>45565</v>
      </c>
    </row>
    <row r="120" spans="1:32" x14ac:dyDescent="0.2">
      <c r="A120" t="s">
        <v>333</v>
      </c>
      <c r="B120"/>
      <c r="C120"/>
      <c r="D120" s="1">
        <f t="shared" si="21"/>
        <v>110</v>
      </c>
      <c r="E120" s="5" t="s">
        <v>369</v>
      </c>
      <c r="F120" t="s">
        <v>370</v>
      </c>
      <c r="G120" s="19">
        <v>10.7</v>
      </c>
      <c r="H120" s="6">
        <f>+G120*L120/HKD</f>
        <v>1352.1643102179487</v>
      </c>
      <c r="I120" s="6">
        <f>([110]Main!$J$6-[110]Main!$J$7)/HKD</f>
        <v>376.08884615384613</v>
      </c>
      <c r="J120" s="6">
        <f t="shared" si="20"/>
        <v>976.07546406410256</v>
      </c>
      <c r="K120" s="3" t="s">
        <v>1114</v>
      </c>
      <c r="L120" s="6">
        <f>+[110]Main!$J$4</f>
        <v>985.68987100000004</v>
      </c>
      <c r="M120" s="9">
        <v>45543</v>
      </c>
      <c r="AF120" s="1">
        <v>2012</v>
      </c>
    </row>
    <row r="121" spans="1:32" x14ac:dyDescent="0.2">
      <c r="A121"/>
      <c r="B121"/>
      <c r="C121"/>
      <c r="D121" s="1">
        <f>+D120</f>
        <v>110</v>
      </c>
      <c r="E121" s="5" t="s">
        <v>369</v>
      </c>
      <c r="F121" t="s">
        <v>1184</v>
      </c>
      <c r="G121" s="7">
        <v>27.72</v>
      </c>
      <c r="H121" s="6"/>
      <c r="K121" s="3" t="str">
        <f>+K120</f>
        <v>Q423</v>
      </c>
      <c r="L121" s="6"/>
      <c r="M121" s="9">
        <f>+M120</f>
        <v>45543</v>
      </c>
    </row>
    <row r="122" spans="1:32" x14ac:dyDescent="0.2">
      <c r="A122" s="1" t="s">
        <v>333</v>
      </c>
      <c r="D122" s="1">
        <f>+D121+1</f>
        <v>111</v>
      </c>
      <c r="E122" s="5" t="s">
        <v>213</v>
      </c>
      <c r="F122" s="1" t="s">
        <v>214</v>
      </c>
      <c r="G122" s="3">
        <v>4.07</v>
      </c>
      <c r="H122" s="6">
        <f>+G122*L122</f>
        <v>1235.3014590400001</v>
      </c>
      <c r="I122" s="6">
        <f>+[111]Main!$I$5-[111]Main!$I$6</f>
        <v>417.97200000000004</v>
      </c>
      <c r="J122" s="6">
        <f>+H122-I122</f>
        <v>817.32945904000007</v>
      </c>
      <c r="K122" s="3" t="s">
        <v>1071</v>
      </c>
      <c r="L122" s="6">
        <f>+[111]Main!$I$3</f>
        <v>303.51387199999999</v>
      </c>
      <c r="M122" s="9">
        <v>45525</v>
      </c>
    </row>
    <row r="123" spans="1:32" x14ac:dyDescent="0.2">
      <c r="A123" s="1" t="s">
        <v>333</v>
      </c>
      <c r="D123" s="1">
        <f>+D122+1</f>
        <v>112</v>
      </c>
      <c r="E123" s="5" t="s">
        <v>109</v>
      </c>
      <c r="F123" s="1" t="s">
        <v>110</v>
      </c>
      <c r="G123" s="7">
        <v>20.25</v>
      </c>
      <c r="H123" s="6">
        <f>+G123*L123</f>
        <v>1252.1289825000001</v>
      </c>
      <c r="I123" s="6">
        <f>+[112]Main!$O$5-[112]Main!$O$6</f>
        <v>637.79299999999989</v>
      </c>
      <c r="J123" s="6">
        <f>+H123-I123</f>
        <v>614.33598250000023</v>
      </c>
      <c r="K123" s="3" t="s">
        <v>1071</v>
      </c>
      <c r="L123" s="6">
        <f>+[112]Main!$O$3</f>
        <v>61.833530000000003</v>
      </c>
      <c r="M123" s="9">
        <v>45563</v>
      </c>
    </row>
    <row r="124" spans="1:32" x14ac:dyDescent="0.2">
      <c r="A124" t="s">
        <v>333</v>
      </c>
      <c r="B124"/>
      <c r="C124"/>
      <c r="D124" s="1">
        <f>+D123+1</f>
        <v>113</v>
      </c>
      <c r="E124" s="5" t="s">
        <v>762</v>
      </c>
      <c r="F124" t="s">
        <v>763</v>
      </c>
      <c r="G124" s="7">
        <v>11.13</v>
      </c>
      <c r="H124" s="6">
        <f>+G124*L124</f>
        <v>760.17899999999997</v>
      </c>
      <c r="I124" s="6">
        <f>+[113]Main!$K$5-[113]Main!$K$6</f>
        <v>423.93200000000002</v>
      </c>
      <c r="J124" s="6">
        <f>+H124-I124</f>
        <v>336.24699999999996</v>
      </c>
      <c r="K124" s="3" t="s">
        <v>1071</v>
      </c>
      <c r="L124" s="6">
        <v>68.3</v>
      </c>
      <c r="M124" s="9">
        <v>45565</v>
      </c>
      <c r="AE124" s="1">
        <v>2015</v>
      </c>
    </row>
    <row r="125" spans="1:32" x14ac:dyDescent="0.2">
      <c r="A125"/>
      <c r="B125"/>
      <c r="C125"/>
      <c r="D125" s="1">
        <f>+D124+1</f>
        <v>114</v>
      </c>
      <c r="E125" s="5" t="s">
        <v>1158</v>
      </c>
      <c r="F125" t="s">
        <v>1159</v>
      </c>
      <c r="G125" s="3">
        <v>3.04</v>
      </c>
      <c r="H125" s="6">
        <f>+G125*L125</f>
        <v>757.70519216000002</v>
      </c>
      <c r="I125" s="6">
        <f>+[114]Main!$K$5-[114]Main!$K$6</f>
        <v>565.53499999999997</v>
      </c>
      <c r="J125" s="6">
        <f>+H125-I125</f>
        <v>192.17019216000006</v>
      </c>
      <c r="K125" s="3" t="s">
        <v>1071</v>
      </c>
      <c r="L125" s="6">
        <f>+[114]Main!$K$3</f>
        <v>249.24512899999999</v>
      </c>
      <c r="M125" s="9">
        <v>45505</v>
      </c>
      <c r="AE125" s="1">
        <v>2018</v>
      </c>
    </row>
    <row r="126" spans="1:32" x14ac:dyDescent="0.2">
      <c r="A126" t="s">
        <v>333</v>
      </c>
      <c r="B126"/>
      <c r="C126"/>
      <c r="D126" s="1">
        <f>+D125+1</f>
        <v>115</v>
      </c>
      <c r="E126" s="5" t="s">
        <v>155</v>
      </c>
      <c r="F126" s="1" t="s">
        <v>156</v>
      </c>
      <c r="G126" s="3">
        <v>2.38</v>
      </c>
      <c r="H126" s="6">
        <f>+G126*L126</f>
        <v>701.30396615999996</v>
      </c>
      <c r="I126" s="6">
        <f>+[115]Main!$L$5-[115]Main!$L$6</f>
        <v>851.52300000000002</v>
      </c>
      <c r="J126" s="6">
        <f>+H126-I126</f>
        <v>-150.21903384000007</v>
      </c>
      <c r="K126" s="3" t="s">
        <v>1071</v>
      </c>
      <c r="L126" s="6">
        <f>+[115]Main!$L$3</f>
        <v>294.66553199999998</v>
      </c>
      <c r="M126" s="9">
        <v>45536</v>
      </c>
    </row>
    <row r="127" spans="1:32" x14ac:dyDescent="0.2">
      <c r="D127" s="1">
        <f t="shared" si="21"/>
        <v>116</v>
      </c>
      <c r="E127" t="s">
        <v>730</v>
      </c>
      <c r="F127" t="s">
        <v>731</v>
      </c>
      <c r="G127" s="3">
        <v>50.49</v>
      </c>
      <c r="H127" s="6">
        <v>4000</v>
      </c>
    </row>
    <row r="128" spans="1:32" x14ac:dyDescent="0.2">
      <c r="A128" t="s">
        <v>333</v>
      </c>
      <c r="B128"/>
      <c r="C128"/>
      <c r="D128" s="1">
        <f>+D92+1</f>
        <v>83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">
      <c r="A129" t="s">
        <v>333</v>
      </c>
      <c r="B129"/>
      <c r="C129"/>
      <c r="D129" s="1">
        <f t="shared" si="21"/>
        <v>84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">
      <c r="A130" t="s">
        <v>333</v>
      </c>
      <c r="B130"/>
      <c r="C130"/>
      <c r="D130" s="1">
        <f t="shared" si="21"/>
        <v>85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">
      <c r="A131" t="s">
        <v>333</v>
      </c>
      <c r="B131"/>
      <c r="C131"/>
      <c r="D131" s="1">
        <f t="shared" si="21"/>
        <v>86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">
      <c r="A132"/>
      <c r="B132"/>
      <c r="C132"/>
      <c r="D132" s="1">
        <f t="shared" si="21"/>
        <v>87</v>
      </c>
      <c r="E132" s="1" t="s">
        <v>521</v>
      </c>
      <c r="F132" t="s">
        <v>123</v>
      </c>
      <c r="G132" s="3">
        <v>18.91</v>
      </c>
      <c r="H132" s="6"/>
    </row>
    <row r="133" spans="1:8" x14ac:dyDescent="0.2">
      <c r="A133"/>
      <c r="B133"/>
      <c r="C133"/>
      <c r="D133" s="1">
        <f t="shared" si="21"/>
        <v>88</v>
      </c>
      <c r="E133" t="s">
        <v>1818</v>
      </c>
      <c r="F133" t="s">
        <v>1819</v>
      </c>
      <c r="H133" s="6"/>
    </row>
    <row r="134" spans="1:8" x14ac:dyDescent="0.2">
      <c r="A134" t="s">
        <v>333</v>
      </c>
      <c r="B134"/>
      <c r="C134"/>
      <c r="D134" s="1">
        <f t="shared" si="21"/>
        <v>89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">
      <c r="A135" t="s">
        <v>333</v>
      </c>
      <c r="B135"/>
      <c r="C135"/>
      <c r="D135" s="1">
        <f t="shared" si="21"/>
        <v>90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">
      <c r="A136" t="s">
        <v>333</v>
      </c>
      <c r="B136"/>
      <c r="C136"/>
      <c r="D136" s="1">
        <f t="shared" si="21"/>
        <v>91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">
      <c r="A137" t="s">
        <v>333</v>
      </c>
      <c r="B137"/>
      <c r="C137"/>
      <c r="D137" s="1">
        <f t="shared" si="21"/>
        <v>92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">
      <c r="A138" t="s">
        <v>333</v>
      </c>
      <c r="B138"/>
      <c r="C138"/>
      <c r="D138" s="1">
        <f t="shared" si="21"/>
        <v>93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">
      <c r="A139" t="s">
        <v>333</v>
      </c>
      <c r="B139"/>
      <c r="C139"/>
      <c r="D139" s="1">
        <f t="shared" ref="D139:D141" si="23">+D138+1</f>
        <v>94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">
      <c r="A140"/>
      <c r="B140"/>
      <c r="C140"/>
      <c r="D140" s="1">
        <f t="shared" si="23"/>
        <v>95</v>
      </c>
      <c r="E140" t="s">
        <v>357</v>
      </c>
      <c r="F140" t="s">
        <v>358</v>
      </c>
    </row>
    <row r="141" spans="1:8" x14ac:dyDescent="0.2">
      <c r="A141"/>
      <c r="B141"/>
      <c r="C141"/>
      <c r="D141" s="1">
        <f t="shared" si="23"/>
        <v>96</v>
      </c>
      <c r="E141" t="s">
        <v>355</v>
      </c>
      <c r="F141" t="s">
        <v>356</v>
      </c>
    </row>
    <row r="142" spans="1:8" x14ac:dyDescent="0.2">
      <c r="D142" s="1">
        <f t="shared" ref="D142:D204" si="24">+D141+1</f>
        <v>97</v>
      </c>
      <c r="E142" t="s">
        <v>271</v>
      </c>
      <c r="F142" t="s">
        <v>272</v>
      </c>
    </row>
    <row r="143" spans="1:8" x14ac:dyDescent="0.2">
      <c r="D143" s="1">
        <f t="shared" si="24"/>
        <v>98</v>
      </c>
      <c r="E143" t="s">
        <v>1423</v>
      </c>
      <c r="F143" t="s">
        <v>1424</v>
      </c>
      <c r="G143" s="7">
        <v>2.1</v>
      </c>
    </row>
    <row r="144" spans="1:8" x14ac:dyDescent="0.2">
      <c r="D144" s="1">
        <f t="shared" si="24"/>
        <v>99</v>
      </c>
      <c r="E144" t="s">
        <v>1425</v>
      </c>
      <c r="F144" t="s">
        <v>1426</v>
      </c>
      <c r="G144" s="7"/>
    </row>
    <row r="145" spans="1:8" x14ac:dyDescent="0.2">
      <c r="D145" s="1">
        <f t="shared" si="24"/>
        <v>100</v>
      </c>
      <c r="E145" t="s">
        <v>268</v>
      </c>
      <c r="F145" t="s">
        <v>269</v>
      </c>
    </row>
    <row r="146" spans="1:8" x14ac:dyDescent="0.2">
      <c r="D146" s="1">
        <f t="shared" si="24"/>
        <v>101</v>
      </c>
      <c r="E146" s="5" t="s">
        <v>1427</v>
      </c>
      <c r="F146" t="s">
        <v>1428</v>
      </c>
      <c r="G146" s="7">
        <v>2.06</v>
      </c>
    </row>
    <row r="147" spans="1:8" x14ac:dyDescent="0.2">
      <c r="D147" s="1">
        <f>+D145+1</f>
        <v>101</v>
      </c>
      <c r="E147" t="s">
        <v>361</v>
      </c>
      <c r="F147" t="s">
        <v>362</v>
      </c>
    </row>
    <row r="148" spans="1:8" x14ac:dyDescent="0.2">
      <c r="A148"/>
      <c r="B148"/>
      <c r="C148"/>
      <c r="D148" s="1">
        <f t="shared" si="24"/>
        <v>102</v>
      </c>
      <c r="E148" t="s">
        <v>1057</v>
      </c>
      <c r="F148" t="s">
        <v>1058</v>
      </c>
    </row>
    <row r="149" spans="1:8" x14ac:dyDescent="0.2">
      <c r="A149" s="89" t="s">
        <v>333</v>
      </c>
      <c r="B149"/>
      <c r="C149"/>
      <c r="D149" s="1">
        <f t="shared" si="24"/>
        <v>103</v>
      </c>
      <c r="E149" t="s">
        <v>1055</v>
      </c>
      <c r="F149" t="s">
        <v>1056</v>
      </c>
      <c r="G149" s="7"/>
    </row>
    <row r="150" spans="1:8" x14ac:dyDescent="0.2">
      <c r="A150"/>
      <c r="B150"/>
      <c r="C150"/>
      <c r="D150" s="1">
        <f t="shared" si="24"/>
        <v>104</v>
      </c>
      <c r="E150" t="s">
        <v>1429</v>
      </c>
      <c r="F150"/>
      <c r="G150" s="7"/>
    </row>
    <row r="151" spans="1:8" x14ac:dyDescent="0.2">
      <c r="A151"/>
      <c r="B151"/>
      <c r="C151"/>
      <c r="D151" s="1">
        <f t="shared" si="24"/>
        <v>105</v>
      </c>
      <c r="E151" t="s">
        <v>596</v>
      </c>
      <c r="F151" t="s">
        <v>597</v>
      </c>
    </row>
    <row r="152" spans="1:8" x14ac:dyDescent="0.2">
      <c r="D152" s="1">
        <f t="shared" si="24"/>
        <v>106</v>
      </c>
      <c r="E152" s="1" t="s">
        <v>115</v>
      </c>
      <c r="F152" s="1" t="s">
        <v>116</v>
      </c>
      <c r="G152" s="3">
        <v>83.97</v>
      </c>
    </row>
    <row r="153" spans="1:8" x14ac:dyDescent="0.2">
      <c r="A153"/>
      <c r="B153"/>
      <c r="C153"/>
      <c r="D153" s="1">
        <f t="shared" si="24"/>
        <v>107</v>
      </c>
      <c r="E153" t="s">
        <v>1061</v>
      </c>
      <c r="F153" t="s">
        <v>1062</v>
      </c>
      <c r="H153" s="6"/>
    </row>
    <row r="154" spans="1:8" x14ac:dyDescent="0.2">
      <c r="A154"/>
      <c r="B154"/>
      <c r="C154"/>
      <c r="D154" s="1">
        <f t="shared" si="24"/>
        <v>108</v>
      </c>
      <c r="E154" t="s">
        <v>1117</v>
      </c>
      <c r="F154" t="s">
        <v>1118</v>
      </c>
      <c r="H154" s="6"/>
    </row>
    <row r="155" spans="1:8" x14ac:dyDescent="0.2">
      <c r="A155"/>
      <c r="B155"/>
      <c r="C155"/>
      <c r="D155" s="1">
        <f t="shared" si="24"/>
        <v>109</v>
      </c>
      <c r="E155" t="s">
        <v>1066</v>
      </c>
      <c r="H155" s="6"/>
    </row>
    <row r="156" spans="1:8" x14ac:dyDescent="0.2">
      <c r="A156"/>
      <c r="B156"/>
      <c r="C156"/>
      <c r="D156" s="1">
        <f t="shared" si="24"/>
        <v>110</v>
      </c>
      <c r="E156" t="s">
        <v>1067</v>
      </c>
      <c r="H156" s="6"/>
    </row>
    <row r="157" spans="1:8" x14ac:dyDescent="0.2">
      <c r="A157"/>
      <c r="B157"/>
      <c r="C157"/>
      <c r="D157" s="1">
        <f t="shared" si="24"/>
        <v>111</v>
      </c>
      <c r="E157" t="s">
        <v>335</v>
      </c>
      <c r="F157" t="s">
        <v>336</v>
      </c>
      <c r="H157" s="6"/>
    </row>
    <row r="158" spans="1:8" x14ac:dyDescent="0.2">
      <c r="A158"/>
      <c r="B158"/>
      <c r="C158"/>
      <c r="D158" s="1">
        <f t="shared" si="24"/>
        <v>112</v>
      </c>
      <c r="E158" t="s">
        <v>1065</v>
      </c>
      <c r="H158" s="6"/>
    </row>
    <row r="159" spans="1:8" x14ac:dyDescent="0.2">
      <c r="A159"/>
      <c r="B159"/>
      <c r="C159"/>
      <c r="D159" s="1">
        <f t="shared" si="24"/>
        <v>113</v>
      </c>
      <c r="E159" t="s">
        <v>1147</v>
      </c>
      <c r="F159" s="1" t="s">
        <v>1148</v>
      </c>
      <c r="H159" s="6"/>
    </row>
    <row r="160" spans="1:8" x14ac:dyDescent="0.2">
      <c r="A160" t="s">
        <v>333</v>
      </c>
      <c r="B160"/>
      <c r="C160"/>
      <c r="D160" s="1">
        <f t="shared" si="24"/>
        <v>114</v>
      </c>
      <c r="E160" t="s">
        <v>681</v>
      </c>
      <c r="F160" t="s">
        <v>682</v>
      </c>
    </row>
    <row r="161" spans="1:31" x14ac:dyDescent="0.2">
      <c r="A161"/>
      <c r="B161"/>
      <c r="C161"/>
      <c r="D161" s="1">
        <f t="shared" si="24"/>
        <v>115</v>
      </c>
      <c r="E161" t="s">
        <v>306</v>
      </c>
      <c r="F161" t="s">
        <v>307</v>
      </c>
      <c r="G161" s="3">
        <v>4.26</v>
      </c>
      <c r="H161" s="6"/>
      <c r="AE161" s="1">
        <v>2011</v>
      </c>
    </row>
    <row r="162" spans="1:31" x14ac:dyDescent="0.2">
      <c r="A162" t="s">
        <v>333</v>
      </c>
      <c r="B162"/>
      <c r="C162"/>
      <c r="D162" s="1">
        <f t="shared" si="24"/>
        <v>116</v>
      </c>
      <c r="E162" s="5" t="s">
        <v>374</v>
      </c>
      <c r="F162" t="s">
        <v>375</v>
      </c>
      <c r="G162" s="7">
        <v>49</v>
      </c>
      <c r="H162" s="6">
        <f>+G162*L162</f>
        <v>3632.5077390000001</v>
      </c>
      <c r="I162" s="6">
        <f>+[116]Main!$K$5-[116]Main!$K$6</f>
        <v>461.9</v>
      </c>
      <c r="J162" s="6">
        <f t="shared" ref="J162:J165" si="25">+H162-I162</f>
        <v>3170.607739</v>
      </c>
      <c r="K162" s="3" t="s">
        <v>1278</v>
      </c>
      <c r="L162" s="6">
        <f>+[116]Main!$K$3</f>
        <v>74.132811000000004</v>
      </c>
      <c r="M162" s="9">
        <v>45733</v>
      </c>
    </row>
    <row r="163" spans="1:31" x14ac:dyDescent="0.2">
      <c r="A163"/>
      <c r="B163"/>
      <c r="C163"/>
      <c r="D163" s="1">
        <f t="shared" si="24"/>
        <v>117</v>
      </c>
      <c r="E163" s="5" t="s">
        <v>1816</v>
      </c>
      <c r="F163" t="s">
        <v>1817</v>
      </c>
      <c r="G163" s="7">
        <v>50</v>
      </c>
      <c r="H163" s="6">
        <f>+G163*L163</f>
        <v>1918.8588999999999</v>
      </c>
      <c r="I163" s="6">
        <f>+[117]Main!$J$5-[117]Main!$J$6</f>
        <v>219.55499999999998</v>
      </c>
      <c r="J163" s="6">
        <f>+H163-I163</f>
        <v>1699.3038999999999</v>
      </c>
      <c r="K163" s="3" t="s">
        <v>1278</v>
      </c>
      <c r="L163" s="6">
        <f>+[117]Main!$J$3</f>
        <v>38.377178000000001</v>
      </c>
      <c r="M163" s="9">
        <v>45749</v>
      </c>
    </row>
    <row r="164" spans="1:31" x14ac:dyDescent="0.2">
      <c r="A164" t="s">
        <v>333</v>
      </c>
      <c r="B164"/>
      <c r="C164"/>
      <c r="D164" s="1">
        <f t="shared" si="24"/>
        <v>118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[118]Main!$L$5-[118]Main!$L$6</f>
        <v>578</v>
      </c>
      <c r="J164" s="6">
        <f t="shared" si="25"/>
        <v>108.11028007999994</v>
      </c>
      <c r="K164" s="3" t="s">
        <v>648</v>
      </c>
      <c r="L164" s="6">
        <f>[118]Main!$L$3</f>
        <v>55.286887999999998</v>
      </c>
      <c r="M164" s="9">
        <v>45064</v>
      </c>
    </row>
    <row r="165" spans="1:31" x14ac:dyDescent="0.2">
      <c r="A165" t="s">
        <v>333</v>
      </c>
      <c r="B165"/>
      <c r="C165"/>
      <c r="D165" s="1">
        <f t="shared" si="24"/>
        <v>119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[119]Main!$O$5-[119]Main!$O$6</f>
        <v>345.67399999999998</v>
      </c>
      <c r="J165" s="6">
        <f t="shared" si="25"/>
        <v>-140.11523497999997</v>
      </c>
      <c r="K165" s="3" t="s">
        <v>648</v>
      </c>
      <c r="L165" s="6">
        <f>[119]Main!$O$3</f>
        <v>67.176067000000003</v>
      </c>
      <c r="M165" s="9">
        <v>45067</v>
      </c>
    </row>
    <row r="166" spans="1:31" x14ac:dyDescent="0.2">
      <c r="A166" t="s">
        <v>333</v>
      </c>
      <c r="B166">
        <v>4</v>
      </c>
      <c r="C166">
        <v>3</v>
      </c>
      <c r="D166" s="1">
        <f t="shared" si="24"/>
        <v>120</v>
      </c>
      <c r="E166" s="5" t="s">
        <v>182</v>
      </c>
      <c r="F166" s="1" t="s">
        <v>183</v>
      </c>
      <c r="G166" s="3">
        <v>7.58</v>
      </c>
      <c r="H166" s="6">
        <f>+G166*L166</f>
        <v>521.50400000000002</v>
      </c>
      <c r="I166" s="6">
        <f>+[120]Main!$O$5-[120]Main!$O$6</f>
        <v>1038.8000000000002</v>
      </c>
      <c r="J166" s="6">
        <f>+H166-I166</f>
        <v>-517.29600000000016</v>
      </c>
      <c r="K166" s="3" t="s">
        <v>1277</v>
      </c>
      <c r="L166" s="6">
        <f>+[120]Main!$O$3</f>
        <v>68.8</v>
      </c>
      <c r="M166" s="9">
        <v>45684</v>
      </c>
    </row>
    <row r="167" spans="1:31" x14ac:dyDescent="0.2">
      <c r="A167" t="s">
        <v>333</v>
      </c>
      <c r="B167"/>
      <c r="C167"/>
      <c r="D167" s="1">
        <f t="shared" si="24"/>
        <v>121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[121]Main!$K$5-[121]Main!$K$6</f>
        <v>1272.4940000000001</v>
      </c>
      <c r="J167" s="6">
        <f>H167-I167</f>
        <v>-837.74981376000017</v>
      </c>
      <c r="K167" s="3" t="s">
        <v>516</v>
      </c>
      <c r="L167" s="6">
        <f>[121]Main!$K$3</f>
        <v>59.717607999999998</v>
      </c>
      <c r="M167" s="9">
        <v>44999</v>
      </c>
    </row>
    <row r="168" spans="1:31" x14ac:dyDescent="0.2">
      <c r="A168"/>
      <c r="B168"/>
      <c r="C168"/>
      <c r="D168" s="1">
        <f t="shared" si="24"/>
        <v>122</v>
      </c>
      <c r="E168" s="5" t="s">
        <v>140</v>
      </c>
      <c r="F168" t="s">
        <v>1177</v>
      </c>
      <c r="G168" s="7">
        <v>5.91</v>
      </c>
      <c r="H168" s="6"/>
    </row>
    <row r="169" spans="1:31" x14ac:dyDescent="0.2">
      <c r="A169"/>
      <c r="B169"/>
      <c r="C169"/>
      <c r="D169" s="1">
        <f t="shared" si="24"/>
        <v>123</v>
      </c>
      <c r="E169" s="5" t="s">
        <v>140</v>
      </c>
      <c r="F169" t="s">
        <v>141</v>
      </c>
      <c r="G169" s="7">
        <v>3.32</v>
      </c>
      <c r="H169" s="6"/>
    </row>
    <row r="170" spans="1:31" x14ac:dyDescent="0.2">
      <c r="A170"/>
      <c r="B170"/>
      <c r="C170"/>
      <c r="D170" s="1">
        <f t="shared" si="24"/>
        <v>124</v>
      </c>
      <c r="E170" s="1" t="s">
        <v>215</v>
      </c>
      <c r="F170" s="1" t="s">
        <v>216</v>
      </c>
      <c r="G170" s="3">
        <v>18.309999999999999</v>
      </c>
      <c r="H170" s="6">
        <v>1930</v>
      </c>
    </row>
    <row r="171" spans="1:31" x14ac:dyDescent="0.2">
      <c r="A171"/>
      <c r="B171"/>
      <c r="C171"/>
      <c r="D171" s="1">
        <f t="shared" si="24"/>
        <v>125</v>
      </c>
      <c r="E171" t="s">
        <v>1179</v>
      </c>
      <c r="F171" t="s">
        <v>1180</v>
      </c>
      <c r="H171" s="6"/>
    </row>
    <row r="172" spans="1:31" x14ac:dyDescent="0.2">
      <c r="A172"/>
      <c r="B172"/>
      <c r="C172"/>
      <c r="D172" s="1">
        <f t="shared" si="24"/>
        <v>126</v>
      </c>
      <c r="E172" t="s">
        <v>1121</v>
      </c>
      <c r="F172" t="s">
        <v>1122</v>
      </c>
      <c r="H172" s="6"/>
    </row>
    <row r="173" spans="1:31" x14ac:dyDescent="0.2">
      <c r="D173" s="1">
        <f t="shared" si="24"/>
        <v>127</v>
      </c>
      <c r="E173" t="s">
        <v>1123</v>
      </c>
      <c r="F173" t="s">
        <v>1124</v>
      </c>
    </row>
    <row r="174" spans="1:31" x14ac:dyDescent="0.2">
      <c r="A174" t="s">
        <v>333</v>
      </c>
      <c r="B174"/>
      <c r="C174"/>
      <c r="D174" s="1">
        <f t="shared" si="24"/>
        <v>128</v>
      </c>
      <c r="E174" s="1" t="s">
        <v>186</v>
      </c>
      <c r="F174" s="1" t="s">
        <v>187</v>
      </c>
      <c r="G174" s="7">
        <v>10.1</v>
      </c>
      <c r="H174" s="6">
        <v>1880</v>
      </c>
    </row>
    <row r="175" spans="1:31" x14ac:dyDescent="0.2">
      <c r="A175" t="s">
        <v>333</v>
      </c>
      <c r="B175"/>
      <c r="C175"/>
      <c r="D175" s="1">
        <f t="shared" si="24"/>
        <v>129</v>
      </c>
      <c r="E175" s="1" t="s">
        <v>783</v>
      </c>
      <c r="F175" s="1" t="s">
        <v>169</v>
      </c>
      <c r="G175" s="3">
        <v>38.67</v>
      </c>
      <c r="H175" s="6">
        <v>1770</v>
      </c>
    </row>
    <row r="176" spans="1:31" x14ac:dyDescent="0.2">
      <c r="A176" t="s">
        <v>333</v>
      </c>
      <c r="B176"/>
      <c r="C176"/>
      <c r="D176" s="1">
        <f t="shared" si="24"/>
        <v>130</v>
      </c>
      <c r="E176" t="s">
        <v>376</v>
      </c>
      <c r="F176" t="s">
        <v>377</v>
      </c>
      <c r="G176" s="7">
        <v>43.5</v>
      </c>
    </row>
    <row r="177" spans="1:30" x14ac:dyDescent="0.2">
      <c r="A177"/>
      <c r="B177"/>
      <c r="C177"/>
      <c r="D177" s="1">
        <f t="shared" si="24"/>
        <v>131</v>
      </c>
      <c r="E177" s="5" t="s">
        <v>1069</v>
      </c>
      <c r="F177" t="s">
        <v>1070</v>
      </c>
      <c r="G177" s="7">
        <v>17</v>
      </c>
      <c r="H177" s="6"/>
    </row>
    <row r="178" spans="1:30" x14ac:dyDescent="0.2">
      <c r="A178" t="s">
        <v>333</v>
      </c>
      <c r="B178"/>
      <c r="C178"/>
      <c r="D178" s="1">
        <f t="shared" si="24"/>
        <v>132</v>
      </c>
      <c r="E178" t="s">
        <v>725</v>
      </c>
      <c r="H178" s="6"/>
    </row>
    <row r="179" spans="1:30" x14ac:dyDescent="0.2">
      <c r="A179" t="s">
        <v>333</v>
      </c>
      <c r="B179"/>
      <c r="C179"/>
      <c r="D179" s="1">
        <f t="shared" si="24"/>
        <v>133</v>
      </c>
      <c r="E179" s="1" t="s">
        <v>176</v>
      </c>
      <c r="F179" s="1" t="s">
        <v>177</v>
      </c>
      <c r="G179" s="3">
        <v>22.22</v>
      </c>
      <c r="H179" s="6">
        <v>1720</v>
      </c>
    </row>
    <row r="180" spans="1:30" x14ac:dyDescent="0.2">
      <c r="A180" s="1" t="s">
        <v>333</v>
      </c>
      <c r="D180" s="1">
        <f t="shared" si="24"/>
        <v>134</v>
      </c>
      <c r="E180" s="25" t="s">
        <v>622</v>
      </c>
      <c r="F180" s="25" t="s">
        <v>623</v>
      </c>
      <c r="G180" s="26">
        <v>12.79</v>
      </c>
      <c r="H180" s="27"/>
    </row>
    <row r="181" spans="1:30" x14ac:dyDescent="0.2">
      <c r="A181" t="s">
        <v>333</v>
      </c>
      <c r="B181"/>
      <c r="C181"/>
      <c r="D181" s="1">
        <f t="shared" si="24"/>
        <v>135</v>
      </c>
      <c r="E181" t="s">
        <v>764</v>
      </c>
      <c r="F181" t="s">
        <v>765</v>
      </c>
      <c r="G181" s="7"/>
      <c r="H181" s="6"/>
    </row>
    <row r="182" spans="1:30" x14ac:dyDescent="0.2">
      <c r="A182"/>
      <c r="B182"/>
      <c r="C182"/>
      <c r="D182" s="1">
        <f t="shared" si="24"/>
        <v>136</v>
      </c>
      <c r="E182" t="s">
        <v>779</v>
      </c>
      <c r="F182" t="s">
        <v>780</v>
      </c>
      <c r="G182" s="7"/>
      <c r="H182" s="6"/>
    </row>
    <row r="183" spans="1:30" x14ac:dyDescent="0.2">
      <c r="A183" t="s">
        <v>333</v>
      </c>
      <c r="B183"/>
      <c r="C183"/>
      <c r="D183" s="1">
        <f t="shared" si="24"/>
        <v>137</v>
      </c>
      <c r="E183" t="s">
        <v>778</v>
      </c>
      <c r="F183"/>
      <c r="G183" s="7"/>
      <c r="H183" s="6"/>
    </row>
    <row r="184" spans="1:30" x14ac:dyDescent="0.2">
      <c r="A184" t="s">
        <v>333</v>
      </c>
      <c r="B184"/>
      <c r="C184"/>
      <c r="D184" s="1">
        <f t="shared" si="24"/>
        <v>138</v>
      </c>
      <c r="E184" s="1" t="s">
        <v>159</v>
      </c>
      <c r="F184" s="1" t="s">
        <v>160</v>
      </c>
      <c r="G184" s="7">
        <v>5.75</v>
      </c>
      <c r="H184" s="6">
        <v>1100</v>
      </c>
    </row>
    <row r="185" spans="1:30" x14ac:dyDescent="0.2">
      <c r="A185" t="s">
        <v>333</v>
      </c>
      <c r="B185"/>
      <c r="C185"/>
      <c r="D185" s="1">
        <f t="shared" si="24"/>
        <v>139</v>
      </c>
      <c r="E185" t="s">
        <v>776</v>
      </c>
      <c r="F185" t="s">
        <v>777</v>
      </c>
      <c r="G185" s="7"/>
      <c r="H185" s="6"/>
    </row>
    <row r="186" spans="1:30" x14ac:dyDescent="0.2">
      <c r="A186" t="s">
        <v>333</v>
      </c>
      <c r="B186"/>
      <c r="C186"/>
      <c r="D186" s="1">
        <f t="shared" si="24"/>
        <v>140</v>
      </c>
      <c r="E186" t="s">
        <v>437</v>
      </c>
      <c r="F186" t="s">
        <v>438</v>
      </c>
      <c r="G186" s="3">
        <v>23.13</v>
      </c>
      <c r="H186" s="6">
        <v>1000</v>
      </c>
    </row>
    <row r="187" spans="1:30" x14ac:dyDescent="0.2">
      <c r="A187" s="1" t="s">
        <v>333</v>
      </c>
      <c r="D187" s="1">
        <f t="shared" si="24"/>
        <v>141</v>
      </c>
      <c r="E187" s="1" t="s">
        <v>103</v>
      </c>
      <c r="F187" s="1" t="s">
        <v>104</v>
      </c>
      <c r="G187" s="3">
        <v>24.78</v>
      </c>
    </row>
    <row r="188" spans="1:30" x14ac:dyDescent="0.2">
      <c r="A188" t="s">
        <v>333</v>
      </c>
      <c r="B188"/>
      <c r="C188"/>
      <c r="D188" s="1">
        <f t="shared" si="24"/>
        <v>142</v>
      </c>
      <c r="E188" s="1" t="s">
        <v>105</v>
      </c>
      <c r="F188" s="1" t="s">
        <v>106</v>
      </c>
      <c r="G188" s="3">
        <v>4.72</v>
      </c>
    </row>
    <row r="189" spans="1:30" x14ac:dyDescent="0.2">
      <c r="A189" t="s">
        <v>333</v>
      </c>
      <c r="B189"/>
      <c r="C189"/>
      <c r="D189" s="1">
        <f t="shared" si="24"/>
        <v>143</v>
      </c>
      <c r="E189" s="1" t="s">
        <v>107</v>
      </c>
      <c r="F189" s="1" t="s">
        <v>108</v>
      </c>
      <c r="G189" s="3">
        <v>24.53</v>
      </c>
    </row>
    <row r="190" spans="1:30" x14ac:dyDescent="0.2">
      <c r="A190" t="s">
        <v>333</v>
      </c>
      <c r="B190"/>
      <c r="C190"/>
      <c r="D190" s="1">
        <f t="shared" si="24"/>
        <v>144</v>
      </c>
      <c r="E190" t="s">
        <v>768</v>
      </c>
      <c r="F190" t="s">
        <v>769</v>
      </c>
      <c r="H190" s="6"/>
    </row>
    <row r="191" spans="1:30" s="25" customFormat="1" x14ac:dyDescent="0.2">
      <c r="A191" s="25" t="s">
        <v>333</v>
      </c>
      <c r="D191" s="25">
        <f t="shared" si="24"/>
        <v>145</v>
      </c>
      <c r="E191" s="25" t="s">
        <v>766</v>
      </c>
      <c r="F191" s="25" t="s">
        <v>767</v>
      </c>
      <c r="G191" s="47">
        <v>19.7</v>
      </c>
      <c r="H191" s="27">
        <v>800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</row>
    <row r="192" spans="1:30" x14ac:dyDescent="0.2">
      <c r="A192" t="s">
        <v>333</v>
      </c>
      <c r="B192"/>
      <c r="C192"/>
      <c r="D192" s="1">
        <f t="shared" si="24"/>
        <v>146</v>
      </c>
      <c r="E192" s="1" t="s">
        <v>170</v>
      </c>
      <c r="F192" s="1" t="s">
        <v>171</v>
      </c>
      <c r="G192" s="7">
        <v>21.6</v>
      </c>
      <c r="H192" s="6">
        <v>991</v>
      </c>
    </row>
    <row r="193" spans="1:30" x14ac:dyDescent="0.2">
      <c r="A193" t="s">
        <v>333</v>
      </c>
      <c r="B193"/>
      <c r="C193"/>
      <c r="D193" s="1">
        <f t="shared" si="24"/>
        <v>147</v>
      </c>
      <c r="E193" t="s">
        <v>719</v>
      </c>
      <c r="F193" t="s">
        <v>720</v>
      </c>
      <c r="H193" s="6"/>
    </row>
    <row r="194" spans="1:30" x14ac:dyDescent="0.2">
      <c r="D194" s="1">
        <f t="shared" si="24"/>
        <v>148</v>
      </c>
      <c r="E194" s="1" t="s">
        <v>195</v>
      </c>
      <c r="F194" s="1" t="s">
        <v>196</v>
      </c>
      <c r="G194" s="3">
        <v>2.42</v>
      </c>
      <c r="H194" s="6">
        <v>823</v>
      </c>
    </row>
    <row r="195" spans="1:30" x14ac:dyDescent="0.2">
      <c r="A195" t="s">
        <v>333</v>
      </c>
      <c r="B195"/>
      <c r="C195"/>
      <c r="D195" s="1">
        <f t="shared" si="24"/>
        <v>149</v>
      </c>
      <c r="E195" t="s">
        <v>717</v>
      </c>
      <c r="F195" t="s">
        <v>718</v>
      </c>
      <c r="H195" s="6"/>
    </row>
    <row r="196" spans="1:30" s="25" customFormat="1" x14ac:dyDescent="0.2">
      <c r="D196" s="1">
        <f t="shared" si="24"/>
        <v>150</v>
      </c>
      <c r="E196" s="25" t="s">
        <v>1185</v>
      </c>
      <c r="F196" s="25" t="s">
        <v>1186</v>
      </c>
      <c r="G196" s="47">
        <v>28.76</v>
      </c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</row>
    <row r="197" spans="1:30" x14ac:dyDescent="0.2">
      <c r="A197" t="s">
        <v>333</v>
      </c>
      <c r="B197"/>
      <c r="C197"/>
      <c r="D197" s="1">
        <f t="shared" si="24"/>
        <v>151</v>
      </c>
      <c r="E197" t="s">
        <v>797</v>
      </c>
      <c r="F197" t="s">
        <v>798</v>
      </c>
      <c r="H197" s="6"/>
    </row>
    <row r="198" spans="1:30" x14ac:dyDescent="0.2">
      <c r="A198" t="s">
        <v>333</v>
      </c>
      <c r="B198"/>
      <c r="C198"/>
      <c r="D198" s="1">
        <f t="shared" si="24"/>
        <v>152</v>
      </c>
      <c r="E198" t="s">
        <v>795</v>
      </c>
      <c r="F198" t="s">
        <v>796</v>
      </c>
      <c r="H198" s="6"/>
    </row>
    <row r="199" spans="1:30" x14ac:dyDescent="0.2">
      <c r="A199"/>
      <c r="B199"/>
      <c r="C199"/>
      <c r="D199" s="1">
        <f t="shared" si="24"/>
        <v>153</v>
      </c>
      <c r="E199" t="s">
        <v>1269</v>
      </c>
      <c r="F199" t="s">
        <v>1270</v>
      </c>
      <c r="G199" s="7">
        <v>3.5</v>
      </c>
      <c r="H199" s="6"/>
    </row>
    <row r="200" spans="1:30" x14ac:dyDescent="0.2">
      <c r="A200" t="s">
        <v>333</v>
      </c>
      <c r="B200"/>
      <c r="C200"/>
      <c r="D200" s="1">
        <f t="shared" si="24"/>
        <v>154</v>
      </c>
      <c r="E200" t="s">
        <v>793</v>
      </c>
      <c r="F200" t="s">
        <v>794</v>
      </c>
      <c r="H200" s="6"/>
    </row>
    <row r="201" spans="1:30" x14ac:dyDescent="0.2">
      <c r="A201" t="s">
        <v>333</v>
      </c>
      <c r="B201"/>
      <c r="C201"/>
      <c r="D201" s="1">
        <f t="shared" si="24"/>
        <v>155</v>
      </c>
      <c r="E201" t="s">
        <v>792</v>
      </c>
      <c r="F201" t="s">
        <v>791</v>
      </c>
      <c r="H201" s="6"/>
    </row>
    <row r="202" spans="1:30" x14ac:dyDescent="0.2">
      <c r="A202" t="s">
        <v>333</v>
      </c>
      <c r="B202"/>
      <c r="C202"/>
      <c r="D202" s="1">
        <f t="shared" si="24"/>
        <v>156</v>
      </c>
      <c r="E202" t="s">
        <v>789</v>
      </c>
      <c r="F202" t="s">
        <v>790</v>
      </c>
      <c r="H202" s="6"/>
    </row>
    <row r="203" spans="1:30" x14ac:dyDescent="0.2">
      <c r="A203" t="s">
        <v>333</v>
      </c>
      <c r="B203"/>
      <c r="C203"/>
      <c r="D203" s="1">
        <f t="shared" si="24"/>
        <v>157</v>
      </c>
      <c r="E203" t="s">
        <v>770</v>
      </c>
      <c r="F203" t="s">
        <v>771</v>
      </c>
      <c r="H203" s="6"/>
    </row>
    <row r="204" spans="1:30" x14ac:dyDescent="0.2">
      <c r="A204" t="s">
        <v>333</v>
      </c>
      <c r="B204"/>
      <c r="C204"/>
      <c r="D204" s="1">
        <f t="shared" si="24"/>
        <v>158</v>
      </c>
      <c r="E204" s="1" t="s">
        <v>193</v>
      </c>
      <c r="F204" s="1" t="s">
        <v>194</v>
      </c>
      <c r="G204" s="7">
        <v>5.7</v>
      </c>
      <c r="H204" s="6">
        <v>821</v>
      </c>
    </row>
    <row r="205" spans="1:30" x14ac:dyDescent="0.2">
      <c r="A205" t="s">
        <v>333</v>
      </c>
      <c r="B205"/>
      <c r="C205"/>
      <c r="D205" s="1">
        <f t="shared" ref="D205:D273" si="26">+D204+1</f>
        <v>159</v>
      </c>
      <c r="E205" t="s">
        <v>303</v>
      </c>
      <c r="F205" t="s">
        <v>304</v>
      </c>
      <c r="G205" s="3">
        <v>3.23</v>
      </c>
      <c r="H205" s="6">
        <v>630</v>
      </c>
    </row>
    <row r="206" spans="1:30" x14ac:dyDescent="0.2">
      <c r="A206" t="s">
        <v>333</v>
      </c>
      <c r="B206"/>
      <c r="C206"/>
      <c r="D206" s="1">
        <f t="shared" si="26"/>
        <v>160</v>
      </c>
      <c r="E206" t="s">
        <v>705</v>
      </c>
      <c r="F206" t="s">
        <v>706</v>
      </c>
      <c r="G206" s="3">
        <v>26.06</v>
      </c>
      <c r="H206" s="6"/>
    </row>
    <row r="207" spans="1:30" x14ac:dyDescent="0.2">
      <c r="A207" t="s">
        <v>333</v>
      </c>
      <c r="B207"/>
      <c r="C207"/>
      <c r="D207" s="1">
        <f>+D213+1</f>
        <v>162</v>
      </c>
      <c r="E207" s="1" t="s">
        <v>199</v>
      </c>
      <c r="F207" s="1" t="s">
        <v>200</v>
      </c>
      <c r="G207" s="3">
        <v>4.16</v>
      </c>
      <c r="H207" s="6">
        <v>590</v>
      </c>
    </row>
    <row r="208" spans="1:30" x14ac:dyDescent="0.2">
      <c r="A208" t="s">
        <v>333</v>
      </c>
      <c r="B208"/>
      <c r="C208"/>
      <c r="D208" s="1">
        <f t="shared" si="26"/>
        <v>163</v>
      </c>
      <c r="E208" t="s">
        <v>290</v>
      </c>
      <c r="F208" t="s">
        <v>291</v>
      </c>
      <c r="G208" s="3">
        <v>8.4499999999999993</v>
      </c>
      <c r="H208" s="6">
        <f>4406/HKD</f>
        <v>564.87179487179492</v>
      </c>
    </row>
    <row r="209" spans="1:31" x14ac:dyDescent="0.2">
      <c r="A209" t="s">
        <v>333</v>
      </c>
      <c r="B209"/>
      <c r="C209"/>
      <c r="D209" s="1">
        <f t="shared" si="26"/>
        <v>164</v>
      </c>
      <c r="E209" s="5" t="s">
        <v>726</v>
      </c>
      <c r="F209" t="s">
        <v>727</v>
      </c>
      <c r="G209" s="3">
        <v>11.46</v>
      </c>
      <c r="H209" s="6">
        <f>+G209*L209</f>
        <v>464.21490714000004</v>
      </c>
      <c r="I209" s="6">
        <f>+[122]Main!$L$5-[122]Main!$L$6</f>
        <v>732.13299999999992</v>
      </c>
      <c r="J209" s="6">
        <f>+H209-I209</f>
        <v>-267.91809285999989</v>
      </c>
      <c r="K209" s="3" t="s">
        <v>1277</v>
      </c>
      <c r="L209" s="6">
        <f>+[122]Main!$L$3</f>
        <v>40.507409000000003</v>
      </c>
      <c r="M209" s="9">
        <v>45684</v>
      </c>
    </row>
    <row r="210" spans="1:31" x14ac:dyDescent="0.2">
      <c r="D210" s="1">
        <f t="shared" si="26"/>
        <v>165</v>
      </c>
      <c r="E210" s="1" t="s">
        <v>142</v>
      </c>
      <c r="F210" s="1" t="s">
        <v>143</v>
      </c>
      <c r="G210" s="3">
        <v>2.37</v>
      </c>
      <c r="H210" s="6"/>
    </row>
    <row r="211" spans="1:31" x14ac:dyDescent="0.2">
      <c r="A211" t="s">
        <v>333</v>
      </c>
      <c r="B211"/>
      <c r="C211"/>
      <c r="D211" s="1">
        <f t="shared" si="26"/>
        <v>166</v>
      </c>
      <c r="E211" t="s">
        <v>509</v>
      </c>
      <c r="F211" t="s">
        <v>510</v>
      </c>
      <c r="G211" s="7">
        <v>3.19</v>
      </c>
      <c r="H211" s="6">
        <v>439</v>
      </c>
    </row>
    <row r="212" spans="1:31" x14ac:dyDescent="0.2">
      <c r="A212" t="s">
        <v>333</v>
      </c>
      <c r="B212"/>
      <c r="C212"/>
      <c r="D212" s="1">
        <f t="shared" si="26"/>
        <v>167</v>
      </c>
      <c r="E212" s="1" t="s">
        <v>207</v>
      </c>
      <c r="F212" s="1" t="s">
        <v>208</v>
      </c>
      <c r="G212" s="3">
        <v>10.98</v>
      </c>
      <c r="H212" s="6">
        <v>548</v>
      </c>
    </row>
    <row r="213" spans="1:31" x14ac:dyDescent="0.2">
      <c r="A213" t="s">
        <v>333</v>
      </c>
      <c r="B213"/>
      <c r="C213"/>
      <c r="D213" s="1">
        <f>+D206+1</f>
        <v>161</v>
      </c>
      <c r="E213" s="5" t="s">
        <v>703</v>
      </c>
      <c r="F213" t="s">
        <v>704</v>
      </c>
      <c r="G213" s="7">
        <v>41.52</v>
      </c>
      <c r="H213" s="6">
        <f t="shared" ref="H213:H218" si="27">+G213*L213</f>
        <v>2689.0541764800005</v>
      </c>
      <c r="I213" s="6">
        <f>+[123]Main!$L$5-[123]Main!$L$6</f>
        <v>911.00500000000011</v>
      </c>
      <c r="J213" s="6">
        <f>+H213-I213</f>
        <v>1778.0491764800004</v>
      </c>
      <c r="K213" s="3" t="s">
        <v>1277</v>
      </c>
      <c r="L213" s="6">
        <f>+[123]Main!$L$3</f>
        <v>64.765274000000005</v>
      </c>
      <c r="M213" s="9">
        <v>45632</v>
      </c>
    </row>
    <row r="214" spans="1:31" x14ac:dyDescent="0.2">
      <c r="A214" t="s">
        <v>333</v>
      </c>
      <c r="B214"/>
      <c r="C214"/>
      <c r="D214" s="1">
        <f>+D207+1</f>
        <v>163</v>
      </c>
      <c r="E214" s="5" t="s">
        <v>287</v>
      </c>
      <c r="F214" t="s">
        <v>288</v>
      </c>
      <c r="G214" s="7">
        <v>0.61</v>
      </c>
      <c r="H214" s="6">
        <f t="shared" si="27"/>
        <v>89.294191199999986</v>
      </c>
      <c r="I214" s="6">
        <f>+[124]Main!$L$5-[124]Main!$L$6</f>
        <v>24.916284999999998</v>
      </c>
      <c r="J214" s="6">
        <f t="shared" ref="J214:J219" si="28">+H214-I214</f>
        <v>64.377906199999984</v>
      </c>
      <c r="K214" s="3" t="s">
        <v>1277</v>
      </c>
      <c r="L214" s="6">
        <f>+[124]Main!$L$3</f>
        <v>146.38391999999999</v>
      </c>
      <c r="M214" s="9">
        <v>45684</v>
      </c>
    </row>
    <row r="215" spans="1:31" s="95" customFormat="1" x14ac:dyDescent="0.2">
      <c r="D215" s="95">
        <f t="shared" si="26"/>
        <v>164</v>
      </c>
      <c r="E215" s="96" t="s">
        <v>950</v>
      </c>
      <c r="F215" s="95" t="s">
        <v>951</v>
      </c>
      <c r="G215" s="97">
        <v>33.89</v>
      </c>
      <c r="H215" s="98">
        <f t="shared" si="27"/>
        <v>1318.30476669</v>
      </c>
      <c r="I215" s="98">
        <f>+[125]Main!$K$5-[125]Main!$K$6</f>
        <v>304.87299999999999</v>
      </c>
      <c r="J215" s="98">
        <f>+H215-I215</f>
        <v>1013.4317666899999</v>
      </c>
      <c r="K215" s="97" t="s">
        <v>1071</v>
      </c>
      <c r="L215" s="98">
        <f>+[125]Main!$K$3</f>
        <v>38.899521</v>
      </c>
      <c r="M215" s="99">
        <v>45558</v>
      </c>
      <c r="N215" s="97"/>
      <c r="O215" s="97"/>
      <c r="P215" s="97"/>
      <c r="Q215" s="97"/>
      <c r="R215" s="97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</row>
    <row r="216" spans="1:31" x14ac:dyDescent="0.2">
      <c r="A216" t="s">
        <v>333</v>
      </c>
      <c r="B216"/>
      <c r="C216"/>
      <c r="D216" s="1">
        <f t="shared" si="26"/>
        <v>165</v>
      </c>
      <c r="E216" s="5" t="s">
        <v>223</v>
      </c>
      <c r="F216" s="1" t="s">
        <v>224</v>
      </c>
      <c r="G216" s="3">
        <v>23.75</v>
      </c>
      <c r="H216" s="6">
        <f t="shared" si="27"/>
        <v>1355.4004112499999</v>
      </c>
      <c r="I216" s="6">
        <f>+[126]Main!$K$5-[126]Main!$K$6</f>
        <v>449.76100000000002</v>
      </c>
      <c r="J216" s="6">
        <f t="shared" si="28"/>
        <v>905.63941124999997</v>
      </c>
      <c r="K216" s="3" t="s">
        <v>418</v>
      </c>
      <c r="L216" s="6">
        <f>+[126]Main!$K$3</f>
        <v>57.069490999999999</v>
      </c>
      <c r="M216" s="9">
        <v>44947</v>
      </c>
      <c r="AE216" s="1">
        <v>2015</v>
      </c>
    </row>
    <row r="217" spans="1:31" x14ac:dyDescent="0.2">
      <c r="A217" t="s">
        <v>333</v>
      </c>
      <c r="B217"/>
      <c r="C217"/>
      <c r="D217" s="1">
        <f t="shared" si="26"/>
        <v>166</v>
      </c>
      <c r="E217" s="5" t="s">
        <v>754</v>
      </c>
      <c r="F217" t="s">
        <v>755</v>
      </c>
      <c r="G217" s="7">
        <v>14.34</v>
      </c>
      <c r="H217" s="6">
        <f t="shared" si="27"/>
        <v>1258.48493904</v>
      </c>
      <c r="I217" s="6">
        <f>+[127]Main!$K$5-[127]Main!$K$6</f>
        <v>361.86599999999999</v>
      </c>
      <c r="J217" s="6">
        <f t="shared" si="28"/>
        <v>896.61893903999999</v>
      </c>
      <c r="K217" s="3" t="s">
        <v>1071</v>
      </c>
      <c r="L217" s="6">
        <f>+[127]Main!$K$3</f>
        <v>87.760456000000005</v>
      </c>
      <c r="M217" s="9">
        <v>45555</v>
      </c>
    </row>
    <row r="218" spans="1:31" x14ac:dyDescent="0.2">
      <c r="D218" s="1">
        <f t="shared" si="26"/>
        <v>167</v>
      </c>
      <c r="E218" s="5" t="s">
        <v>1192</v>
      </c>
      <c r="F218" s="41" t="s">
        <v>1193</v>
      </c>
      <c r="G218" s="7">
        <v>8.39</v>
      </c>
      <c r="H218" s="6">
        <f t="shared" si="27"/>
        <v>963.56021369000007</v>
      </c>
      <c r="I218" s="6">
        <f>+[128]Main!$L$5-[128]Main!$L$6</f>
        <v>122.197</v>
      </c>
      <c r="J218" s="6">
        <f>+H218-I218</f>
        <v>841.36321369000007</v>
      </c>
      <c r="K218" s="3" t="s">
        <v>1071</v>
      </c>
      <c r="L218" s="6">
        <f>+[128]Main!$L$3</f>
        <v>114.846271</v>
      </c>
      <c r="M218" s="9">
        <v>45567</v>
      </c>
    </row>
    <row r="219" spans="1:31" x14ac:dyDescent="0.2">
      <c r="A219" t="s">
        <v>333</v>
      </c>
      <c r="B219"/>
      <c r="C219"/>
      <c r="D219" s="1">
        <f t="shared" si="26"/>
        <v>168</v>
      </c>
      <c r="E219" s="5" t="s">
        <v>297</v>
      </c>
      <c r="F219" t="s">
        <v>298</v>
      </c>
      <c r="G219" s="3">
        <v>11</v>
      </c>
      <c r="H219" s="6">
        <f>+G219*[129]Main!$L$3</f>
        <v>798.23003700000004</v>
      </c>
      <c r="I219" s="6">
        <f>+[129]Main!$L$5-[129]Main!$L$6</f>
        <v>153.25991400000001</v>
      </c>
      <c r="J219" s="6">
        <f t="shared" si="28"/>
        <v>644.97012300000006</v>
      </c>
      <c r="K219" s="3" t="s">
        <v>16</v>
      </c>
      <c r="M219" s="9">
        <v>44771</v>
      </c>
      <c r="N219" s="9"/>
      <c r="O219" s="9"/>
      <c r="P219" s="9"/>
      <c r="Q219" s="9"/>
      <c r="R219" s="9"/>
    </row>
    <row r="220" spans="1:31" x14ac:dyDescent="0.2">
      <c r="A220"/>
      <c r="B220"/>
      <c r="C220"/>
      <c r="D220" s="1">
        <f>+D221+1</f>
        <v>170</v>
      </c>
      <c r="E220" s="5" t="s">
        <v>1196</v>
      </c>
      <c r="F220" t="s">
        <v>1197</v>
      </c>
      <c r="G220" s="3">
        <v>7.86</v>
      </c>
      <c r="H220" s="6">
        <f t="shared" ref="H220:H226" si="29">+G220*L220</f>
        <v>491.65306866000003</v>
      </c>
      <c r="I220" s="6">
        <f>+[130]Main!$K$5-[130]Main!$K$6</f>
        <v>62.650000000000006</v>
      </c>
      <c r="J220" s="6">
        <f t="shared" ref="J220:J226" si="30">+H220-I220</f>
        <v>429.00306866000005</v>
      </c>
      <c r="K220" s="3" t="s">
        <v>1071</v>
      </c>
      <c r="L220" s="6">
        <f>+[130]Main!$K$3</f>
        <v>62.551281000000003</v>
      </c>
      <c r="M220" s="9">
        <v>45569</v>
      </c>
      <c r="AE220" s="1">
        <v>2014</v>
      </c>
    </row>
    <row r="221" spans="1:31" x14ac:dyDescent="0.2">
      <c r="A221" t="s">
        <v>333</v>
      </c>
      <c r="B221"/>
      <c r="C221"/>
      <c r="D221" s="1">
        <f>+D219+1</f>
        <v>169</v>
      </c>
      <c r="E221" s="5" t="s">
        <v>191</v>
      </c>
      <c r="F221" s="1" t="s">
        <v>192</v>
      </c>
      <c r="G221" s="3">
        <v>7.36</v>
      </c>
      <c r="H221" s="6">
        <f t="shared" si="29"/>
        <v>897.18233664000002</v>
      </c>
      <c r="I221" s="6">
        <f>+[131]Main!$J$5-[131]Main!$J$6</f>
        <v>601.58999999999992</v>
      </c>
      <c r="J221" s="6">
        <f t="shared" si="30"/>
        <v>295.5923366400001</v>
      </c>
      <c r="K221" s="3" t="s">
        <v>16</v>
      </c>
      <c r="L221" s="6">
        <f>+[131]Main!$J$3</f>
        <v>121.89977399999999</v>
      </c>
      <c r="M221" s="9">
        <v>44827</v>
      </c>
    </row>
    <row r="222" spans="1:31" x14ac:dyDescent="0.2">
      <c r="A222" t="s">
        <v>333</v>
      </c>
      <c r="B222">
        <v>6</v>
      </c>
      <c r="C222">
        <v>1</v>
      </c>
      <c r="D222" s="1">
        <f>+D238+1</f>
        <v>187</v>
      </c>
      <c r="E222" s="5" t="s">
        <v>784</v>
      </c>
      <c r="F222" t="s">
        <v>785</v>
      </c>
      <c r="G222" s="3">
        <v>8.7899999999999991</v>
      </c>
      <c r="H222" s="6">
        <f t="shared" si="29"/>
        <v>994.3367280299999</v>
      </c>
      <c r="I222" s="6">
        <f>+[132]Main!$K$5-[132]Main!$K$6</f>
        <v>642.26800000000003</v>
      </c>
      <c r="J222" s="6">
        <f t="shared" si="30"/>
        <v>352.06872802999987</v>
      </c>
      <c r="K222" s="3" t="s">
        <v>1278</v>
      </c>
      <c r="L222" s="6">
        <f>+[132]Main!$K$3</f>
        <v>113.121357</v>
      </c>
      <c r="M222" s="9">
        <v>45751</v>
      </c>
    </row>
    <row r="223" spans="1:31" x14ac:dyDescent="0.2">
      <c r="A223"/>
      <c r="B223"/>
      <c r="C223"/>
      <c r="D223" s="1">
        <f>+D220+1</f>
        <v>171</v>
      </c>
      <c r="E223" s="5" t="s">
        <v>1194</v>
      </c>
      <c r="F223" t="s">
        <v>1195</v>
      </c>
      <c r="G223" s="7">
        <v>1</v>
      </c>
      <c r="H223" s="6">
        <f t="shared" si="29"/>
        <v>226.227259</v>
      </c>
      <c r="I223" s="6">
        <f>+[133]Main!$K$5-[133]Main!$K$6</f>
        <v>157.43700000000001</v>
      </c>
      <c r="J223" s="6">
        <f t="shared" si="30"/>
        <v>68.790258999999992</v>
      </c>
      <c r="K223" s="3" t="s">
        <v>1071</v>
      </c>
      <c r="L223" s="6">
        <f>+[133]Main!$K$3</f>
        <v>226.227259</v>
      </c>
      <c r="M223" s="9">
        <v>45569</v>
      </c>
    </row>
    <row r="224" spans="1:31" x14ac:dyDescent="0.2">
      <c r="A224" t="s">
        <v>333</v>
      </c>
      <c r="B224"/>
      <c r="C224"/>
      <c r="D224" s="1">
        <f>+D229+1</f>
        <v>176</v>
      </c>
      <c r="E224" s="5" t="s">
        <v>1166</v>
      </c>
      <c r="F224" t="s">
        <v>1167</v>
      </c>
      <c r="G224" s="3">
        <v>9.34</v>
      </c>
      <c r="H224" s="6">
        <f t="shared" si="29"/>
        <v>289.28000241999996</v>
      </c>
      <c r="I224" s="6">
        <f>+[134]Main!$J$5-[134]Main!$J$6</f>
        <v>220.43200000000002</v>
      </c>
      <c r="J224" s="6">
        <f t="shared" si="30"/>
        <v>68.848002419999943</v>
      </c>
      <c r="K224" s="3" t="s">
        <v>1071</v>
      </c>
      <c r="L224" s="6">
        <f>+[134]Main!$J$3</f>
        <v>30.972162999999998</v>
      </c>
      <c r="M224" s="9">
        <v>45548</v>
      </c>
      <c r="AE224" s="1">
        <v>2018</v>
      </c>
    </row>
    <row r="225" spans="1:30" x14ac:dyDescent="0.2">
      <c r="A225"/>
      <c r="B225"/>
      <c r="C225"/>
      <c r="D225" s="1">
        <f>+D232+1</f>
        <v>180</v>
      </c>
      <c r="E225" s="5" t="s">
        <v>1181</v>
      </c>
      <c r="F225" t="s">
        <v>1182</v>
      </c>
      <c r="G225" s="7">
        <v>1.08</v>
      </c>
      <c r="H225" s="6">
        <f t="shared" si="29"/>
        <v>76.012537320000007</v>
      </c>
      <c r="I225" s="6">
        <f>+[135]Main!$L$5-[135]Main!$L$6</f>
        <v>10.994</v>
      </c>
      <c r="J225" s="6">
        <f t="shared" si="30"/>
        <v>65.018537320000007</v>
      </c>
      <c r="K225" s="3" t="s">
        <v>1071</v>
      </c>
      <c r="L225" s="6">
        <f>+[135]Main!$L$3</f>
        <v>70.381979000000001</v>
      </c>
      <c r="M225" s="9">
        <v>45562</v>
      </c>
    </row>
    <row r="226" spans="1:30" customFormat="1" x14ac:dyDescent="0.2">
      <c r="A226" t="s">
        <v>333</v>
      </c>
      <c r="D226" s="1">
        <f>+D223+1</f>
        <v>172</v>
      </c>
      <c r="E226" s="5" t="s">
        <v>772</v>
      </c>
      <c r="F226" t="s">
        <v>773</v>
      </c>
      <c r="G226" s="54">
        <v>3.64</v>
      </c>
      <c r="H226" s="30">
        <f t="shared" si="29"/>
        <v>174.63324424000001</v>
      </c>
      <c r="I226" s="30">
        <f>+[136]Main!$J$5-[136]Main!$J$6</f>
        <v>149</v>
      </c>
      <c r="J226" s="30">
        <f t="shared" si="30"/>
        <v>25.63324424000001</v>
      </c>
      <c r="K226" s="28" t="s">
        <v>1277</v>
      </c>
      <c r="L226" s="30">
        <f>+[136]Main!$J$3</f>
        <v>47.976165999999999</v>
      </c>
      <c r="M226" s="37">
        <v>45628</v>
      </c>
      <c r="N226" s="28"/>
      <c r="O226" s="28"/>
      <c r="P226" s="28"/>
      <c r="Q226" s="28"/>
      <c r="R226" s="2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s="25" customFormat="1" x14ac:dyDescent="0.2">
      <c r="A227" s="25" t="s">
        <v>333</v>
      </c>
      <c r="D227" s="1">
        <f t="shared" si="26"/>
        <v>173</v>
      </c>
      <c r="E227" s="25" t="s">
        <v>301</v>
      </c>
      <c r="F227" s="25" t="s">
        <v>302</v>
      </c>
      <c r="G227" s="26">
        <v>12.42</v>
      </c>
      <c r="H227" s="27">
        <v>516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</row>
    <row r="228" spans="1:30" x14ac:dyDescent="0.2">
      <c r="A228" t="s">
        <v>333</v>
      </c>
      <c r="B228"/>
      <c r="C228"/>
      <c r="D228" s="1">
        <f t="shared" si="26"/>
        <v>174</v>
      </c>
      <c r="E228" t="s">
        <v>308</v>
      </c>
      <c r="F228" t="s">
        <v>309</v>
      </c>
      <c r="G228" s="3">
        <v>3.26</v>
      </c>
      <c r="H228" s="6">
        <v>272</v>
      </c>
    </row>
    <row r="229" spans="1:30" x14ac:dyDescent="0.2">
      <c r="A229" t="s">
        <v>333</v>
      </c>
      <c r="B229"/>
      <c r="C229"/>
      <c r="D229" s="1">
        <f t="shared" si="26"/>
        <v>175</v>
      </c>
      <c r="E229" s="1" t="s">
        <v>217</v>
      </c>
      <c r="F229" s="1" t="s">
        <v>218</v>
      </c>
      <c r="G229" s="3">
        <v>6.34</v>
      </c>
      <c r="H229" s="3">
        <v>547</v>
      </c>
    </row>
    <row r="230" spans="1:30" x14ac:dyDescent="0.2">
      <c r="A230" t="s">
        <v>333</v>
      </c>
      <c r="B230"/>
      <c r="C230"/>
      <c r="D230" s="1">
        <f>+D224+1</f>
        <v>177</v>
      </c>
      <c r="E230" s="1" t="s">
        <v>219</v>
      </c>
      <c r="F230" s="1" t="s">
        <v>220</v>
      </c>
      <c r="G230" s="7">
        <v>31.39</v>
      </c>
      <c r="H230" s="3">
        <v>1020</v>
      </c>
    </row>
    <row r="231" spans="1:30" x14ac:dyDescent="0.2">
      <c r="A231" t="s">
        <v>333</v>
      </c>
      <c r="B231"/>
      <c r="C231"/>
      <c r="D231" s="1">
        <f t="shared" si="26"/>
        <v>178</v>
      </c>
      <c r="E231" t="s">
        <v>760</v>
      </c>
      <c r="F231" t="s">
        <v>761</v>
      </c>
      <c r="G231" s="7"/>
    </row>
    <row r="232" spans="1:30" x14ac:dyDescent="0.2">
      <c r="A232" t="s">
        <v>333</v>
      </c>
      <c r="B232"/>
      <c r="C232"/>
      <c r="D232" s="1">
        <f t="shared" si="26"/>
        <v>179</v>
      </c>
      <c r="E232" t="s">
        <v>758</v>
      </c>
      <c r="F232" t="s">
        <v>759</v>
      </c>
      <c r="G232" s="7"/>
    </row>
    <row r="233" spans="1:30" x14ac:dyDescent="0.2">
      <c r="A233" t="s">
        <v>333</v>
      </c>
      <c r="B233"/>
      <c r="C233"/>
      <c r="D233" s="1">
        <f>+D225+1</f>
        <v>181</v>
      </c>
      <c r="E233" t="s">
        <v>756</v>
      </c>
      <c r="F233" t="s">
        <v>757</v>
      </c>
      <c r="G233" s="7"/>
    </row>
    <row r="234" spans="1:30" x14ac:dyDescent="0.2">
      <c r="A234"/>
      <c r="B234"/>
      <c r="C234"/>
      <c r="D234" s="1">
        <f t="shared" si="26"/>
        <v>182</v>
      </c>
      <c r="E234" t="s">
        <v>1172</v>
      </c>
      <c r="F234" t="s">
        <v>1173</v>
      </c>
      <c r="G234" s="7">
        <v>5.43</v>
      </c>
    </row>
    <row r="235" spans="1:30" x14ac:dyDescent="0.2">
      <c r="A235" t="s">
        <v>333</v>
      </c>
      <c r="B235"/>
      <c r="C235"/>
      <c r="D235" s="1">
        <f t="shared" si="26"/>
        <v>183</v>
      </c>
      <c r="E235" t="s">
        <v>752</v>
      </c>
      <c r="F235" t="s">
        <v>753</v>
      </c>
      <c r="G235" s="7">
        <v>5.55</v>
      </c>
      <c r="H235" s="3">
        <v>270</v>
      </c>
    </row>
    <row r="236" spans="1:30" x14ac:dyDescent="0.2">
      <c r="A236"/>
      <c r="B236"/>
      <c r="C236"/>
      <c r="D236" s="1">
        <f t="shared" si="26"/>
        <v>184</v>
      </c>
      <c r="E236" t="s">
        <v>1299</v>
      </c>
      <c r="F236" t="s">
        <v>1300</v>
      </c>
      <c r="G236" s="7">
        <v>2.0499999999999998</v>
      </c>
      <c r="H236" s="3">
        <v>164</v>
      </c>
    </row>
    <row r="237" spans="1:30" x14ac:dyDescent="0.2">
      <c r="A237" t="s">
        <v>333</v>
      </c>
      <c r="B237"/>
      <c r="C237"/>
      <c r="D237" s="1">
        <f t="shared" si="26"/>
        <v>185</v>
      </c>
      <c r="E237" s="1" t="s">
        <v>221</v>
      </c>
      <c r="F237" s="1" t="s">
        <v>222</v>
      </c>
      <c r="G237" s="7">
        <v>5.9</v>
      </c>
      <c r="H237" s="6">
        <v>508</v>
      </c>
    </row>
    <row r="238" spans="1:30" x14ac:dyDescent="0.2">
      <c r="A238" t="s">
        <v>333</v>
      </c>
      <c r="B238"/>
      <c r="C238"/>
      <c r="D238" s="1">
        <f t="shared" si="26"/>
        <v>186</v>
      </c>
      <c r="E238" s="1" t="s">
        <v>225</v>
      </c>
      <c r="F238" s="1" t="s">
        <v>226</v>
      </c>
      <c r="G238" s="3">
        <v>10.31</v>
      </c>
      <c r="H238" s="6">
        <v>1240</v>
      </c>
    </row>
    <row r="239" spans="1:30" x14ac:dyDescent="0.2">
      <c r="A239" t="s">
        <v>333</v>
      </c>
      <c r="B239"/>
      <c r="C239"/>
      <c r="D239" s="1">
        <f>+D222+1</f>
        <v>188</v>
      </c>
      <c r="E239" t="s">
        <v>713</v>
      </c>
      <c r="F239" t="s">
        <v>714</v>
      </c>
      <c r="H239" s="6"/>
    </row>
    <row r="240" spans="1:30" x14ac:dyDescent="0.2">
      <c r="A240" t="s">
        <v>333</v>
      </c>
      <c r="B240"/>
      <c r="C240"/>
      <c r="D240" s="1">
        <f t="shared" si="26"/>
        <v>189</v>
      </c>
      <c r="E240" t="s">
        <v>709</v>
      </c>
      <c r="F240" t="s">
        <v>710</v>
      </c>
    </row>
    <row r="241" spans="1:31" x14ac:dyDescent="0.2">
      <c r="A241" t="s">
        <v>333</v>
      </c>
      <c r="B241"/>
      <c r="C241"/>
      <c r="D241" s="1">
        <f t="shared" si="26"/>
        <v>190</v>
      </c>
      <c r="E241" s="1" t="s">
        <v>227</v>
      </c>
      <c r="F241" s="1" t="s">
        <v>228</v>
      </c>
      <c r="G241" s="7">
        <v>1.3</v>
      </c>
      <c r="H241" s="3">
        <v>107</v>
      </c>
    </row>
    <row r="242" spans="1:31" x14ac:dyDescent="0.2">
      <c r="A242" t="s">
        <v>333</v>
      </c>
      <c r="B242"/>
      <c r="C242"/>
      <c r="D242" s="1">
        <f t="shared" si="26"/>
        <v>191</v>
      </c>
      <c r="E242" s="1" t="s">
        <v>229</v>
      </c>
      <c r="F242" s="1" t="s">
        <v>230</v>
      </c>
      <c r="G242" s="3">
        <v>3.35</v>
      </c>
      <c r="H242" s="3">
        <v>457</v>
      </c>
    </row>
    <row r="243" spans="1:31" x14ac:dyDescent="0.2">
      <c r="A243"/>
      <c r="B243"/>
      <c r="C243"/>
      <c r="D243" s="1">
        <f t="shared" si="26"/>
        <v>192</v>
      </c>
      <c r="E243" s="5" t="s">
        <v>1824</v>
      </c>
      <c r="F243" t="s">
        <v>1825</v>
      </c>
      <c r="G243" s="7">
        <v>40.130000000000003</v>
      </c>
      <c r="H243" s="6">
        <f>+G243*L243</f>
        <v>2387.8627739200001</v>
      </c>
      <c r="I243" s="6">
        <f>+[137]Main!$L$5-[137]Main!$L$6</f>
        <v>731.06899999999996</v>
      </c>
      <c r="J243" s="6">
        <f>+H243-I243</f>
        <v>1656.7937739200001</v>
      </c>
      <c r="K243" s="3" t="s">
        <v>1278</v>
      </c>
      <c r="L243" s="6">
        <f>+[137]Main!$L$3</f>
        <v>59.503183999999997</v>
      </c>
      <c r="M243" s="9">
        <v>45733</v>
      </c>
    </row>
    <row r="244" spans="1:31" x14ac:dyDescent="0.2">
      <c r="A244" t="s">
        <v>333</v>
      </c>
      <c r="B244"/>
      <c r="C244"/>
      <c r="D244" s="1">
        <f t="shared" si="26"/>
        <v>193</v>
      </c>
      <c r="E244" s="5" t="s">
        <v>870</v>
      </c>
      <c r="F244" t="s">
        <v>871</v>
      </c>
      <c r="G244" s="7">
        <v>5.7</v>
      </c>
      <c r="H244" s="6">
        <f>+G244*L244</f>
        <v>877.45876950000002</v>
      </c>
      <c r="I244" s="6">
        <f>+[138]Main!$L$5-[138]Main!$L$6</f>
        <v>-160.48700000000002</v>
      </c>
      <c r="J244" s="6">
        <f>+H244-I244</f>
        <v>1037.9457695000001</v>
      </c>
      <c r="K244" s="3" t="s">
        <v>1278</v>
      </c>
      <c r="L244" s="6">
        <f>+[138]Main!$L$3</f>
        <v>153.940135</v>
      </c>
      <c r="M244" s="9">
        <v>45743</v>
      </c>
    </row>
    <row r="245" spans="1:31" x14ac:dyDescent="0.2">
      <c r="D245" s="1">
        <f t="shared" si="26"/>
        <v>194</v>
      </c>
      <c r="E245" s="5" t="s">
        <v>422</v>
      </c>
      <c r="F245" t="s">
        <v>423</v>
      </c>
      <c r="G245" s="3">
        <v>19.47</v>
      </c>
      <c r="H245" s="6">
        <f>+G245*L245</f>
        <v>1542.2721840899999</v>
      </c>
      <c r="I245" s="6">
        <f>+[139]Main!$N$5-[139]Main!$N$6</f>
        <v>732.71699999999998</v>
      </c>
      <c r="J245" s="6">
        <f>+H245-I245</f>
        <v>809.5551840899999</v>
      </c>
      <c r="K245" s="3" t="s">
        <v>1277</v>
      </c>
      <c r="L245" s="6">
        <f>+[139]Main!$N$3</f>
        <v>79.212746999999993</v>
      </c>
      <c r="M245" s="9">
        <v>45636</v>
      </c>
    </row>
    <row r="246" spans="1:31" x14ac:dyDescent="0.2">
      <c r="A246" t="s">
        <v>333</v>
      </c>
      <c r="B246"/>
      <c r="C246"/>
      <c r="D246" s="1">
        <f t="shared" si="26"/>
        <v>195</v>
      </c>
      <c r="E246" s="5" t="s">
        <v>231</v>
      </c>
      <c r="F246" s="1" t="s">
        <v>232</v>
      </c>
      <c r="G246" s="3">
        <v>7.06</v>
      </c>
      <c r="H246" s="6">
        <f>G246*[140]Main!$J$3</f>
        <v>725.62786605999997</v>
      </c>
      <c r="I246" s="6">
        <f>[140]Main!$J$5-[140]Main!$J$6</f>
        <v>197.79600000000002</v>
      </c>
      <c r="J246" s="8">
        <f>+H246-I246</f>
        <v>527.83186605999992</v>
      </c>
      <c r="K246" s="3" t="s">
        <v>16</v>
      </c>
    </row>
    <row r="247" spans="1:31" x14ac:dyDescent="0.2">
      <c r="A247" t="s">
        <v>333</v>
      </c>
      <c r="B247"/>
      <c r="C247"/>
      <c r="D247" s="1">
        <f t="shared" si="26"/>
        <v>196</v>
      </c>
      <c r="E247" s="5" t="s">
        <v>350</v>
      </c>
      <c r="F247" s="1" t="s">
        <v>351</v>
      </c>
      <c r="G247" s="7">
        <v>0.6</v>
      </c>
      <c r="H247" s="6">
        <f>+G247*L247</f>
        <v>486.43225439999998</v>
      </c>
      <c r="I247" s="6">
        <f>+[141]Main!$K$5-[141]Main!$K$6</f>
        <v>-37.984000000000002</v>
      </c>
      <c r="J247" s="8">
        <f t="shared" ref="J247" si="31">+H247-I247</f>
        <v>524.41625439999996</v>
      </c>
      <c r="K247" s="3" t="s">
        <v>300</v>
      </c>
      <c r="L247" s="6">
        <f>+[141]Main!$K$3</f>
        <v>810.72042399999998</v>
      </c>
      <c r="M247" s="9">
        <v>44816</v>
      </c>
      <c r="AE247" s="1">
        <v>2002</v>
      </c>
    </row>
    <row r="248" spans="1:31" x14ac:dyDescent="0.2">
      <c r="A248" t="s">
        <v>333</v>
      </c>
      <c r="B248"/>
      <c r="C248"/>
      <c r="D248" s="1">
        <f t="shared" si="26"/>
        <v>197</v>
      </c>
      <c r="E248" s="5" t="s">
        <v>237</v>
      </c>
      <c r="F248" s="1" t="s">
        <v>238</v>
      </c>
      <c r="G248" s="7">
        <v>6.29</v>
      </c>
      <c r="H248" s="6">
        <f>+G248*L248</f>
        <v>491.58489229000003</v>
      </c>
      <c r="I248" s="6">
        <f>+[142]Main!$J$5-[142]Main!$J$6</f>
        <v>49.931000000000012</v>
      </c>
      <c r="J248" s="8">
        <f>+H248-I248</f>
        <v>441.65389229000004</v>
      </c>
      <c r="K248" s="3" t="s">
        <v>1277</v>
      </c>
      <c r="L248" s="6">
        <f>[142]Main!$J$3</f>
        <v>78.153401000000002</v>
      </c>
      <c r="M248" s="9">
        <v>45659</v>
      </c>
    </row>
    <row r="249" spans="1:31" x14ac:dyDescent="0.2">
      <c r="D249" s="1">
        <f t="shared" si="26"/>
        <v>198</v>
      </c>
      <c r="E249" s="5" t="s">
        <v>560</v>
      </c>
      <c r="F249" t="s">
        <v>561</v>
      </c>
      <c r="G249" s="3">
        <v>12.34</v>
      </c>
      <c r="H249" s="6">
        <f>+G249*L249</f>
        <v>520.74076875999992</v>
      </c>
      <c r="I249" s="6">
        <f>+[143]Main!$J$5-[143]Main!$J$6</f>
        <v>127.87499999999999</v>
      </c>
      <c r="J249" s="6">
        <f>+H249-I249</f>
        <v>392.86576875999992</v>
      </c>
      <c r="K249" s="3" t="s">
        <v>1277</v>
      </c>
      <c r="L249" s="6">
        <f>+[143]Main!$J$3</f>
        <v>42.199413999999997</v>
      </c>
      <c r="M249" s="9">
        <v>45631</v>
      </c>
    </row>
    <row r="250" spans="1:31" x14ac:dyDescent="0.2">
      <c r="A250" t="s">
        <v>333</v>
      </c>
      <c r="B250"/>
      <c r="C250"/>
      <c r="D250" s="1">
        <f t="shared" si="26"/>
        <v>199</v>
      </c>
      <c r="E250" s="5" t="s">
        <v>233</v>
      </c>
      <c r="F250" s="1" t="s">
        <v>234</v>
      </c>
      <c r="G250" s="3">
        <v>14.68</v>
      </c>
      <c r="H250" s="6">
        <f>G250*[144]Main!$L$3</f>
        <v>587.26396075999992</v>
      </c>
      <c r="I250" s="6">
        <f>[144]Main!$L$5-[144]Main!$L$6</f>
        <v>277.88299999999998</v>
      </c>
      <c r="J250" s="8">
        <f>+H250-I250</f>
        <v>309.38096075999994</v>
      </c>
      <c r="K250" s="3" t="s">
        <v>16</v>
      </c>
    </row>
    <row r="251" spans="1:31" x14ac:dyDescent="0.2">
      <c r="B251" s="1">
        <v>7</v>
      </c>
      <c r="C251" s="1">
        <v>4</v>
      </c>
      <c r="D251" s="1">
        <f t="shared" si="26"/>
        <v>200</v>
      </c>
      <c r="E251" s="5" t="s">
        <v>799</v>
      </c>
      <c r="F251" t="s">
        <v>1809</v>
      </c>
      <c r="G251" s="3">
        <v>8.85</v>
      </c>
      <c r="H251" s="6">
        <f>+G251*L251/10</f>
        <v>695.17723499999988</v>
      </c>
      <c r="I251" s="6">
        <f>+[145]Main!$M$5-[145]Main!$M$6</f>
        <v>87</v>
      </c>
      <c r="J251" s="6">
        <f>+H251-I251</f>
        <v>608.17723499999988</v>
      </c>
      <c r="K251" s="3" t="s">
        <v>1277</v>
      </c>
      <c r="L251" s="6">
        <f>+[145]Main!$M$3</f>
        <v>785.51099999999997</v>
      </c>
      <c r="M251" s="9">
        <v>45749</v>
      </c>
    </row>
    <row r="252" spans="1:31" x14ac:dyDescent="0.2">
      <c r="A252" t="s">
        <v>333</v>
      </c>
      <c r="B252"/>
      <c r="C252"/>
      <c r="D252" s="1">
        <f t="shared" si="26"/>
        <v>201</v>
      </c>
      <c r="E252" s="5" t="s">
        <v>235</v>
      </c>
      <c r="F252" s="1" t="s">
        <v>236</v>
      </c>
      <c r="G252" s="3">
        <v>4.8600000000000003</v>
      </c>
      <c r="H252" s="6">
        <f>G252*[146]Main!$J$3</f>
        <v>312.71415336000001</v>
      </c>
      <c r="I252" s="8">
        <f>+[146]Main!$J$5-[146]Main!$J$6</f>
        <v>92.317999999999998</v>
      </c>
      <c r="J252" s="8">
        <f>+H252-I252</f>
        <v>220.39615336000003</v>
      </c>
      <c r="K252" s="3" t="s">
        <v>16</v>
      </c>
    </row>
    <row r="253" spans="1:31" x14ac:dyDescent="0.2">
      <c r="D253" s="1">
        <f t="shared" si="26"/>
        <v>202</v>
      </c>
      <c r="E253" s="5" t="s">
        <v>239</v>
      </c>
      <c r="F253" s="1" t="s">
        <v>240</v>
      </c>
      <c r="G253" s="7">
        <v>0.7</v>
      </c>
      <c r="H253" s="6">
        <f>G253*[147]Main!$M$3</f>
        <v>128.9392503</v>
      </c>
      <c r="I253" s="6">
        <f>[147]Main!$M$5-[147]Main!$M$6</f>
        <v>-59.50200000000001</v>
      </c>
      <c r="J253" s="8">
        <f t="shared" ref="J253:J260" si="32">+H253-I253</f>
        <v>188.44125030000001</v>
      </c>
      <c r="K253" s="3" t="s">
        <v>16</v>
      </c>
    </row>
    <row r="254" spans="1:31" x14ac:dyDescent="0.2">
      <c r="D254" s="1">
        <f t="shared" si="26"/>
        <v>203</v>
      </c>
      <c r="E254" s="5" t="s">
        <v>993</v>
      </c>
      <c r="F254" t="s">
        <v>994</v>
      </c>
      <c r="G254" s="3">
        <v>1.91</v>
      </c>
      <c r="H254" s="6">
        <f>+G254*L254</f>
        <v>144.77073818</v>
      </c>
      <c r="I254" s="6">
        <f>+[148]Main!$K$5-[148]Main!$K$6</f>
        <v>78.481999999999999</v>
      </c>
      <c r="J254" s="6">
        <f>+H254-I254</f>
        <v>66.288738179999996</v>
      </c>
      <c r="K254" s="3" t="s">
        <v>1071</v>
      </c>
      <c r="L254" s="6">
        <f>+[148]Main!$K$3</f>
        <v>75.796198000000004</v>
      </c>
      <c r="M254" s="9">
        <v>45573</v>
      </c>
    </row>
    <row r="255" spans="1:31" x14ac:dyDescent="0.2">
      <c r="A255" t="s">
        <v>333</v>
      </c>
      <c r="B255"/>
      <c r="C255"/>
      <c r="D255" s="1">
        <f t="shared" si="26"/>
        <v>204</v>
      </c>
      <c r="E255" s="5" t="s">
        <v>320</v>
      </c>
      <c r="F255" t="s">
        <v>321</v>
      </c>
      <c r="G255" s="3">
        <v>3.23</v>
      </c>
      <c r="H255" s="6">
        <f>+G255*L255</f>
        <v>30.407559149999997</v>
      </c>
      <c r="I255" s="6">
        <f>+[149]Main!$N$5-[149]Main!$N$6</f>
        <v>-7.4640000000000004</v>
      </c>
      <c r="J255" s="6">
        <f>+H255-I255</f>
        <v>37.871559149999996</v>
      </c>
      <c r="K255" s="3" t="s">
        <v>300</v>
      </c>
      <c r="L255" s="6">
        <f>+[149]Main!$N$3</f>
        <v>9.4141049999999993</v>
      </c>
      <c r="M255" s="9">
        <v>44780</v>
      </c>
    </row>
    <row r="256" spans="1:31" x14ac:dyDescent="0.2">
      <c r="A256" t="s">
        <v>333</v>
      </c>
      <c r="B256"/>
      <c r="C256"/>
      <c r="D256" s="1">
        <f t="shared" si="26"/>
        <v>205</v>
      </c>
      <c r="E256" s="5" t="s">
        <v>241</v>
      </c>
      <c r="F256" s="1" t="s">
        <v>242</v>
      </c>
      <c r="G256" s="3">
        <v>1.98</v>
      </c>
      <c r="H256" s="6">
        <f>G256*[150]Main!$N$3</f>
        <v>39.757463459999997</v>
      </c>
      <c r="I256" s="6">
        <f>[150]Main!$N$5-[150]Main!$N$6</f>
        <v>15.942</v>
      </c>
      <c r="J256" s="8">
        <f t="shared" si="32"/>
        <v>23.815463459999997</v>
      </c>
      <c r="K256" s="3" t="s">
        <v>16</v>
      </c>
    </row>
    <row r="257" spans="4:31" x14ac:dyDescent="0.2">
      <c r="D257" s="1">
        <f t="shared" si="26"/>
        <v>206</v>
      </c>
      <c r="E257" s="5" t="s">
        <v>243</v>
      </c>
      <c r="F257" s="1" t="s">
        <v>244</v>
      </c>
      <c r="G257" s="3">
        <v>0.62</v>
      </c>
      <c r="H257" s="6">
        <f>G257*[151]Main!$L$3</f>
        <v>30.1881658</v>
      </c>
      <c r="I257" s="6">
        <f>[151]Main!$L$5-[151]Main!$L$6</f>
        <v>13.262999999999998</v>
      </c>
      <c r="J257" s="8">
        <f t="shared" si="32"/>
        <v>16.925165800000002</v>
      </c>
      <c r="K257" s="3" t="s">
        <v>16</v>
      </c>
    </row>
    <row r="258" spans="4:31" x14ac:dyDescent="0.2">
      <c r="D258" s="1">
        <f t="shared" si="26"/>
        <v>207</v>
      </c>
      <c r="E258" s="5" t="s">
        <v>245</v>
      </c>
      <c r="F258" s="1" t="s">
        <v>246</v>
      </c>
      <c r="G258" s="3">
        <v>6.12</v>
      </c>
      <c r="H258" s="6">
        <f>G258*[152]Main!$M$3</f>
        <v>125.46108324000001</v>
      </c>
      <c r="I258" s="6">
        <f>[152]Main!$M$5-[152]Main!$M$6</f>
        <v>131.17699999999999</v>
      </c>
      <c r="J258" s="8">
        <f t="shared" si="32"/>
        <v>-5.7159167599999847</v>
      </c>
      <c r="K258" s="3" t="s">
        <v>16</v>
      </c>
    </row>
    <row r="259" spans="4:31" x14ac:dyDescent="0.2">
      <c r="D259" s="1">
        <f t="shared" si="26"/>
        <v>208</v>
      </c>
      <c r="E259" s="5" t="s">
        <v>247</v>
      </c>
      <c r="F259" s="1" t="s">
        <v>248</v>
      </c>
      <c r="G259" s="3">
        <v>0.98</v>
      </c>
      <c r="H259" s="6">
        <f>G259*[153]Main!$M$3</f>
        <v>20.935517539999999</v>
      </c>
      <c r="I259" s="6">
        <f>[153]Main!$M$5-[153]Main!$M$6</f>
        <v>55.28</v>
      </c>
      <c r="J259" s="8">
        <f t="shared" si="32"/>
        <v>-34.344482460000002</v>
      </c>
      <c r="K259" s="3" t="s">
        <v>16</v>
      </c>
    </row>
    <row r="260" spans="4:31" x14ac:dyDescent="0.2">
      <c r="D260" s="1">
        <f t="shared" si="26"/>
        <v>209</v>
      </c>
      <c r="E260" s="5" t="s">
        <v>1306</v>
      </c>
      <c r="F260" t="s">
        <v>1187</v>
      </c>
      <c r="G260" s="7">
        <v>5</v>
      </c>
      <c r="H260" s="6">
        <f>+G260*L260</f>
        <v>639.20965000000001</v>
      </c>
      <c r="I260" s="6">
        <f>+[154]Main!$J$5-[154]Main!$J$6</f>
        <v>115.78</v>
      </c>
      <c r="J260" s="8">
        <f t="shared" si="32"/>
        <v>523.42965000000004</v>
      </c>
      <c r="K260" s="3" t="s">
        <v>1071</v>
      </c>
      <c r="L260" s="6">
        <f>+[154]Main!$J$3</f>
        <v>127.84193</v>
      </c>
    </row>
    <row r="261" spans="4:31" x14ac:dyDescent="0.2">
      <c r="D261" s="1">
        <f t="shared" si="26"/>
        <v>210</v>
      </c>
      <c r="E261" s="5" t="s">
        <v>544</v>
      </c>
      <c r="F261" t="s">
        <v>545</v>
      </c>
      <c r="G261" s="3">
        <v>0.94</v>
      </c>
      <c r="H261" s="6">
        <f>+G261*L261</f>
        <v>56.676359999999995</v>
      </c>
      <c r="I261" s="6">
        <f>+[155]Main!$K$5-[155]Main!$K$6</f>
        <v>136.64599999999999</v>
      </c>
      <c r="J261" s="6">
        <f>+H261-I261</f>
        <v>-79.969639999999998</v>
      </c>
      <c r="K261" s="3" t="s">
        <v>1071</v>
      </c>
      <c r="L261" s="6">
        <f>+[155]Main!$K$3</f>
        <v>60.293999999999997</v>
      </c>
      <c r="M261" s="9">
        <v>45550</v>
      </c>
      <c r="AE261" s="1">
        <v>2017</v>
      </c>
    </row>
    <row r="262" spans="4:31" x14ac:dyDescent="0.2">
      <c r="D262" s="1">
        <f t="shared" si="26"/>
        <v>211</v>
      </c>
      <c r="E262" s="1" t="s">
        <v>249</v>
      </c>
      <c r="F262" s="1" t="s">
        <v>250</v>
      </c>
      <c r="G262" s="3">
        <v>0.61</v>
      </c>
    </row>
    <row r="263" spans="4:31" x14ac:dyDescent="0.2">
      <c r="D263" s="1">
        <f t="shared" si="26"/>
        <v>212</v>
      </c>
      <c r="E263" s="1" t="s">
        <v>251</v>
      </c>
      <c r="F263" s="1" t="s">
        <v>252</v>
      </c>
      <c r="G263" s="3">
        <v>1.75</v>
      </c>
      <c r="H263" s="3">
        <v>96</v>
      </c>
    </row>
    <row r="264" spans="4:31" x14ac:dyDescent="0.2">
      <c r="D264" s="1">
        <f t="shared" si="26"/>
        <v>213</v>
      </c>
      <c r="E264" s="1" t="s">
        <v>347</v>
      </c>
      <c r="F264" t="s">
        <v>348</v>
      </c>
      <c r="G264" s="7">
        <v>0.96</v>
      </c>
      <c r="H264" s="3">
        <v>52</v>
      </c>
    </row>
    <row r="265" spans="4:31" x14ac:dyDescent="0.2">
      <c r="D265" s="1">
        <f t="shared" si="26"/>
        <v>214</v>
      </c>
      <c r="E265" s="1" t="s">
        <v>331</v>
      </c>
      <c r="F265" t="s">
        <v>332</v>
      </c>
      <c r="G265" s="7">
        <v>4.0999999999999996</v>
      </c>
      <c r="H265" s="3">
        <v>380</v>
      </c>
    </row>
    <row r="266" spans="4:31" x14ac:dyDescent="0.2">
      <c r="D266" s="1">
        <f t="shared" si="26"/>
        <v>215</v>
      </c>
      <c r="E266" t="s">
        <v>1307</v>
      </c>
      <c r="F266" t="s">
        <v>1308</v>
      </c>
      <c r="G266" s="7">
        <v>14.68</v>
      </c>
      <c r="H266" s="3">
        <v>396</v>
      </c>
    </row>
    <row r="267" spans="4:31" x14ac:dyDescent="0.2">
      <c r="D267" s="1">
        <f t="shared" si="26"/>
        <v>216</v>
      </c>
      <c r="E267" s="1" t="s">
        <v>378</v>
      </c>
      <c r="F267" s="1" t="s">
        <v>379</v>
      </c>
      <c r="G267" s="3">
        <v>25.85</v>
      </c>
    </row>
    <row r="268" spans="4:31" x14ac:dyDescent="0.2">
      <c r="D268" s="1">
        <f t="shared" si="26"/>
        <v>217</v>
      </c>
      <c r="E268" t="s">
        <v>384</v>
      </c>
      <c r="F268" t="s">
        <v>385</v>
      </c>
      <c r="G268" s="3">
        <v>9.26</v>
      </c>
      <c r="H268" s="3">
        <v>204</v>
      </c>
    </row>
    <row r="269" spans="4:31" x14ac:dyDescent="0.2">
      <c r="D269" s="1">
        <f t="shared" si="26"/>
        <v>218</v>
      </c>
      <c r="E269" s="25" t="s">
        <v>1352</v>
      </c>
      <c r="F269" t="s">
        <v>1353</v>
      </c>
      <c r="G269" s="3">
        <v>30.21</v>
      </c>
    </row>
    <row r="270" spans="4:31" x14ac:dyDescent="0.2">
      <c r="D270" s="1">
        <f t="shared" si="26"/>
        <v>219</v>
      </c>
      <c r="E270" t="s">
        <v>428</v>
      </c>
      <c r="F270" t="s">
        <v>429</v>
      </c>
      <c r="G270" s="7">
        <v>17.55</v>
      </c>
      <c r="H270" s="3">
        <v>593</v>
      </c>
    </row>
    <row r="271" spans="4:31" x14ac:dyDescent="0.2">
      <c r="D271" s="1">
        <f t="shared" si="26"/>
        <v>220</v>
      </c>
      <c r="E271" s="1" t="s">
        <v>394</v>
      </c>
      <c r="F271" s="1" t="s">
        <v>395</v>
      </c>
      <c r="G271" s="3">
        <v>4.09</v>
      </c>
      <c r="H271" s="3">
        <v>4</v>
      </c>
    </row>
    <row r="272" spans="4:31" x14ac:dyDescent="0.2">
      <c r="D272" s="1">
        <f t="shared" si="26"/>
        <v>221</v>
      </c>
      <c r="E272" t="s">
        <v>740</v>
      </c>
      <c r="F272" t="s">
        <v>741</v>
      </c>
      <c r="G272" s="7">
        <v>30.7</v>
      </c>
      <c r="H272" s="3">
        <v>1800</v>
      </c>
    </row>
    <row r="273" spans="1:8" x14ac:dyDescent="0.2">
      <c r="D273" s="1">
        <f t="shared" si="26"/>
        <v>222</v>
      </c>
      <c r="E273" t="s">
        <v>744</v>
      </c>
      <c r="F273" t="s">
        <v>745</v>
      </c>
    </row>
    <row r="274" spans="1:8" x14ac:dyDescent="0.2">
      <c r="D274" s="1">
        <f t="shared" ref="D274:D333" si="33">+D273+1</f>
        <v>223</v>
      </c>
      <c r="E274" t="s">
        <v>747</v>
      </c>
      <c r="F274" t="s">
        <v>748</v>
      </c>
    </row>
    <row r="275" spans="1:8" x14ac:dyDescent="0.2">
      <c r="A275"/>
      <c r="B275"/>
      <c r="C275"/>
      <c r="D275" s="1">
        <f t="shared" si="33"/>
        <v>224</v>
      </c>
      <c r="E275" t="s">
        <v>749</v>
      </c>
      <c r="F275" t="s">
        <v>750</v>
      </c>
      <c r="G275" s="3">
        <v>6.62</v>
      </c>
      <c r="H275" s="6">
        <v>1800</v>
      </c>
    </row>
    <row r="276" spans="1:8" x14ac:dyDescent="0.2">
      <c r="D276" s="1">
        <f t="shared" si="33"/>
        <v>225</v>
      </c>
      <c r="E276" t="s">
        <v>742</v>
      </c>
      <c r="F276" t="s">
        <v>743</v>
      </c>
    </row>
    <row r="277" spans="1:8" x14ac:dyDescent="0.2">
      <c r="D277" s="1">
        <f>+D245+1</f>
        <v>195</v>
      </c>
      <c r="E277" t="s">
        <v>503</v>
      </c>
      <c r="F277" t="s">
        <v>504</v>
      </c>
    </row>
    <row r="278" spans="1:8" x14ac:dyDescent="0.2">
      <c r="D278" s="1">
        <f t="shared" si="33"/>
        <v>196</v>
      </c>
      <c r="E278" t="s">
        <v>732</v>
      </c>
      <c r="F278" t="s">
        <v>733</v>
      </c>
    </row>
    <row r="279" spans="1:8" x14ac:dyDescent="0.2">
      <c r="D279" s="1">
        <f t="shared" si="33"/>
        <v>197</v>
      </c>
      <c r="E279" t="s">
        <v>728</v>
      </c>
      <c r="F279" t="s">
        <v>729</v>
      </c>
    </row>
    <row r="280" spans="1:8" x14ac:dyDescent="0.2">
      <c r="D280" s="1">
        <f t="shared" si="33"/>
        <v>198</v>
      </c>
      <c r="E280" s="1" t="s">
        <v>514</v>
      </c>
      <c r="F280" s="1" t="s">
        <v>515</v>
      </c>
    </row>
    <row r="281" spans="1:8" x14ac:dyDescent="0.2">
      <c r="D281" s="1">
        <f t="shared" si="33"/>
        <v>199</v>
      </c>
      <c r="E281" t="s">
        <v>519</v>
      </c>
      <c r="F281" t="s">
        <v>1298</v>
      </c>
      <c r="G281" s="3">
        <v>13.13</v>
      </c>
    </row>
    <row r="282" spans="1:8" x14ac:dyDescent="0.2">
      <c r="D282" s="1">
        <f t="shared" si="33"/>
        <v>200</v>
      </c>
      <c r="E282" s="1" t="s">
        <v>522</v>
      </c>
      <c r="F282" s="1" t="s">
        <v>523</v>
      </c>
      <c r="G282" s="3">
        <v>7.08</v>
      </c>
    </row>
    <row r="283" spans="1:8" x14ac:dyDescent="0.2">
      <c r="D283" s="1">
        <f t="shared" si="33"/>
        <v>201</v>
      </c>
      <c r="E283" t="s">
        <v>525</v>
      </c>
      <c r="F283" t="s">
        <v>524</v>
      </c>
      <c r="G283" s="7">
        <v>20.3</v>
      </c>
    </row>
    <row r="284" spans="1:8" x14ac:dyDescent="0.2">
      <c r="D284" s="1">
        <f t="shared" si="33"/>
        <v>202</v>
      </c>
      <c r="E284" t="s">
        <v>526</v>
      </c>
      <c r="F284" t="s">
        <v>527</v>
      </c>
      <c r="G284" s="3">
        <v>0.38</v>
      </c>
    </row>
    <row r="285" spans="1:8" x14ac:dyDescent="0.2">
      <c r="D285" s="1">
        <f t="shared" si="33"/>
        <v>203</v>
      </c>
      <c r="E285" t="s">
        <v>528</v>
      </c>
      <c r="F285" t="s">
        <v>529</v>
      </c>
      <c r="G285" s="3">
        <v>4.24</v>
      </c>
    </row>
    <row r="286" spans="1:8" x14ac:dyDescent="0.2">
      <c r="A286" s="1" t="s">
        <v>333</v>
      </c>
      <c r="D286" s="1">
        <f t="shared" si="33"/>
        <v>204</v>
      </c>
      <c r="E286" t="s">
        <v>530</v>
      </c>
      <c r="F286" t="s">
        <v>531</v>
      </c>
      <c r="G286" s="3">
        <v>13.74</v>
      </c>
    </row>
    <row r="287" spans="1:8" x14ac:dyDescent="0.2">
      <c r="D287" s="1">
        <f t="shared" si="33"/>
        <v>205</v>
      </c>
      <c r="E287" t="s">
        <v>532</v>
      </c>
      <c r="F287" t="s">
        <v>533</v>
      </c>
      <c r="G287" s="3">
        <v>4.3600000000000003</v>
      </c>
    </row>
    <row r="288" spans="1:8" x14ac:dyDescent="0.2">
      <c r="D288" s="1">
        <f t="shared" si="33"/>
        <v>206</v>
      </c>
      <c r="E288" t="s">
        <v>534</v>
      </c>
      <c r="F288" t="s">
        <v>535</v>
      </c>
      <c r="G288" s="3">
        <v>7.06</v>
      </c>
    </row>
    <row r="289" spans="1:7" x14ac:dyDescent="0.2">
      <c r="D289" s="1">
        <f t="shared" si="33"/>
        <v>207</v>
      </c>
      <c r="E289" t="s">
        <v>786</v>
      </c>
      <c r="F289" t="s">
        <v>787</v>
      </c>
    </row>
    <row r="290" spans="1:7" x14ac:dyDescent="0.2">
      <c r="A290" s="1" t="s">
        <v>333</v>
      </c>
      <c r="D290" s="1">
        <f t="shared" si="33"/>
        <v>208</v>
      </c>
      <c r="E290" t="s">
        <v>536</v>
      </c>
      <c r="F290" t="s">
        <v>537</v>
      </c>
      <c r="G290" s="3">
        <v>1.04</v>
      </c>
    </row>
    <row r="291" spans="1:7" x14ac:dyDescent="0.2">
      <c r="D291" s="1">
        <f t="shared" si="33"/>
        <v>209</v>
      </c>
      <c r="E291" s="34" t="s">
        <v>538</v>
      </c>
      <c r="F291" s="34" t="s">
        <v>539</v>
      </c>
    </row>
    <row r="292" spans="1:7" x14ac:dyDescent="0.2">
      <c r="D292" s="1">
        <f t="shared" si="33"/>
        <v>210</v>
      </c>
      <c r="E292" t="s">
        <v>540</v>
      </c>
      <c r="F292" t="s">
        <v>541</v>
      </c>
      <c r="G292" s="3">
        <v>2.97</v>
      </c>
    </row>
    <row r="293" spans="1:7" x14ac:dyDescent="0.2">
      <c r="D293" s="1">
        <f t="shared" si="33"/>
        <v>211</v>
      </c>
      <c r="E293" t="s">
        <v>542</v>
      </c>
      <c r="F293" t="s">
        <v>543</v>
      </c>
      <c r="G293" s="3">
        <v>3.28</v>
      </c>
    </row>
    <row r="294" spans="1:7" x14ac:dyDescent="0.2">
      <c r="D294" s="1">
        <f t="shared" si="33"/>
        <v>212</v>
      </c>
      <c r="E294" t="s">
        <v>546</v>
      </c>
      <c r="F294" t="s">
        <v>547</v>
      </c>
    </row>
    <row r="295" spans="1:7" x14ac:dyDescent="0.2">
      <c r="D295" s="1">
        <f t="shared" si="33"/>
        <v>213</v>
      </c>
      <c r="E295" t="s">
        <v>548</v>
      </c>
      <c r="F295" t="s">
        <v>549</v>
      </c>
      <c r="G295" s="3">
        <v>18.07</v>
      </c>
    </row>
    <row r="296" spans="1:7" x14ac:dyDescent="0.2">
      <c r="D296" s="1">
        <f t="shared" si="33"/>
        <v>214</v>
      </c>
      <c r="E296" t="s">
        <v>550</v>
      </c>
      <c r="F296" t="s">
        <v>551</v>
      </c>
      <c r="G296" s="3">
        <v>2.68</v>
      </c>
    </row>
    <row r="297" spans="1:7" x14ac:dyDescent="0.2">
      <c r="D297" s="1">
        <f t="shared" si="33"/>
        <v>215</v>
      </c>
      <c r="E297" t="s">
        <v>552</v>
      </c>
      <c r="F297" t="s">
        <v>553</v>
      </c>
      <c r="G297" s="7">
        <v>7</v>
      </c>
    </row>
    <row r="298" spans="1:7" x14ac:dyDescent="0.2">
      <c r="D298" s="1">
        <f t="shared" si="33"/>
        <v>216</v>
      </c>
      <c r="E298" t="s">
        <v>554</v>
      </c>
      <c r="F298" t="s">
        <v>555</v>
      </c>
      <c r="G298" s="3">
        <v>1.76</v>
      </c>
    </row>
    <row r="299" spans="1:7" x14ac:dyDescent="0.2">
      <c r="D299" s="1">
        <f t="shared" si="33"/>
        <v>217</v>
      </c>
      <c r="E299" t="s">
        <v>990</v>
      </c>
      <c r="F299" t="s">
        <v>991</v>
      </c>
    </row>
    <row r="300" spans="1:7" x14ac:dyDescent="0.2">
      <c r="D300" s="1">
        <f t="shared" si="33"/>
        <v>218</v>
      </c>
      <c r="E300" t="s">
        <v>556</v>
      </c>
      <c r="F300" t="s">
        <v>557</v>
      </c>
      <c r="G300" s="3">
        <v>0.61</v>
      </c>
    </row>
    <row r="301" spans="1:7" x14ac:dyDescent="0.2">
      <c r="D301" s="1">
        <f t="shared" si="33"/>
        <v>219</v>
      </c>
      <c r="E301" t="s">
        <v>558</v>
      </c>
      <c r="F301" t="s">
        <v>559</v>
      </c>
      <c r="G301" s="3">
        <v>0.68</v>
      </c>
    </row>
    <row r="302" spans="1:7" x14ac:dyDescent="0.2">
      <c r="D302" s="1">
        <f t="shared" si="33"/>
        <v>220</v>
      </c>
      <c r="E302" t="s">
        <v>562</v>
      </c>
      <c r="F302" t="s">
        <v>563</v>
      </c>
      <c r="G302" s="3">
        <v>1.86</v>
      </c>
    </row>
    <row r="303" spans="1:7" x14ac:dyDescent="0.2">
      <c r="D303" s="1">
        <f t="shared" si="33"/>
        <v>221</v>
      </c>
      <c r="E303" t="s">
        <v>564</v>
      </c>
      <c r="F303" t="s">
        <v>565</v>
      </c>
      <c r="G303" s="3">
        <v>1.87</v>
      </c>
    </row>
    <row r="304" spans="1:7" x14ac:dyDescent="0.2">
      <c r="D304" s="1">
        <f t="shared" si="33"/>
        <v>222</v>
      </c>
      <c r="E304" s="34" t="s">
        <v>566</v>
      </c>
      <c r="F304" s="34" t="s">
        <v>567</v>
      </c>
      <c r="G304"/>
    </row>
    <row r="305" spans="1:13" x14ac:dyDescent="0.2">
      <c r="D305" s="1">
        <f t="shared" si="33"/>
        <v>223</v>
      </c>
      <c r="E305" s="5" t="s">
        <v>569</v>
      </c>
      <c r="F305" t="s">
        <v>568</v>
      </c>
      <c r="G305" s="3">
        <v>7.34</v>
      </c>
      <c r="H305" s="6">
        <f>+G305*L305</f>
        <v>163.5352</v>
      </c>
      <c r="I305" s="6">
        <f>+[156]Main!$M$5-[156]Main!$M$6</f>
        <v>20.922000000000001</v>
      </c>
      <c r="J305" s="6">
        <f>+H305-I305</f>
        <v>142.61320000000001</v>
      </c>
      <c r="K305" s="3" t="s">
        <v>1277</v>
      </c>
      <c r="L305" s="6">
        <f>+[156]Main!$M$3</f>
        <v>22.28</v>
      </c>
      <c r="M305" s="9">
        <v>45684</v>
      </c>
    </row>
    <row r="306" spans="1:13" x14ac:dyDescent="0.2">
      <c r="D306" s="1">
        <f t="shared" si="33"/>
        <v>224</v>
      </c>
      <c r="E306" t="s">
        <v>800</v>
      </c>
      <c r="F306" t="s">
        <v>801</v>
      </c>
    </row>
    <row r="307" spans="1:13" x14ac:dyDescent="0.2">
      <c r="D307" s="1">
        <f>+D251+1</f>
        <v>201</v>
      </c>
      <c r="E307" t="s">
        <v>570</v>
      </c>
      <c r="F307" t="s">
        <v>571</v>
      </c>
      <c r="G307" s="3">
        <v>2.77</v>
      </c>
    </row>
    <row r="308" spans="1:13" x14ac:dyDescent="0.2">
      <c r="D308" s="1">
        <f t="shared" si="33"/>
        <v>202</v>
      </c>
      <c r="E308" t="s">
        <v>347</v>
      </c>
      <c r="F308" t="s">
        <v>348</v>
      </c>
      <c r="G308" s="3">
        <v>2.67</v>
      </c>
    </row>
    <row r="309" spans="1:13" x14ac:dyDescent="0.2">
      <c r="A309" s="1" t="s">
        <v>333</v>
      </c>
      <c r="D309" s="1">
        <f t="shared" si="33"/>
        <v>203</v>
      </c>
      <c r="E309" t="s">
        <v>978</v>
      </c>
      <c r="F309" t="s">
        <v>979</v>
      </c>
    </row>
    <row r="310" spans="1:13" x14ac:dyDescent="0.2">
      <c r="A310" s="1" t="s">
        <v>333</v>
      </c>
      <c r="D310" s="1">
        <f t="shared" si="33"/>
        <v>204</v>
      </c>
      <c r="E310" t="s">
        <v>976</v>
      </c>
      <c r="F310" t="s">
        <v>977</v>
      </c>
    </row>
    <row r="311" spans="1:13" x14ac:dyDescent="0.2">
      <c r="A311" t="s">
        <v>333</v>
      </c>
      <c r="B311"/>
      <c r="C311"/>
      <c r="D311" s="1">
        <f t="shared" si="33"/>
        <v>205</v>
      </c>
      <c r="E311" t="s">
        <v>982</v>
      </c>
      <c r="F311" t="s">
        <v>983</v>
      </c>
    </row>
    <row r="312" spans="1:13" x14ac:dyDescent="0.2">
      <c r="A312"/>
      <c r="B312"/>
      <c r="C312"/>
      <c r="D312" s="1">
        <f t="shared" si="33"/>
        <v>206</v>
      </c>
      <c r="E312" t="s">
        <v>984</v>
      </c>
      <c r="F312" t="s">
        <v>985</v>
      </c>
    </row>
    <row r="313" spans="1:13" x14ac:dyDescent="0.2">
      <c r="A313" t="s">
        <v>333</v>
      </c>
      <c r="B313"/>
      <c r="C313"/>
      <c r="D313" s="1">
        <f t="shared" si="33"/>
        <v>207</v>
      </c>
      <c r="E313" t="s">
        <v>986</v>
      </c>
      <c r="F313" t="s">
        <v>987</v>
      </c>
    </row>
    <row r="314" spans="1:13" x14ac:dyDescent="0.2">
      <c r="A314" t="s">
        <v>333</v>
      </c>
      <c r="B314"/>
      <c r="C314"/>
      <c r="D314" s="1">
        <f t="shared" si="33"/>
        <v>208</v>
      </c>
      <c r="E314" t="s">
        <v>988</v>
      </c>
      <c r="F314" t="s">
        <v>989</v>
      </c>
    </row>
    <row r="315" spans="1:13" x14ac:dyDescent="0.2">
      <c r="A315" t="s">
        <v>333</v>
      </c>
      <c r="B315"/>
      <c r="C315"/>
      <c r="D315" s="1">
        <f t="shared" si="33"/>
        <v>209</v>
      </c>
      <c r="E315" t="s">
        <v>980</v>
      </c>
      <c r="F315" t="s">
        <v>981</v>
      </c>
      <c r="G315" s="7">
        <v>0.92</v>
      </c>
    </row>
    <row r="316" spans="1:13" x14ac:dyDescent="0.2">
      <c r="A316" s="1" t="s">
        <v>333</v>
      </c>
      <c r="D316" s="1">
        <f t="shared" si="33"/>
        <v>210</v>
      </c>
      <c r="E316" t="s">
        <v>974</v>
      </c>
      <c r="F316" t="s">
        <v>975</v>
      </c>
    </row>
    <row r="317" spans="1:13" x14ac:dyDescent="0.2">
      <c r="A317" s="1" t="s">
        <v>333</v>
      </c>
      <c r="D317" s="1">
        <f t="shared" si="33"/>
        <v>211</v>
      </c>
      <c r="E317" t="s">
        <v>572</v>
      </c>
      <c r="F317" t="s">
        <v>573</v>
      </c>
      <c r="G317" s="7">
        <v>2.2000000000000002</v>
      </c>
    </row>
    <row r="318" spans="1:13" x14ac:dyDescent="0.2">
      <c r="A318" s="1" t="s">
        <v>333</v>
      </c>
      <c r="D318" s="1">
        <f t="shared" si="33"/>
        <v>212</v>
      </c>
      <c r="E318" t="s">
        <v>576</v>
      </c>
      <c r="F318" t="s">
        <v>577</v>
      </c>
      <c r="G318" s="3">
        <v>0.92</v>
      </c>
    </row>
    <row r="319" spans="1:13" x14ac:dyDescent="0.2">
      <c r="A319" s="1" t="s">
        <v>333</v>
      </c>
      <c r="D319" s="1">
        <f t="shared" si="33"/>
        <v>213</v>
      </c>
      <c r="E319" t="s">
        <v>578</v>
      </c>
      <c r="F319" t="s">
        <v>579</v>
      </c>
      <c r="G319" s="3">
        <v>2.94</v>
      </c>
    </row>
    <row r="320" spans="1:13" x14ac:dyDescent="0.2">
      <c r="A320" s="1" t="s">
        <v>333</v>
      </c>
      <c r="D320" s="1">
        <f t="shared" si="33"/>
        <v>214</v>
      </c>
      <c r="E320" t="s">
        <v>580</v>
      </c>
      <c r="F320" t="s">
        <v>581</v>
      </c>
      <c r="G320" s="3">
        <v>5.88</v>
      </c>
    </row>
    <row r="321" spans="1:31" x14ac:dyDescent="0.2">
      <c r="A321" s="1" t="s">
        <v>333</v>
      </c>
      <c r="D321" s="1">
        <f t="shared" si="33"/>
        <v>215</v>
      </c>
      <c r="E321" t="s">
        <v>582</v>
      </c>
      <c r="F321" t="s">
        <v>583</v>
      </c>
      <c r="G321" s="7">
        <v>3.46</v>
      </c>
    </row>
    <row r="322" spans="1:31" x14ac:dyDescent="0.2">
      <c r="A322" t="s">
        <v>333</v>
      </c>
      <c r="B322"/>
      <c r="C322"/>
      <c r="D322" s="1">
        <f t="shared" si="33"/>
        <v>216</v>
      </c>
      <c r="E322" s="5" t="s">
        <v>884</v>
      </c>
      <c r="F322" t="s">
        <v>885</v>
      </c>
      <c r="G322" s="7">
        <v>13.21</v>
      </c>
      <c r="H322" s="6">
        <f>+G322*L322</f>
        <v>588.73448214000007</v>
      </c>
      <c r="I322" s="6">
        <f>+[157]Main!$M$5-[157]Main!$M$6</f>
        <v>99.997</v>
      </c>
      <c r="J322" s="6">
        <f>+H322-I322</f>
        <v>488.73748214000005</v>
      </c>
      <c r="K322" s="3" t="s">
        <v>1071</v>
      </c>
      <c r="L322" s="6">
        <f>+[157]Main!$M$3</f>
        <v>44.567334000000002</v>
      </c>
      <c r="M322" s="9">
        <v>45568</v>
      </c>
    </row>
    <row r="323" spans="1:31" x14ac:dyDescent="0.2">
      <c r="A323" t="s">
        <v>333</v>
      </c>
      <c r="B323"/>
      <c r="C323"/>
      <c r="D323" s="1">
        <f t="shared" si="33"/>
        <v>217</v>
      </c>
      <c r="E323" s="5" t="s">
        <v>868</v>
      </c>
      <c r="F323" t="s">
        <v>869</v>
      </c>
      <c r="G323" s="7">
        <v>11.39</v>
      </c>
      <c r="H323" s="6">
        <f>+G323*L323</f>
        <v>492.22422607999999</v>
      </c>
      <c r="I323" s="6">
        <f>+[158]Main!$K$5-[158]Main!$K$6</f>
        <v>174.27199999999999</v>
      </c>
      <c r="J323" s="6">
        <f>+H323-I323</f>
        <v>317.95222608</v>
      </c>
      <c r="K323" s="3" t="s">
        <v>1071</v>
      </c>
      <c r="L323" s="6">
        <f>+[158]Main!$K$3</f>
        <v>43.215471999999998</v>
      </c>
      <c r="M323" s="9">
        <v>45567</v>
      </c>
    </row>
    <row r="324" spans="1:31" x14ac:dyDescent="0.2">
      <c r="A324" s="1" t="s">
        <v>333</v>
      </c>
      <c r="D324" s="1">
        <f t="shared" si="33"/>
        <v>218</v>
      </c>
      <c r="E324" s="5" t="s">
        <v>584</v>
      </c>
      <c r="F324" t="s">
        <v>585</v>
      </c>
      <c r="G324" s="7">
        <v>33</v>
      </c>
      <c r="H324" s="6">
        <f>G324*L324</f>
        <v>653.378781</v>
      </c>
      <c r="I324" s="6">
        <f>[159]Main!$M$5-[159]Main!$M$6</f>
        <v>236.422</v>
      </c>
      <c r="J324" s="6">
        <f>H324-I324</f>
        <v>416.95678099999998</v>
      </c>
      <c r="L324" s="6">
        <f>[159]Main!$M$3</f>
        <v>19.799357000000001</v>
      </c>
      <c r="M324" s="9">
        <v>45063</v>
      </c>
      <c r="AE324" s="1">
        <v>2017</v>
      </c>
    </row>
    <row r="325" spans="1:31" x14ac:dyDescent="0.2">
      <c r="A325"/>
      <c r="B325"/>
      <c r="C325"/>
      <c r="D325" s="1">
        <f t="shared" si="33"/>
        <v>219</v>
      </c>
      <c r="E325" s="5" t="s">
        <v>938</v>
      </c>
      <c r="F325" t="s">
        <v>939</v>
      </c>
      <c r="G325" s="3">
        <v>8.91</v>
      </c>
      <c r="H325" s="6">
        <f>+G325*L325</f>
        <v>476.84725110000005</v>
      </c>
      <c r="I325" s="6">
        <f>+[160]Main!$K$5-[160]Main!$K$6</f>
        <v>280.24800000000005</v>
      </c>
      <c r="J325" s="6">
        <f>+H325-I325</f>
        <v>196.5992511</v>
      </c>
      <c r="K325" s="3" t="s">
        <v>1071</v>
      </c>
      <c r="L325" s="6">
        <f>+[160]Main!$K$3</f>
        <v>53.518210000000003</v>
      </c>
      <c r="M325" s="9">
        <v>45557</v>
      </c>
    </row>
    <row r="326" spans="1:31" x14ac:dyDescent="0.2">
      <c r="A326" s="1" t="s">
        <v>333</v>
      </c>
      <c r="D326" s="1">
        <f t="shared" si="33"/>
        <v>220</v>
      </c>
      <c r="E326" s="5" t="s">
        <v>574</v>
      </c>
      <c r="F326" t="s">
        <v>575</v>
      </c>
      <c r="G326" s="3">
        <v>3.34</v>
      </c>
      <c r="H326" s="6">
        <f>+G326*L326</f>
        <v>242.45700277999998</v>
      </c>
      <c r="I326" s="6">
        <f>+[161]Main!$J$5-[161]Main!$J$6</f>
        <v>69.49499999999999</v>
      </c>
      <c r="J326" s="6">
        <f>+H326-I326</f>
        <v>172.96200277999998</v>
      </c>
      <c r="K326" s="3" t="s">
        <v>1071</v>
      </c>
      <c r="L326" s="6">
        <f>+[161]Main!$J$3</f>
        <v>72.591916999999995</v>
      </c>
      <c r="M326" s="9">
        <v>45548</v>
      </c>
    </row>
    <row r="327" spans="1:31" x14ac:dyDescent="0.2">
      <c r="A327"/>
      <c r="B327"/>
      <c r="C327"/>
      <c r="D327" s="1">
        <f t="shared" si="33"/>
        <v>221</v>
      </c>
      <c r="E327" s="5" t="s">
        <v>1168</v>
      </c>
      <c r="F327" t="s">
        <v>1169</v>
      </c>
      <c r="G327" s="7">
        <v>1.28</v>
      </c>
      <c r="H327" s="6">
        <f>+G327*L327</f>
        <v>95.674332159999992</v>
      </c>
      <c r="I327" s="6">
        <f>+[162]Main!$K$5-[162]Main!$K$6</f>
        <v>29.36</v>
      </c>
      <c r="J327" s="6">
        <f>+H327-I327</f>
        <v>66.314332159999992</v>
      </c>
      <c r="K327" s="3" t="s">
        <v>1071</v>
      </c>
      <c r="L327" s="6">
        <f>+[162]Main!$K$3</f>
        <v>74.745571999999996</v>
      </c>
      <c r="M327" s="9">
        <v>45554</v>
      </c>
    </row>
    <row r="328" spans="1:31" x14ac:dyDescent="0.2">
      <c r="A328"/>
      <c r="B328"/>
      <c r="C328"/>
      <c r="D328" s="1">
        <f t="shared" si="33"/>
        <v>222</v>
      </c>
      <c r="E328" s="5" t="s">
        <v>1175</v>
      </c>
      <c r="F328" t="s">
        <v>1176</v>
      </c>
      <c r="G328" s="3">
        <v>0.85</v>
      </c>
      <c r="H328" s="6">
        <f>+G328*L328</f>
        <v>30.110729799999998</v>
      </c>
      <c r="I328" s="6">
        <f>+[163]Main!$L$5-[163]Main!$L$6</f>
        <v>33.298999999999999</v>
      </c>
      <c r="J328" s="6">
        <f>+H328-I328</f>
        <v>-3.1882702000000016</v>
      </c>
      <c r="K328" s="3" t="s">
        <v>1071</v>
      </c>
      <c r="L328" s="6">
        <f>+[163]Main!$L$3</f>
        <v>35.424388</v>
      </c>
      <c r="M328" s="9">
        <v>45558</v>
      </c>
    </row>
    <row r="329" spans="1:31" x14ac:dyDescent="0.2">
      <c r="D329" s="1">
        <f t="shared" si="33"/>
        <v>223</v>
      </c>
      <c r="E329" s="5" t="s">
        <v>586</v>
      </c>
      <c r="F329" t="s">
        <v>587</v>
      </c>
      <c r="G329" s="3">
        <f>0.35</f>
        <v>0.35</v>
      </c>
      <c r="H329" s="6">
        <f>G329*L329</f>
        <v>12.513184599999999</v>
      </c>
      <c r="I329" s="6">
        <f>[164]Main!$K$5-[164]Main!$K$6</f>
        <v>54.983000000000004</v>
      </c>
      <c r="J329" s="6">
        <f>H329-I329</f>
        <v>-42.469815400000002</v>
      </c>
      <c r="L329" s="6">
        <f>[164]Main!$K$3</f>
        <v>35.751956</v>
      </c>
      <c r="M329" s="9">
        <v>45063</v>
      </c>
    </row>
    <row r="330" spans="1:31" x14ac:dyDescent="0.2">
      <c r="A330"/>
      <c r="B330"/>
      <c r="C330"/>
      <c r="D330" s="1">
        <f t="shared" si="33"/>
        <v>224</v>
      </c>
      <c r="E330" s="5" t="s">
        <v>934</v>
      </c>
      <c r="F330" t="s">
        <v>935</v>
      </c>
      <c r="G330" s="7">
        <v>4.63</v>
      </c>
      <c r="H330" s="6">
        <f>+G330*L330</f>
        <v>326.68703101999995</v>
      </c>
      <c r="I330" s="6">
        <f>+[165]Main!$K$5-[165]Main!$K$6</f>
        <v>426.65000000000003</v>
      </c>
      <c r="J330" s="6">
        <f>+H330-I330</f>
        <v>-99.962968980000085</v>
      </c>
      <c r="K330" s="3" t="s">
        <v>1071</v>
      </c>
      <c r="L330" s="6">
        <f>+[165]Main!$K$3</f>
        <v>70.558753999999993</v>
      </c>
      <c r="M330" s="9">
        <v>45564</v>
      </c>
      <c r="AE330" s="1">
        <v>2015</v>
      </c>
    </row>
    <row r="331" spans="1:31" x14ac:dyDescent="0.2">
      <c r="A331" s="1" t="s">
        <v>333</v>
      </c>
      <c r="D331" s="1">
        <f t="shared" si="33"/>
        <v>225</v>
      </c>
      <c r="E331" s="1" t="s">
        <v>588</v>
      </c>
      <c r="F331" s="1" t="s">
        <v>589</v>
      </c>
    </row>
    <row r="332" spans="1:31" x14ac:dyDescent="0.2">
      <c r="D332" s="1">
        <f t="shared" si="33"/>
        <v>226</v>
      </c>
      <c r="E332" t="s">
        <v>590</v>
      </c>
      <c r="F332" t="s">
        <v>591</v>
      </c>
    </row>
    <row r="333" spans="1:31" x14ac:dyDescent="0.2">
      <c r="A333" s="1" t="s">
        <v>333</v>
      </c>
      <c r="D333" s="1">
        <f t="shared" si="33"/>
        <v>227</v>
      </c>
      <c r="E333" t="s">
        <v>592</v>
      </c>
      <c r="F333" t="s">
        <v>593</v>
      </c>
    </row>
    <row r="334" spans="1:31" x14ac:dyDescent="0.2">
      <c r="A334" s="1" t="s">
        <v>333</v>
      </c>
      <c r="D334" s="1">
        <f t="shared" ref="D334:D398" si="34">+D333+1</f>
        <v>228</v>
      </c>
      <c r="E334" s="1" t="s">
        <v>448</v>
      </c>
      <c r="F334" s="1" t="s">
        <v>661</v>
      </c>
    </row>
    <row r="335" spans="1:31" x14ac:dyDescent="0.2">
      <c r="D335" s="1">
        <f t="shared" si="34"/>
        <v>229</v>
      </c>
      <c r="E335" t="s">
        <v>1170</v>
      </c>
      <c r="F335" t="s">
        <v>1171</v>
      </c>
    </row>
    <row r="336" spans="1:31" x14ac:dyDescent="0.2">
      <c r="A336" s="1" t="s">
        <v>333</v>
      </c>
      <c r="D336" s="1">
        <f t="shared" si="34"/>
        <v>230</v>
      </c>
      <c r="E336" t="s">
        <v>774</v>
      </c>
      <c r="F336" t="s">
        <v>775</v>
      </c>
    </row>
    <row r="337" spans="1:7" x14ac:dyDescent="0.2">
      <c r="A337" s="1" t="s">
        <v>333</v>
      </c>
      <c r="D337" s="1">
        <f t="shared" si="34"/>
        <v>231</v>
      </c>
      <c r="E337" t="s">
        <v>664</v>
      </c>
      <c r="F337" t="s">
        <v>665</v>
      </c>
    </row>
    <row r="338" spans="1:7" x14ac:dyDescent="0.2">
      <c r="A338" t="s">
        <v>333</v>
      </c>
      <c r="B338"/>
      <c r="C338"/>
      <c r="D338" s="1">
        <f t="shared" si="34"/>
        <v>232</v>
      </c>
      <c r="E338" t="s">
        <v>666</v>
      </c>
      <c r="F338" t="s">
        <v>667</v>
      </c>
    </row>
    <row r="339" spans="1:7" x14ac:dyDescent="0.2">
      <c r="A339" t="s">
        <v>333</v>
      </c>
      <c r="B339"/>
      <c r="C339"/>
      <c r="D339" s="1">
        <f t="shared" si="34"/>
        <v>233</v>
      </c>
      <c r="E339" t="s">
        <v>668</v>
      </c>
      <c r="F339" t="s">
        <v>669</v>
      </c>
    </row>
    <row r="340" spans="1:7" x14ac:dyDescent="0.2">
      <c r="D340" s="1">
        <f t="shared" si="34"/>
        <v>234</v>
      </c>
      <c r="E340" t="s">
        <v>670</v>
      </c>
      <c r="F340" t="s">
        <v>671</v>
      </c>
    </row>
    <row r="341" spans="1:7" x14ac:dyDescent="0.2">
      <c r="A341" s="1" t="s">
        <v>333</v>
      </c>
      <c r="D341" s="1">
        <f t="shared" si="34"/>
        <v>235</v>
      </c>
      <c r="E341" t="s">
        <v>806</v>
      </c>
      <c r="F341" t="s">
        <v>807</v>
      </c>
    </row>
    <row r="342" spans="1:7" x14ac:dyDescent="0.2">
      <c r="A342" s="1" t="s">
        <v>333</v>
      </c>
      <c r="D342" s="1">
        <f t="shared" si="34"/>
        <v>236</v>
      </c>
      <c r="E342" t="s">
        <v>810</v>
      </c>
      <c r="F342" t="s">
        <v>811</v>
      </c>
    </row>
    <row r="343" spans="1:7" x14ac:dyDescent="0.2">
      <c r="A343" t="s">
        <v>333</v>
      </c>
      <c r="B343"/>
      <c r="C343"/>
      <c r="D343" s="1">
        <f t="shared" si="34"/>
        <v>237</v>
      </c>
      <c r="E343" t="s">
        <v>816</v>
      </c>
      <c r="F343" t="s">
        <v>817</v>
      </c>
    </row>
    <row r="344" spans="1:7" x14ac:dyDescent="0.2">
      <c r="A344" t="s">
        <v>333</v>
      </c>
      <c r="B344"/>
      <c r="C344"/>
      <c r="D344" s="1">
        <f t="shared" si="34"/>
        <v>238</v>
      </c>
      <c r="E344" t="s">
        <v>820</v>
      </c>
      <c r="F344" t="s">
        <v>821</v>
      </c>
    </row>
    <row r="345" spans="1:7" x14ac:dyDescent="0.2">
      <c r="A345" t="s">
        <v>333</v>
      </c>
      <c r="B345"/>
      <c r="C345"/>
      <c r="D345" s="1">
        <f t="shared" si="34"/>
        <v>239</v>
      </c>
      <c r="E345" t="s">
        <v>818</v>
      </c>
      <c r="F345" t="s">
        <v>819</v>
      </c>
    </row>
    <row r="346" spans="1:7" x14ac:dyDescent="0.2">
      <c r="A346" t="s">
        <v>333</v>
      </c>
      <c r="B346"/>
      <c r="C346"/>
      <c r="D346" s="1">
        <f t="shared" si="34"/>
        <v>240</v>
      </c>
      <c r="E346" t="s">
        <v>814</v>
      </c>
      <c r="F346" t="s">
        <v>815</v>
      </c>
    </row>
    <row r="347" spans="1:7" x14ac:dyDescent="0.2">
      <c r="A347" t="s">
        <v>333</v>
      </c>
      <c r="B347"/>
      <c r="C347"/>
      <c r="D347" s="1">
        <f t="shared" si="34"/>
        <v>241</v>
      </c>
      <c r="E347" t="s">
        <v>812</v>
      </c>
      <c r="F347" t="s">
        <v>813</v>
      </c>
    </row>
    <row r="348" spans="1:7" x14ac:dyDescent="0.2">
      <c r="A348" s="1" t="s">
        <v>333</v>
      </c>
      <c r="D348" s="1">
        <f t="shared" si="34"/>
        <v>242</v>
      </c>
      <c r="E348" t="s">
        <v>808</v>
      </c>
      <c r="F348" t="s">
        <v>809</v>
      </c>
    </row>
    <row r="349" spans="1:7" x14ac:dyDescent="0.2">
      <c r="A349" s="1" t="s">
        <v>333</v>
      </c>
      <c r="D349" s="1">
        <f t="shared" si="34"/>
        <v>243</v>
      </c>
      <c r="E349" t="s">
        <v>802</v>
      </c>
      <c r="F349" t="s">
        <v>803</v>
      </c>
    </row>
    <row r="350" spans="1:7" x14ac:dyDescent="0.2">
      <c r="A350" s="1" t="s">
        <v>333</v>
      </c>
      <c r="D350" s="1">
        <f t="shared" si="34"/>
        <v>244</v>
      </c>
      <c r="E350" t="s">
        <v>672</v>
      </c>
      <c r="F350" t="s">
        <v>673</v>
      </c>
    </row>
    <row r="351" spans="1:7" x14ac:dyDescent="0.2">
      <c r="A351" s="1" t="s">
        <v>333</v>
      </c>
      <c r="D351" s="1">
        <f t="shared" si="34"/>
        <v>245</v>
      </c>
      <c r="E351" t="s">
        <v>736</v>
      </c>
      <c r="F351" t="s">
        <v>737</v>
      </c>
    </row>
    <row r="352" spans="1:7" x14ac:dyDescent="0.2">
      <c r="A352" s="1" t="s">
        <v>333</v>
      </c>
      <c r="D352" s="1">
        <f t="shared" si="34"/>
        <v>246</v>
      </c>
      <c r="E352" s="5" t="s">
        <v>734</v>
      </c>
      <c r="F352" t="s">
        <v>735</v>
      </c>
      <c r="G352" s="3">
        <v>6.71</v>
      </c>
    </row>
    <row r="353" spans="1:13" x14ac:dyDescent="0.2">
      <c r="A353" s="1" t="s">
        <v>333</v>
      </c>
      <c r="D353" s="1">
        <f t="shared" si="34"/>
        <v>247</v>
      </c>
      <c r="E353" t="s">
        <v>674</v>
      </c>
      <c r="F353" t="s">
        <v>675</v>
      </c>
    </row>
    <row r="354" spans="1:13" x14ac:dyDescent="0.2">
      <c r="A354" t="s">
        <v>333</v>
      </c>
      <c r="B354"/>
      <c r="C354"/>
      <c r="D354" s="1">
        <f t="shared" si="34"/>
        <v>248</v>
      </c>
      <c r="E354" t="s">
        <v>721</v>
      </c>
      <c r="F354" t="s">
        <v>722</v>
      </c>
    </row>
    <row r="355" spans="1:13" x14ac:dyDescent="0.2">
      <c r="A355" s="1" t="s">
        <v>333</v>
      </c>
      <c r="D355" s="1">
        <f t="shared" si="34"/>
        <v>249</v>
      </c>
      <c r="E355" t="s">
        <v>676</v>
      </c>
      <c r="F355" t="s">
        <v>677</v>
      </c>
    </row>
    <row r="356" spans="1:13" x14ac:dyDescent="0.2">
      <c r="A356" s="1" t="s">
        <v>333</v>
      </c>
      <c r="D356" s="1">
        <f t="shared" si="34"/>
        <v>250</v>
      </c>
      <c r="E356" s="1" t="s">
        <v>695</v>
      </c>
      <c r="F356" s="1" t="s">
        <v>696</v>
      </c>
    </row>
    <row r="357" spans="1:13" x14ac:dyDescent="0.2">
      <c r="A357" t="s">
        <v>333</v>
      </c>
      <c r="B357"/>
      <c r="C357"/>
      <c r="D357" s="1">
        <f t="shared" si="34"/>
        <v>251</v>
      </c>
      <c r="E357" t="s">
        <v>699</v>
      </c>
      <c r="F357" t="s">
        <v>700</v>
      </c>
    </row>
    <row r="358" spans="1:13" x14ac:dyDescent="0.2">
      <c r="A358" t="s">
        <v>333</v>
      </c>
      <c r="B358"/>
      <c r="C358"/>
      <c r="D358" s="1">
        <f t="shared" si="34"/>
        <v>252</v>
      </c>
      <c r="E358" t="s">
        <v>701</v>
      </c>
      <c r="F358" t="s">
        <v>702</v>
      </c>
    </row>
    <row r="359" spans="1:13" x14ac:dyDescent="0.2">
      <c r="A359" t="s">
        <v>333</v>
      </c>
      <c r="B359"/>
      <c r="C359"/>
      <c r="D359" s="1">
        <f t="shared" si="34"/>
        <v>253</v>
      </c>
      <c r="E359" t="s">
        <v>822</v>
      </c>
      <c r="F359" t="s">
        <v>823</v>
      </c>
    </row>
    <row r="360" spans="1:13" x14ac:dyDescent="0.2">
      <c r="A360" t="s">
        <v>333</v>
      </c>
      <c r="B360"/>
      <c r="C360"/>
      <c r="D360" s="1">
        <f t="shared" si="34"/>
        <v>254</v>
      </c>
      <c r="E360" t="s">
        <v>826</v>
      </c>
      <c r="F360" t="s">
        <v>827</v>
      </c>
      <c r="G360" s="3">
        <v>0.48</v>
      </c>
    </row>
    <row r="361" spans="1:13" x14ac:dyDescent="0.2">
      <c r="A361" t="s">
        <v>333</v>
      </c>
      <c r="B361"/>
      <c r="C361"/>
      <c r="D361" s="1">
        <f t="shared" si="34"/>
        <v>255</v>
      </c>
      <c r="E361" s="5" t="s">
        <v>828</v>
      </c>
      <c r="F361" t="s">
        <v>829</v>
      </c>
      <c r="G361" s="3">
        <v>9.11</v>
      </c>
      <c r="H361" s="6">
        <f>G361*L361</f>
        <v>774.93485289</v>
      </c>
      <c r="I361" s="6">
        <f>[166]Main!$I$5-[166]Main!$I$6</f>
        <v>120.77500000000001</v>
      </c>
      <c r="J361" s="6">
        <f>H361-I361</f>
        <v>654.15985289000002</v>
      </c>
      <c r="K361" s="9" t="s">
        <v>1616</v>
      </c>
      <c r="L361" s="6">
        <f>[166]Main!$I$3</f>
        <v>85.064199000000002</v>
      </c>
      <c r="M361" s="9">
        <v>45622</v>
      </c>
    </row>
    <row r="362" spans="1:13" x14ac:dyDescent="0.2">
      <c r="A362"/>
      <c r="B362"/>
      <c r="C362"/>
      <c r="D362" s="1">
        <f t="shared" si="34"/>
        <v>256</v>
      </c>
      <c r="E362" s="89" t="s">
        <v>830</v>
      </c>
      <c r="F362" s="89" t="s">
        <v>831</v>
      </c>
    </row>
    <row r="363" spans="1:13" x14ac:dyDescent="0.2">
      <c r="A363" t="s">
        <v>333</v>
      </c>
      <c r="B363"/>
      <c r="C363"/>
      <c r="D363" s="1">
        <f t="shared" si="34"/>
        <v>257</v>
      </c>
      <c r="E363" s="5" t="s">
        <v>832</v>
      </c>
      <c r="F363" t="s">
        <v>833</v>
      </c>
      <c r="G363" s="3">
        <v>0.51</v>
      </c>
      <c r="H363" s="3">
        <v>184</v>
      </c>
    </row>
    <row r="364" spans="1:13" x14ac:dyDescent="0.2">
      <c r="A364" t="s">
        <v>333</v>
      </c>
      <c r="B364"/>
      <c r="C364"/>
      <c r="D364" s="1">
        <f t="shared" si="34"/>
        <v>258</v>
      </c>
      <c r="E364" t="s">
        <v>834</v>
      </c>
      <c r="F364" t="s">
        <v>835</v>
      </c>
      <c r="G364" s="3">
        <v>0.86</v>
      </c>
      <c r="H364" s="3">
        <v>114</v>
      </c>
    </row>
    <row r="365" spans="1:13" x14ac:dyDescent="0.2">
      <c r="A365" t="s">
        <v>333</v>
      </c>
      <c r="B365"/>
      <c r="C365"/>
      <c r="D365" s="1">
        <f t="shared" si="34"/>
        <v>259</v>
      </c>
      <c r="E365" t="s">
        <v>836</v>
      </c>
      <c r="F365" t="s">
        <v>837</v>
      </c>
      <c r="G365" s="3">
        <v>7.61</v>
      </c>
      <c r="H365" s="3">
        <v>363</v>
      </c>
    </row>
    <row r="366" spans="1:13" x14ac:dyDescent="0.2">
      <c r="A366"/>
      <c r="B366"/>
      <c r="C366"/>
      <c r="D366" s="1">
        <f t="shared" si="34"/>
        <v>260</v>
      </c>
      <c r="E366" s="89" t="s">
        <v>838</v>
      </c>
      <c r="F366" s="89" t="s">
        <v>839</v>
      </c>
    </row>
    <row r="367" spans="1:13" x14ac:dyDescent="0.2">
      <c r="A367"/>
      <c r="B367"/>
      <c r="C367"/>
      <c r="D367" s="1">
        <f t="shared" si="34"/>
        <v>261</v>
      </c>
      <c r="E367" s="89" t="s">
        <v>840</v>
      </c>
      <c r="F367" s="89" t="s">
        <v>841</v>
      </c>
    </row>
    <row r="368" spans="1:13" x14ac:dyDescent="0.2">
      <c r="A368" t="s">
        <v>333</v>
      </c>
      <c r="B368"/>
      <c r="C368"/>
      <c r="D368" s="1">
        <f t="shared" si="34"/>
        <v>262</v>
      </c>
      <c r="E368" t="s">
        <v>842</v>
      </c>
      <c r="F368" t="s">
        <v>843</v>
      </c>
      <c r="G368" s="3">
        <v>1.1200000000000001</v>
      </c>
      <c r="H368" s="3">
        <v>120</v>
      </c>
    </row>
    <row r="369" spans="1:13" x14ac:dyDescent="0.2">
      <c r="A369" t="s">
        <v>333</v>
      </c>
      <c r="B369"/>
      <c r="C369"/>
      <c r="D369" s="1">
        <f t="shared" si="34"/>
        <v>263</v>
      </c>
      <c r="E369" t="s">
        <v>844</v>
      </c>
      <c r="F369" t="s">
        <v>845</v>
      </c>
      <c r="G369" s="3">
        <v>1.08</v>
      </c>
      <c r="H369" s="3">
        <v>107</v>
      </c>
    </row>
    <row r="370" spans="1:13" x14ac:dyDescent="0.2">
      <c r="A370" t="s">
        <v>333</v>
      </c>
      <c r="B370"/>
      <c r="C370"/>
      <c r="D370" s="1">
        <f t="shared" si="34"/>
        <v>264</v>
      </c>
      <c r="E370" s="5" t="s">
        <v>850</v>
      </c>
      <c r="F370" t="s">
        <v>851</v>
      </c>
      <c r="G370" s="3">
        <v>0.32</v>
      </c>
    </row>
    <row r="371" spans="1:13" x14ac:dyDescent="0.2">
      <c r="A371" t="s">
        <v>333</v>
      </c>
      <c r="B371"/>
      <c r="C371"/>
      <c r="D371" s="1">
        <f t="shared" si="34"/>
        <v>265</v>
      </c>
      <c r="E371" s="5" t="s">
        <v>852</v>
      </c>
      <c r="F371" t="s">
        <v>853</v>
      </c>
      <c r="G371" s="3">
        <v>14.25</v>
      </c>
    </row>
    <row r="372" spans="1:13" x14ac:dyDescent="0.2">
      <c r="A372"/>
      <c r="B372"/>
      <c r="C372"/>
      <c r="D372" s="1">
        <f t="shared" si="34"/>
        <v>266</v>
      </c>
      <c r="E372" t="s">
        <v>854</v>
      </c>
      <c r="F372" t="s">
        <v>855</v>
      </c>
    </row>
    <row r="373" spans="1:13" x14ac:dyDescent="0.2">
      <c r="A373" t="s">
        <v>333</v>
      </c>
      <c r="B373"/>
      <c r="C373"/>
      <c r="D373" s="1">
        <f t="shared" si="34"/>
        <v>267</v>
      </c>
      <c r="E373" s="5" t="s">
        <v>856</v>
      </c>
      <c r="F373" t="s">
        <v>857</v>
      </c>
      <c r="G373" s="3">
        <v>23.86</v>
      </c>
      <c r="H373" s="6">
        <f>+G373*L373</f>
        <v>725.98063251999997</v>
      </c>
      <c r="I373" s="6">
        <f>+[167]Main!$K$5-[167]Main!$K$6</f>
        <v>458.03099999999995</v>
      </c>
      <c r="J373" s="6">
        <f>+H373-I373</f>
        <v>267.94963252000002</v>
      </c>
      <c r="K373" s="3" t="s">
        <v>1277</v>
      </c>
      <c r="L373" s="6">
        <f>+[167]Main!$K$3</f>
        <v>30.426682</v>
      </c>
      <c r="M373" s="9">
        <v>45631</v>
      </c>
    </row>
    <row r="374" spans="1:13" x14ac:dyDescent="0.2">
      <c r="A374" t="s">
        <v>333</v>
      </c>
      <c r="B374"/>
      <c r="C374"/>
      <c r="D374" s="1">
        <f t="shared" si="34"/>
        <v>268</v>
      </c>
      <c r="E374" s="5" t="s">
        <v>858</v>
      </c>
      <c r="F374" t="s">
        <v>859</v>
      </c>
      <c r="G374" s="3">
        <v>1.74</v>
      </c>
      <c r="H374" s="6">
        <f>+G374*L374</f>
        <v>200.47132818</v>
      </c>
      <c r="I374" s="6">
        <f>+[168]Main!$J$5-[168]Main!$J$6</f>
        <v>316.5809999999999</v>
      </c>
      <c r="J374" s="6">
        <f>+H374-I374</f>
        <v>-116.1096718199999</v>
      </c>
      <c r="K374" s="3" t="s">
        <v>1277</v>
      </c>
      <c r="L374" s="6">
        <f>+[168]Main!$J$3</f>
        <v>115.213407</v>
      </c>
      <c r="M374" s="9">
        <v>45631</v>
      </c>
    </row>
    <row r="375" spans="1:13" x14ac:dyDescent="0.2">
      <c r="A375" t="s">
        <v>333</v>
      </c>
      <c r="B375"/>
      <c r="C375"/>
      <c r="D375" s="1">
        <f t="shared" si="34"/>
        <v>269</v>
      </c>
      <c r="E375" t="s">
        <v>860</v>
      </c>
      <c r="F375" t="s">
        <v>861</v>
      </c>
    </row>
    <row r="376" spans="1:13" x14ac:dyDescent="0.2">
      <c r="A376" t="s">
        <v>333</v>
      </c>
      <c r="B376"/>
      <c r="C376"/>
      <c r="D376" s="1">
        <f t="shared" si="34"/>
        <v>270</v>
      </c>
      <c r="E376" t="s">
        <v>862</v>
      </c>
      <c r="F376" t="s">
        <v>863</v>
      </c>
    </row>
    <row r="377" spans="1:13" x14ac:dyDescent="0.2">
      <c r="A377" t="s">
        <v>333</v>
      </c>
      <c r="B377"/>
      <c r="C377"/>
      <c r="D377" s="1">
        <f t="shared" si="34"/>
        <v>271</v>
      </c>
      <c r="E377" t="s">
        <v>864</v>
      </c>
      <c r="F377" t="s">
        <v>865</v>
      </c>
    </row>
    <row r="378" spans="1:13" x14ac:dyDescent="0.2">
      <c r="A378" t="s">
        <v>333</v>
      </c>
      <c r="B378"/>
      <c r="C378"/>
      <c r="D378" s="1">
        <f t="shared" si="34"/>
        <v>272</v>
      </c>
      <c r="E378" t="s">
        <v>866</v>
      </c>
      <c r="F378" t="s">
        <v>867</v>
      </c>
    </row>
    <row r="379" spans="1:13" x14ac:dyDescent="0.2">
      <c r="A379" t="s">
        <v>333</v>
      </c>
      <c r="B379"/>
      <c r="C379"/>
      <c r="D379" s="1">
        <f t="shared" si="34"/>
        <v>273</v>
      </c>
      <c r="E379" t="s">
        <v>872</v>
      </c>
      <c r="F379" t="s">
        <v>873</v>
      </c>
      <c r="G379" s="7">
        <v>2.02</v>
      </c>
    </row>
    <row r="380" spans="1:13" x14ac:dyDescent="0.2">
      <c r="A380" t="s">
        <v>333</v>
      </c>
      <c r="B380"/>
      <c r="C380"/>
      <c r="D380" s="1">
        <f t="shared" si="34"/>
        <v>274</v>
      </c>
      <c r="E380" t="s">
        <v>874</v>
      </c>
      <c r="F380" t="s">
        <v>875</v>
      </c>
      <c r="G380" s="7">
        <v>2</v>
      </c>
    </row>
    <row r="381" spans="1:13" x14ac:dyDescent="0.2">
      <c r="A381"/>
      <c r="B381"/>
      <c r="C381"/>
      <c r="D381" s="1">
        <f>+D399+1</f>
        <v>294</v>
      </c>
      <c r="E381" s="5" t="s">
        <v>910</v>
      </c>
      <c r="F381" t="s">
        <v>911</v>
      </c>
      <c r="G381" s="7">
        <v>3.5</v>
      </c>
      <c r="H381" s="6">
        <f>+G381*L381</f>
        <v>663.22089749999998</v>
      </c>
      <c r="I381" s="6">
        <f>+[169]Main!$L$5-[169]Main!$L$6</f>
        <v>130.75800000000001</v>
      </c>
      <c r="J381" s="6">
        <f>+H381-I381</f>
        <v>532.46289749999994</v>
      </c>
      <c r="K381" s="3" t="s">
        <v>1277</v>
      </c>
      <c r="L381" s="6">
        <f>+[169]Main!$L$3</f>
        <v>189.49168499999999</v>
      </c>
      <c r="M381" s="9">
        <v>45712</v>
      </c>
    </row>
    <row r="382" spans="1:13" x14ac:dyDescent="0.2">
      <c r="A382"/>
      <c r="B382"/>
      <c r="C382"/>
      <c r="D382" s="1">
        <f>+D385+1</f>
        <v>276</v>
      </c>
      <c r="E382" s="5" t="s">
        <v>1820</v>
      </c>
      <c r="F382" t="s">
        <v>1821</v>
      </c>
      <c r="G382" s="7">
        <v>10.77</v>
      </c>
      <c r="H382" s="3">
        <v>447</v>
      </c>
    </row>
    <row r="383" spans="1:13" x14ac:dyDescent="0.2">
      <c r="A383" t="s">
        <v>333</v>
      </c>
      <c r="B383"/>
      <c r="C383"/>
      <c r="D383" s="1">
        <f t="shared" si="34"/>
        <v>277</v>
      </c>
      <c r="E383" t="s">
        <v>876</v>
      </c>
      <c r="F383" t="s">
        <v>877</v>
      </c>
      <c r="G383" s="7">
        <v>0.94</v>
      </c>
      <c r="H383" s="3">
        <v>424</v>
      </c>
    </row>
    <row r="384" spans="1:13" x14ac:dyDescent="0.2">
      <c r="A384" t="s">
        <v>333</v>
      </c>
      <c r="B384"/>
      <c r="C384"/>
      <c r="D384" s="1">
        <f>+D395+1</f>
        <v>289</v>
      </c>
      <c r="E384" t="s">
        <v>900</v>
      </c>
      <c r="F384" t="s">
        <v>901</v>
      </c>
      <c r="G384" s="3">
        <v>1.91</v>
      </c>
      <c r="H384" s="3">
        <v>404</v>
      </c>
    </row>
    <row r="385" spans="1:13" x14ac:dyDescent="0.2">
      <c r="A385"/>
      <c r="B385"/>
      <c r="C385"/>
      <c r="D385" s="1">
        <f>+D380+1</f>
        <v>275</v>
      </c>
      <c r="E385" t="s">
        <v>1830</v>
      </c>
      <c r="F385" t="s">
        <v>1831</v>
      </c>
      <c r="G385" s="7">
        <v>14.27</v>
      </c>
      <c r="H385" s="3">
        <v>365</v>
      </c>
    </row>
    <row r="386" spans="1:13" x14ac:dyDescent="0.2">
      <c r="A386" t="s">
        <v>333</v>
      </c>
      <c r="B386"/>
      <c r="C386"/>
      <c r="D386" s="1">
        <f>+D391+1</f>
        <v>287</v>
      </c>
      <c r="E386" t="s">
        <v>896</v>
      </c>
      <c r="F386" t="s">
        <v>897</v>
      </c>
      <c r="G386" s="7">
        <v>17.100000000000001</v>
      </c>
      <c r="H386" s="3">
        <v>300</v>
      </c>
    </row>
    <row r="387" spans="1:13" x14ac:dyDescent="0.2">
      <c r="A387" t="s">
        <v>333</v>
      </c>
      <c r="B387"/>
      <c r="C387"/>
      <c r="D387" s="1">
        <f>+D393+1</f>
        <v>283</v>
      </c>
      <c r="E387" t="s">
        <v>888</v>
      </c>
      <c r="F387" t="s">
        <v>889</v>
      </c>
      <c r="G387" s="7">
        <v>4.7699999999999996</v>
      </c>
      <c r="H387" s="3">
        <v>327</v>
      </c>
    </row>
    <row r="388" spans="1:13" x14ac:dyDescent="0.2">
      <c r="A388" t="s">
        <v>333</v>
      </c>
      <c r="B388"/>
      <c r="C388"/>
      <c r="D388" s="1">
        <f>+D398+1</f>
        <v>292</v>
      </c>
      <c r="E388" t="s">
        <v>906</v>
      </c>
      <c r="F388" t="s">
        <v>907</v>
      </c>
      <c r="G388" s="7">
        <v>20.8</v>
      </c>
      <c r="H388" s="3">
        <v>245</v>
      </c>
    </row>
    <row r="389" spans="1:13" x14ac:dyDescent="0.2">
      <c r="A389"/>
      <c r="B389"/>
      <c r="C389"/>
      <c r="D389" s="1">
        <f>+D396+1</f>
        <v>279</v>
      </c>
      <c r="E389" s="5" t="s">
        <v>1832</v>
      </c>
      <c r="F389" t="s">
        <v>1833</v>
      </c>
      <c r="G389" s="7">
        <v>2.97</v>
      </c>
      <c r="H389" s="6">
        <f>+G389*L389</f>
        <v>275.23920204000001</v>
      </c>
      <c r="I389" s="6">
        <f>+[170]Sheet1!$K$5-[170]Sheet1!$K$6</f>
        <v>134.916</v>
      </c>
      <c r="J389" s="6">
        <f>+H389-I389</f>
        <v>140.32320204000001</v>
      </c>
      <c r="K389" s="3" t="s">
        <v>1278</v>
      </c>
      <c r="L389" s="6">
        <f>[170]Sheet1!$K$3</f>
        <v>92.673131999999995</v>
      </c>
      <c r="M389" s="9">
        <v>45762</v>
      </c>
    </row>
    <row r="390" spans="1:13" x14ac:dyDescent="0.2">
      <c r="A390" t="s">
        <v>333</v>
      </c>
      <c r="B390"/>
      <c r="C390"/>
      <c r="D390" s="1">
        <f>+D400+1</f>
        <v>281</v>
      </c>
      <c r="E390" t="s">
        <v>882</v>
      </c>
      <c r="F390" t="s">
        <v>883</v>
      </c>
      <c r="G390" s="7">
        <v>1.35</v>
      </c>
      <c r="H390" s="3">
        <v>145</v>
      </c>
    </row>
    <row r="391" spans="1:13" x14ac:dyDescent="0.2">
      <c r="A391" t="s">
        <v>333</v>
      </c>
      <c r="B391"/>
      <c r="C391"/>
      <c r="D391" s="1">
        <f>+D392+1</f>
        <v>286</v>
      </c>
      <c r="E391" t="s">
        <v>894</v>
      </c>
      <c r="F391" t="s">
        <v>895</v>
      </c>
      <c r="G391" s="7">
        <v>1.84</v>
      </c>
      <c r="H391" s="3">
        <v>118</v>
      </c>
    </row>
    <row r="392" spans="1:13" x14ac:dyDescent="0.2">
      <c r="A392" t="s">
        <v>333</v>
      </c>
      <c r="B392"/>
      <c r="C392"/>
      <c r="D392" s="1">
        <f>+D394+1</f>
        <v>285</v>
      </c>
      <c r="E392" t="s">
        <v>892</v>
      </c>
      <c r="F392" t="s">
        <v>893</v>
      </c>
      <c r="G392" s="7">
        <v>2.2200000000000002</v>
      </c>
      <c r="H392" s="3">
        <v>90</v>
      </c>
    </row>
    <row r="393" spans="1:13" x14ac:dyDescent="0.2">
      <c r="A393" t="s">
        <v>333</v>
      </c>
      <c r="B393"/>
      <c r="C393"/>
      <c r="D393" s="1">
        <f>+D390+1</f>
        <v>282</v>
      </c>
      <c r="E393" t="s">
        <v>886</v>
      </c>
      <c r="F393" t="s">
        <v>887</v>
      </c>
      <c r="G393" s="7">
        <v>1.21</v>
      </c>
      <c r="H393" s="3">
        <v>72</v>
      </c>
    </row>
    <row r="394" spans="1:13" x14ac:dyDescent="0.2">
      <c r="A394" t="s">
        <v>333</v>
      </c>
      <c r="B394"/>
      <c r="C394"/>
      <c r="D394" s="1">
        <f>+D387+1</f>
        <v>284</v>
      </c>
      <c r="E394" t="s">
        <v>891</v>
      </c>
      <c r="F394" t="s">
        <v>890</v>
      </c>
      <c r="G394" s="7">
        <v>1.26</v>
      </c>
      <c r="H394" s="3">
        <v>38</v>
      </c>
    </row>
    <row r="395" spans="1:13" x14ac:dyDescent="0.2">
      <c r="A395" t="s">
        <v>333</v>
      </c>
      <c r="B395"/>
      <c r="C395"/>
      <c r="D395" s="1">
        <f>+D386+1</f>
        <v>288</v>
      </c>
      <c r="E395" t="s">
        <v>898</v>
      </c>
      <c r="F395" t="s">
        <v>899</v>
      </c>
      <c r="G395" s="3">
        <v>0.21</v>
      </c>
      <c r="H395" s="3">
        <v>36</v>
      </c>
    </row>
    <row r="396" spans="1:13" x14ac:dyDescent="0.2">
      <c r="A396" t="s">
        <v>333</v>
      </c>
      <c r="B396"/>
      <c r="C396"/>
      <c r="D396" s="1">
        <f>+D383+1</f>
        <v>278</v>
      </c>
      <c r="E396" t="s">
        <v>878</v>
      </c>
      <c r="F396" t="s">
        <v>879</v>
      </c>
      <c r="G396" s="7">
        <v>2.36</v>
      </c>
      <c r="H396" s="3">
        <v>25</v>
      </c>
    </row>
    <row r="397" spans="1:13" x14ac:dyDescent="0.2">
      <c r="A397" t="s">
        <v>333</v>
      </c>
      <c r="B397"/>
      <c r="C397"/>
      <c r="D397" s="1">
        <f>+D384+1</f>
        <v>290</v>
      </c>
      <c r="E397" t="s">
        <v>902</v>
      </c>
      <c r="F397" t="s">
        <v>903</v>
      </c>
      <c r="G397" s="3">
        <v>0.27</v>
      </c>
      <c r="H397" s="3">
        <v>11</v>
      </c>
    </row>
    <row r="398" spans="1:13" x14ac:dyDescent="0.2">
      <c r="A398" t="s">
        <v>333</v>
      </c>
      <c r="B398"/>
      <c r="C398"/>
      <c r="D398" s="1">
        <f t="shared" si="34"/>
        <v>291</v>
      </c>
      <c r="E398" t="s">
        <v>904</v>
      </c>
      <c r="F398" t="s">
        <v>905</v>
      </c>
      <c r="G398" s="3">
        <v>0.74</v>
      </c>
      <c r="H398" s="3">
        <v>47</v>
      </c>
    </row>
    <row r="399" spans="1:13" x14ac:dyDescent="0.2">
      <c r="A399" t="s">
        <v>333</v>
      </c>
      <c r="B399"/>
      <c r="C399"/>
      <c r="D399" s="1">
        <f>+D388+1</f>
        <v>293</v>
      </c>
      <c r="E399" t="s">
        <v>908</v>
      </c>
      <c r="F399" t="s">
        <v>909</v>
      </c>
      <c r="G399" s="3">
        <v>1.26</v>
      </c>
      <c r="H399" s="3">
        <v>79</v>
      </c>
    </row>
    <row r="400" spans="1:13" x14ac:dyDescent="0.2">
      <c r="A400" t="s">
        <v>333</v>
      </c>
      <c r="B400"/>
      <c r="C400"/>
      <c r="D400" s="1">
        <f>+D389+1</f>
        <v>280</v>
      </c>
      <c r="E400" t="s">
        <v>880</v>
      </c>
      <c r="F400" t="s">
        <v>881</v>
      </c>
      <c r="G400" s="7"/>
    </row>
    <row r="401" spans="1:7" x14ac:dyDescent="0.2">
      <c r="A401"/>
      <c r="B401"/>
      <c r="C401"/>
      <c r="D401" s="1">
        <f>+D381+1</f>
        <v>295</v>
      </c>
      <c r="E401" t="s">
        <v>912</v>
      </c>
      <c r="F401" t="s">
        <v>913</v>
      </c>
    </row>
    <row r="402" spans="1:7" x14ac:dyDescent="0.2">
      <c r="A402"/>
      <c r="B402"/>
      <c r="C402"/>
      <c r="D402" s="1">
        <f t="shared" ref="D402:D484" si="35">+D401+1</f>
        <v>296</v>
      </c>
      <c r="E402" t="s">
        <v>914</v>
      </c>
      <c r="F402" t="s">
        <v>915</v>
      </c>
    </row>
    <row r="403" spans="1:7" x14ac:dyDescent="0.2">
      <c r="A403"/>
      <c r="B403"/>
      <c r="C403"/>
      <c r="D403" s="1">
        <f t="shared" si="35"/>
        <v>297</v>
      </c>
      <c r="E403" t="s">
        <v>916</v>
      </c>
      <c r="F403" t="s">
        <v>917</v>
      </c>
    </row>
    <row r="404" spans="1:7" x14ac:dyDescent="0.2">
      <c r="A404"/>
      <c r="B404"/>
      <c r="C404"/>
      <c r="D404" s="1">
        <f t="shared" si="35"/>
        <v>298</v>
      </c>
      <c r="E404" t="s">
        <v>918</v>
      </c>
      <c r="F404" t="s">
        <v>919</v>
      </c>
    </row>
    <row r="405" spans="1:7" x14ac:dyDescent="0.2">
      <c r="A405"/>
      <c r="B405"/>
      <c r="C405"/>
      <c r="D405" s="1">
        <f t="shared" si="35"/>
        <v>299</v>
      </c>
      <c r="E405" t="s">
        <v>920</v>
      </c>
      <c r="F405" t="s">
        <v>921</v>
      </c>
    </row>
    <row r="406" spans="1:7" x14ac:dyDescent="0.2">
      <c r="A406"/>
      <c r="B406"/>
      <c r="C406"/>
      <c r="D406" s="1">
        <f t="shared" si="35"/>
        <v>300</v>
      </c>
      <c r="E406" s="5" t="s">
        <v>1293</v>
      </c>
      <c r="F406" t="s">
        <v>1294</v>
      </c>
      <c r="G406" s="7">
        <v>1</v>
      </c>
    </row>
    <row r="407" spans="1:7" x14ac:dyDescent="0.2">
      <c r="A407"/>
      <c r="B407"/>
      <c r="C407"/>
      <c r="D407" s="1">
        <f t="shared" si="35"/>
        <v>301</v>
      </c>
      <c r="E407" t="s">
        <v>922</v>
      </c>
      <c r="F407" t="s">
        <v>923</v>
      </c>
    </row>
    <row r="408" spans="1:7" x14ac:dyDescent="0.2">
      <c r="A408"/>
      <c r="B408"/>
      <c r="C408"/>
      <c r="D408" s="1">
        <f t="shared" si="35"/>
        <v>302</v>
      </c>
      <c r="E408" t="s">
        <v>924</v>
      </c>
      <c r="F408" t="s">
        <v>925</v>
      </c>
    </row>
    <row r="409" spans="1:7" x14ac:dyDescent="0.2">
      <c r="A409"/>
      <c r="B409"/>
      <c r="C409"/>
      <c r="D409" s="1">
        <f t="shared" si="35"/>
        <v>303</v>
      </c>
      <c r="E409" t="s">
        <v>926</v>
      </c>
      <c r="F409" t="s">
        <v>927</v>
      </c>
    </row>
    <row r="410" spans="1:7" x14ac:dyDescent="0.2">
      <c r="A410"/>
      <c r="B410"/>
      <c r="C410"/>
      <c r="D410" s="1">
        <f t="shared" si="35"/>
        <v>304</v>
      </c>
      <c r="E410" t="s">
        <v>928</v>
      </c>
      <c r="F410" t="s">
        <v>929</v>
      </c>
    </row>
    <row r="411" spans="1:7" x14ac:dyDescent="0.2">
      <c r="A411"/>
      <c r="B411"/>
      <c r="C411"/>
      <c r="D411" s="1">
        <f t="shared" si="35"/>
        <v>305</v>
      </c>
      <c r="E411" t="s">
        <v>930</v>
      </c>
      <c r="F411" t="s">
        <v>933</v>
      </c>
    </row>
    <row r="412" spans="1:7" x14ac:dyDescent="0.2">
      <c r="A412"/>
      <c r="B412"/>
      <c r="C412"/>
      <c r="D412" s="1">
        <f t="shared" si="35"/>
        <v>306</v>
      </c>
      <c r="E412" t="s">
        <v>931</v>
      </c>
      <c r="F412" t="s">
        <v>932</v>
      </c>
    </row>
    <row r="413" spans="1:7" x14ac:dyDescent="0.2">
      <c r="A413"/>
      <c r="B413"/>
      <c r="C413"/>
      <c r="D413" s="1">
        <f t="shared" si="35"/>
        <v>307</v>
      </c>
      <c r="E413" t="s">
        <v>936</v>
      </c>
      <c r="F413" t="s">
        <v>937</v>
      </c>
    </row>
    <row r="414" spans="1:7" x14ac:dyDescent="0.2">
      <c r="A414"/>
      <c r="B414"/>
      <c r="C414"/>
      <c r="D414" s="1">
        <f t="shared" si="35"/>
        <v>308</v>
      </c>
      <c r="E414" s="25" t="s">
        <v>1350</v>
      </c>
      <c r="F414" t="s">
        <v>1351</v>
      </c>
      <c r="G414" s="3">
        <v>2.84</v>
      </c>
    </row>
    <row r="415" spans="1:7" x14ac:dyDescent="0.2">
      <c r="A415"/>
      <c r="B415"/>
      <c r="C415"/>
      <c r="D415" s="1">
        <f t="shared" si="35"/>
        <v>309</v>
      </c>
      <c r="E415" t="s">
        <v>940</v>
      </c>
      <c r="F415" t="s">
        <v>941</v>
      </c>
    </row>
    <row r="416" spans="1:7" x14ac:dyDescent="0.2">
      <c r="A416"/>
      <c r="B416"/>
      <c r="C416"/>
      <c r="D416" s="1">
        <f t="shared" si="35"/>
        <v>310</v>
      </c>
      <c r="E416" t="s">
        <v>942</v>
      </c>
      <c r="F416" t="s">
        <v>943</v>
      </c>
    </row>
    <row r="417" spans="1:13" x14ac:dyDescent="0.2">
      <c r="A417"/>
      <c r="B417"/>
      <c r="C417"/>
      <c r="D417" s="1">
        <f t="shared" si="35"/>
        <v>311</v>
      </c>
      <c r="E417" t="s">
        <v>944</v>
      </c>
      <c r="F417" t="s">
        <v>945</v>
      </c>
    </row>
    <row r="418" spans="1:13" x14ac:dyDescent="0.2">
      <c r="A418"/>
      <c r="B418"/>
      <c r="C418"/>
      <c r="D418" s="1">
        <f t="shared" si="35"/>
        <v>312</v>
      </c>
      <c r="E418" t="s">
        <v>946</v>
      </c>
      <c r="F418" t="s">
        <v>947</v>
      </c>
    </row>
    <row r="419" spans="1:13" x14ac:dyDescent="0.2">
      <c r="A419"/>
      <c r="B419"/>
      <c r="C419"/>
      <c r="D419" s="1">
        <f t="shared" si="35"/>
        <v>313</v>
      </c>
      <c r="E419" t="s">
        <v>948</v>
      </c>
      <c r="F419" t="s">
        <v>949</v>
      </c>
    </row>
    <row r="420" spans="1:13" x14ac:dyDescent="0.2">
      <c r="A420"/>
      <c r="B420"/>
      <c r="C420"/>
      <c r="D420" s="1">
        <f t="shared" si="35"/>
        <v>314</v>
      </c>
      <c r="E420" t="s">
        <v>952</v>
      </c>
      <c r="F420" t="s">
        <v>953</v>
      </c>
    </row>
    <row r="421" spans="1:13" x14ac:dyDescent="0.2">
      <c r="A421"/>
      <c r="B421"/>
      <c r="C421"/>
      <c r="D421" s="1">
        <f t="shared" si="35"/>
        <v>315</v>
      </c>
      <c r="E421" t="s">
        <v>954</v>
      </c>
      <c r="F421" t="s">
        <v>955</v>
      </c>
      <c r="G421" s="7">
        <v>2.19</v>
      </c>
    </row>
    <row r="422" spans="1:13" x14ac:dyDescent="0.2">
      <c r="A422"/>
      <c r="B422"/>
      <c r="C422"/>
      <c r="D422" s="1">
        <f t="shared" si="35"/>
        <v>316</v>
      </c>
      <c r="E422" t="s">
        <v>956</v>
      </c>
      <c r="F422" t="s">
        <v>957</v>
      </c>
    </row>
    <row r="423" spans="1:13" x14ac:dyDescent="0.2">
      <c r="A423"/>
      <c r="B423"/>
      <c r="C423"/>
      <c r="D423" s="1">
        <f t="shared" si="35"/>
        <v>317</v>
      </c>
      <c r="E423" t="s">
        <v>958</v>
      </c>
      <c r="F423" t="s">
        <v>959</v>
      </c>
    </row>
    <row r="424" spans="1:13" x14ac:dyDescent="0.2">
      <c r="A424"/>
      <c r="B424"/>
      <c r="C424"/>
      <c r="D424" s="1">
        <f t="shared" si="35"/>
        <v>318</v>
      </c>
      <c r="E424" t="s">
        <v>960</v>
      </c>
      <c r="F424" t="s">
        <v>961</v>
      </c>
    </row>
    <row r="425" spans="1:13" x14ac:dyDescent="0.2">
      <c r="A425"/>
      <c r="B425"/>
      <c r="C425"/>
      <c r="D425" s="1">
        <f t="shared" si="35"/>
        <v>319</v>
      </c>
      <c r="E425" t="s">
        <v>962</v>
      </c>
      <c r="F425" t="s">
        <v>963</v>
      </c>
    </row>
    <row r="426" spans="1:13" x14ac:dyDescent="0.2">
      <c r="A426"/>
      <c r="B426"/>
      <c r="C426"/>
      <c r="D426" s="1">
        <f t="shared" si="35"/>
        <v>320</v>
      </c>
      <c r="E426" t="s">
        <v>964</v>
      </c>
      <c r="F426" t="s">
        <v>965</v>
      </c>
    </row>
    <row r="427" spans="1:13" x14ac:dyDescent="0.2">
      <c r="A427"/>
      <c r="B427"/>
      <c r="C427"/>
      <c r="D427" s="1">
        <f t="shared" si="35"/>
        <v>321</v>
      </c>
      <c r="E427" t="s">
        <v>966</v>
      </c>
      <c r="F427" t="s">
        <v>967</v>
      </c>
    </row>
    <row r="428" spans="1:13" x14ac:dyDescent="0.2">
      <c r="A428"/>
      <c r="B428"/>
      <c r="C428"/>
      <c r="D428" s="1">
        <f t="shared" si="35"/>
        <v>322</v>
      </c>
      <c r="E428" t="s">
        <v>968</v>
      </c>
      <c r="F428" t="s">
        <v>969</v>
      </c>
    </row>
    <row r="429" spans="1:13" x14ac:dyDescent="0.2">
      <c r="A429"/>
      <c r="B429"/>
      <c r="C429"/>
      <c r="D429" s="1">
        <f t="shared" si="35"/>
        <v>323</v>
      </c>
      <c r="E429" t="s">
        <v>970</v>
      </c>
      <c r="F429" t="s">
        <v>971</v>
      </c>
    </row>
    <row r="430" spans="1:13" x14ac:dyDescent="0.2">
      <c r="A430"/>
      <c r="B430"/>
      <c r="C430"/>
      <c r="D430" s="1">
        <f t="shared" si="35"/>
        <v>324</v>
      </c>
      <c r="E430" t="s">
        <v>972</v>
      </c>
      <c r="F430" t="s">
        <v>973</v>
      </c>
    </row>
    <row r="431" spans="1:13" x14ac:dyDescent="0.2">
      <c r="D431" s="1">
        <f t="shared" si="35"/>
        <v>325</v>
      </c>
      <c r="E431" s="1" t="s">
        <v>1094</v>
      </c>
      <c r="F431" s="1" t="s">
        <v>1095</v>
      </c>
      <c r="G431" s="3">
        <v>8.11</v>
      </c>
      <c r="H431" s="3">
        <v>123</v>
      </c>
    </row>
    <row r="432" spans="1:13" x14ac:dyDescent="0.2">
      <c r="D432" s="1">
        <f>+D476+1</f>
        <v>366</v>
      </c>
      <c r="E432" s="5" t="s">
        <v>1790</v>
      </c>
      <c r="F432" s="1" t="s">
        <v>1791</v>
      </c>
      <c r="G432" s="7">
        <v>50.86</v>
      </c>
      <c r="H432" s="6">
        <f>+G432*L432</f>
        <v>750.32176254000001</v>
      </c>
      <c r="I432" s="6">
        <f>+[171]Main!$M$5-[171]Main!$M$6</f>
        <v>159.095</v>
      </c>
      <c r="J432" s="6">
        <f>+H432-I432</f>
        <v>591.22676253999998</v>
      </c>
      <c r="K432" s="3" t="s">
        <v>1277</v>
      </c>
      <c r="L432" s="6">
        <f>+[171]Main!$M$3</f>
        <v>14.752689</v>
      </c>
      <c r="M432" s="9">
        <v>45687</v>
      </c>
    </row>
    <row r="433" spans="2:13" x14ac:dyDescent="0.2">
      <c r="D433" s="1">
        <f>+D431+1</f>
        <v>326</v>
      </c>
      <c r="E433" s="5" t="s">
        <v>1608</v>
      </c>
      <c r="F433" t="s">
        <v>1609</v>
      </c>
      <c r="G433" s="7">
        <v>42.9</v>
      </c>
      <c r="H433" s="6">
        <f t="shared" ref="H433:H447" si="36">+G433*L433</f>
        <v>518.07807479999997</v>
      </c>
      <c r="I433" s="6">
        <f>+[172]Main!$K$5-[172]Main!$K$6</f>
        <v>89.078000000000003</v>
      </c>
      <c r="J433" s="6">
        <f t="shared" ref="J433:J447" si="37">+H433-I433</f>
        <v>429.00007479999999</v>
      </c>
      <c r="K433" s="3" t="s">
        <v>1277</v>
      </c>
      <c r="L433" s="6">
        <f>+[172]Main!$K$3</f>
        <v>12.076411999999999</v>
      </c>
      <c r="M433" s="9">
        <v>45608</v>
      </c>
    </row>
    <row r="434" spans="2:13" x14ac:dyDescent="0.2">
      <c r="D434" s="1">
        <f t="shared" si="35"/>
        <v>327</v>
      </c>
      <c r="E434" s="40" t="s">
        <v>1127</v>
      </c>
      <c r="F434" s="1" t="s">
        <v>1128</v>
      </c>
      <c r="G434" s="7">
        <v>10.54</v>
      </c>
      <c r="H434" s="6">
        <f t="shared" si="36"/>
        <v>295.11496187999995</v>
      </c>
      <c r="I434" s="6">
        <f>+[173]Main!$K$5-[173]Main!$K$6</f>
        <v>15.414999999999999</v>
      </c>
      <c r="J434" s="6">
        <f t="shared" si="37"/>
        <v>279.69996187999993</v>
      </c>
      <c r="K434" s="3" t="s">
        <v>1071</v>
      </c>
      <c r="L434" s="6">
        <f>+[173]Main!$K$3</f>
        <v>27.999521999999999</v>
      </c>
      <c r="M434" s="9">
        <v>45474</v>
      </c>
    </row>
    <row r="435" spans="2:13" x14ac:dyDescent="0.2">
      <c r="D435" s="1">
        <f t="shared" si="35"/>
        <v>328</v>
      </c>
      <c r="E435" s="5" t="s">
        <v>1618</v>
      </c>
      <c r="F435" s="1" t="s">
        <v>1617</v>
      </c>
      <c r="G435" s="3">
        <v>2.62</v>
      </c>
      <c r="H435" s="6">
        <f>+G435*L435</f>
        <v>164.43598150000003</v>
      </c>
      <c r="I435" s="6">
        <f>+[174]Main!$K$5-[174]Main!$K$6</f>
        <v>-77.494</v>
      </c>
      <c r="J435" s="6">
        <f>+H435-I435</f>
        <v>241.92998150000003</v>
      </c>
      <c r="K435" s="3" t="s">
        <v>1277</v>
      </c>
      <c r="L435" s="6">
        <f>+[174]Main!$K$3</f>
        <v>62.761825000000002</v>
      </c>
      <c r="M435" s="9">
        <v>45628</v>
      </c>
    </row>
    <row r="436" spans="2:13" x14ac:dyDescent="0.2">
      <c r="B436" s="1">
        <v>6</v>
      </c>
      <c r="C436" s="1">
        <v>2</v>
      </c>
      <c r="D436" s="1">
        <f t="shared" si="35"/>
        <v>329</v>
      </c>
      <c r="E436" s="5" t="s">
        <v>1636</v>
      </c>
      <c r="F436" t="s">
        <v>1635</v>
      </c>
      <c r="G436" s="3">
        <v>31.98</v>
      </c>
      <c r="H436" s="6">
        <f>+G436*L436</f>
        <v>195.84830226</v>
      </c>
      <c r="I436" s="6">
        <f>+[175]Main!$L$5-[175]Main!$L$6</f>
        <v>40.720092000000001</v>
      </c>
      <c r="J436" s="6">
        <f>+H436-I436</f>
        <v>155.12821026</v>
      </c>
      <c r="K436" s="3" t="s">
        <v>1071</v>
      </c>
      <c r="L436" s="6">
        <f>+[175]Main!$L$3</f>
        <v>6.1240869999999994</v>
      </c>
      <c r="M436" s="9">
        <v>45630</v>
      </c>
    </row>
    <row r="437" spans="2:13" x14ac:dyDescent="0.2">
      <c r="D437" s="1">
        <f t="shared" si="35"/>
        <v>330</v>
      </c>
      <c r="E437" s="5" t="s">
        <v>1624</v>
      </c>
      <c r="F437" t="s">
        <v>1623</v>
      </c>
      <c r="G437" s="7">
        <v>4</v>
      </c>
      <c r="H437" s="6">
        <f>+G437*L437</f>
        <v>390.524</v>
      </c>
      <c r="I437" s="6">
        <f>+[176]Main!$M$5-[176]Main!$M$6</f>
        <v>195.3</v>
      </c>
      <c r="J437" s="6">
        <f>+H437-I437</f>
        <v>195.22399999999999</v>
      </c>
      <c r="K437" s="3" t="s">
        <v>1277</v>
      </c>
      <c r="L437" s="6">
        <f>+[176]Main!$M$3</f>
        <v>97.631</v>
      </c>
      <c r="M437" s="9">
        <v>45629</v>
      </c>
    </row>
    <row r="438" spans="2:13" x14ac:dyDescent="0.2">
      <c r="D438" s="1">
        <f t="shared" si="35"/>
        <v>331</v>
      </c>
      <c r="E438" s="5" t="s">
        <v>1641</v>
      </c>
      <c r="F438" t="s">
        <v>1642</v>
      </c>
      <c r="G438" s="7">
        <v>4.5</v>
      </c>
      <c r="H438" s="6">
        <f>+G438*L438</f>
        <v>146.13991650000003</v>
      </c>
      <c r="I438" s="6">
        <f>+[177]Main!$M$5-[177]Main!$M$6</f>
        <v>1.9079999999999977</v>
      </c>
      <c r="J438" s="6">
        <f>+H438-I438</f>
        <v>144.23191650000004</v>
      </c>
      <c r="K438" s="3" t="s">
        <v>1277</v>
      </c>
      <c r="L438" s="6">
        <f>+[177]Main!$M$3</f>
        <v>32.475537000000003</v>
      </c>
      <c r="M438" s="9">
        <v>45630</v>
      </c>
    </row>
    <row r="439" spans="2:13" x14ac:dyDescent="0.2">
      <c r="D439" s="1">
        <f>+D471+1</f>
        <v>361</v>
      </c>
      <c r="E439" s="5" t="s">
        <v>1669</v>
      </c>
      <c r="F439" t="s">
        <v>1670</v>
      </c>
      <c r="G439" s="3">
        <v>6.41</v>
      </c>
      <c r="H439" s="6">
        <f>+G439*L439</f>
        <v>226.21900856999997</v>
      </c>
      <c r="I439" s="6">
        <f>+[178]Main!$K$5-[178]Main!$K$6</f>
        <v>98.310918000000001</v>
      </c>
      <c r="J439" s="6">
        <f>+H439-I439</f>
        <v>127.90809056999997</v>
      </c>
      <c r="K439" s="3" t="s">
        <v>1277</v>
      </c>
      <c r="L439" s="6">
        <f>+[178]Main!$K$3</f>
        <v>35.291576999999997</v>
      </c>
      <c r="M439" s="9">
        <v>45660</v>
      </c>
    </row>
    <row r="440" spans="2:13" x14ac:dyDescent="0.2">
      <c r="D440" s="1">
        <f>+D438+1</f>
        <v>332</v>
      </c>
      <c r="E440" s="5" t="s">
        <v>1612</v>
      </c>
      <c r="F440" t="s">
        <v>1613</v>
      </c>
      <c r="G440" s="3">
        <v>1.53</v>
      </c>
      <c r="H440" s="6">
        <f t="shared" si="36"/>
        <v>192.47591862000002</v>
      </c>
      <c r="I440" s="6">
        <f>+[179]Main!$L$5-[179]Main!$L$6</f>
        <v>74.8</v>
      </c>
      <c r="J440" s="6">
        <f t="shared" si="37"/>
        <v>117.67591862000002</v>
      </c>
      <c r="K440" s="3" t="s">
        <v>1277</v>
      </c>
      <c r="L440" s="6">
        <f>+[179]Main!$L$3</f>
        <v>125.801254</v>
      </c>
      <c r="M440" s="9">
        <v>45608</v>
      </c>
    </row>
    <row r="441" spans="2:13" x14ac:dyDescent="0.2">
      <c r="D441" s="1">
        <f t="shared" si="35"/>
        <v>333</v>
      </c>
      <c r="E441" s="5" t="s">
        <v>1096</v>
      </c>
      <c r="F441" t="s">
        <v>1097</v>
      </c>
      <c r="G441" s="7">
        <v>5</v>
      </c>
      <c r="H441" s="6">
        <f t="shared" si="36"/>
        <v>216.57198499999998</v>
      </c>
      <c r="I441" s="6">
        <f>+[180]Main!$J$5-[180]Main!$J$6</f>
        <v>104.35299999999999</v>
      </c>
      <c r="J441" s="6">
        <f t="shared" si="37"/>
        <v>112.21898499999999</v>
      </c>
      <c r="K441" s="3" t="s">
        <v>1071</v>
      </c>
      <c r="L441" s="6">
        <f>+[180]Main!$J$3</f>
        <v>43.314397</v>
      </c>
      <c r="M441" s="9">
        <v>45525</v>
      </c>
    </row>
    <row r="442" spans="2:13" x14ac:dyDescent="0.2">
      <c r="D442" s="1">
        <f t="shared" si="35"/>
        <v>334</v>
      </c>
      <c r="E442" s="5" t="s">
        <v>1160</v>
      </c>
      <c r="F442" t="s">
        <v>1161</v>
      </c>
      <c r="G442" s="7">
        <v>3.6</v>
      </c>
      <c r="H442" s="6">
        <f t="shared" si="36"/>
        <v>132.55131599999999</v>
      </c>
      <c r="I442" s="6">
        <f>+[181]Main!$L$5-[181]Main!$L$6</f>
        <v>33.507724000000003</v>
      </c>
      <c r="J442" s="6">
        <f t="shared" si="37"/>
        <v>99.04359199999999</v>
      </c>
      <c r="K442" s="3" t="s">
        <v>1071</v>
      </c>
      <c r="L442" s="6">
        <f>+[181]Main!$L$3</f>
        <v>36.819809999999997</v>
      </c>
      <c r="M442" s="9">
        <v>45567</v>
      </c>
    </row>
    <row r="443" spans="2:13" x14ac:dyDescent="0.2">
      <c r="D443" s="1">
        <f t="shared" si="35"/>
        <v>335</v>
      </c>
      <c r="E443" s="5" t="s">
        <v>1610</v>
      </c>
      <c r="F443" t="s">
        <v>1611</v>
      </c>
      <c r="G443" s="7">
        <v>13.15</v>
      </c>
      <c r="H443" s="6">
        <f t="shared" si="36"/>
        <v>319.40466320000002</v>
      </c>
      <c r="I443" s="6">
        <f>+[182]Main!$K$5-[182]Main!$K$6</f>
        <v>199.59700000000001</v>
      </c>
      <c r="J443" s="6">
        <f t="shared" si="37"/>
        <v>119.80766320000001</v>
      </c>
      <c r="K443" s="3" t="s">
        <v>1277</v>
      </c>
      <c r="L443" s="6">
        <f>+[182]Main!$K$3</f>
        <v>24.289328000000001</v>
      </c>
      <c r="M443" s="9">
        <v>45608</v>
      </c>
    </row>
    <row r="444" spans="2:13" x14ac:dyDescent="0.2">
      <c r="D444" s="1">
        <f t="shared" si="35"/>
        <v>336</v>
      </c>
      <c r="E444" s="5" t="s">
        <v>1626</v>
      </c>
      <c r="F444" t="s">
        <v>1625</v>
      </c>
      <c r="G444" s="3">
        <v>2.83</v>
      </c>
      <c r="H444" s="6">
        <f>+G444*L444</f>
        <v>108.43964851000001</v>
      </c>
      <c r="I444" s="6">
        <f>+[183]Main!$K$5-[183]Main!$K$6</f>
        <v>62.823</v>
      </c>
      <c r="J444" s="6">
        <f>+H444-I444</f>
        <v>45.616648510000012</v>
      </c>
      <c r="K444" s="3" t="s">
        <v>1277</v>
      </c>
      <c r="L444" s="6">
        <f>+[183]Main!$K$3</f>
        <v>38.317897000000002</v>
      </c>
      <c r="M444" s="9">
        <v>45629</v>
      </c>
    </row>
    <row r="445" spans="2:13" x14ac:dyDescent="0.2">
      <c r="D445" s="1">
        <f>+D462+1</f>
        <v>353</v>
      </c>
      <c r="E445" s="5" t="s">
        <v>1643</v>
      </c>
      <c r="F445" t="s">
        <v>1644</v>
      </c>
      <c r="G445" s="7">
        <v>2.69</v>
      </c>
      <c r="H445" s="6">
        <f>+G445*L445</f>
        <v>89.956825309999985</v>
      </c>
      <c r="I445" s="6">
        <f>+[184]Main!$K$5-[184]Main!$K$6</f>
        <v>5.4758170000000002</v>
      </c>
      <c r="J445" s="6">
        <f>+H445-I445</f>
        <v>84.481008309999979</v>
      </c>
      <c r="K445" s="3" t="s">
        <v>1277</v>
      </c>
      <c r="L445" s="6">
        <f>+[184]Main!$K$3</f>
        <v>33.441198999999997</v>
      </c>
      <c r="M445" s="9">
        <v>45630</v>
      </c>
    </row>
    <row r="446" spans="2:13" x14ac:dyDescent="0.2">
      <c r="D446" s="1">
        <f>+D469+1</f>
        <v>359</v>
      </c>
      <c r="E446" s="5" t="s">
        <v>1664</v>
      </c>
      <c r="F446" t="s">
        <v>1663</v>
      </c>
      <c r="G446" s="3">
        <v>1.02</v>
      </c>
      <c r="H446" s="6">
        <f>+G446*L446</f>
        <v>103.2980316</v>
      </c>
      <c r="I446" s="6">
        <f>+[185]Main!$L$5-[185]Main!$L$6</f>
        <v>59.1</v>
      </c>
      <c r="J446" s="6">
        <f>+H446-I446</f>
        <v>44.1980316</v>
      </c>
      <c r="K446" s="3" t="s">
        <v>1277</v>
      </c>
      <c r="L446" s="6">
        <f>+[185]Main!$L$3</f>
        <v>101.27258</v>
      </c>
      <c r="M446" s="9">
        <v>45656</v>
      </c>
    </row>
    <row r="447" spans="2:13" x14ac:dyDescent="0.2">
      <c r="D447" s="1">
        <f>+D444+1</f>
        <v>337</v>
      </c>
      <c r="E447" s="5" t="s">
        <v>1434</v>
      </c>
      <c r="F447" s="1" t="s">
        <v>1435</v>
      </c>
      <c r="G447" s="3">
        <v>0.19</v>
      </c>
      <c r="H447" s="6">
        <f t="shared" si="36"/>
        <v>4.1807902100000005</v>
      </c>
      <c r="I447" s="6">
        <f>+[186]Main!$P$5-[186]Main!$P$6</f>
        <v>-4.3319999999999999</v>
      </c>
      <c r="J447" s="6">
        <f t="shared" si="37"/>
        <v>8.5127902100000004</v>
      </c>
      <c r="K447" s="3" t="s">
        <v>1071</v>
      </c>
      <c r="L447" s="6">
        <f>+[186]Main!$P$3</f>
        <v>22.004159000000001</v>
      </c>
      <c r="M447" s="9">
        <v>45587</v>
      </c>
    </row>
    <row r="448" spans="2:13" x14ac:dyDescent="0.2">
      <c r="D448" s="1">
        <f t="shared" si="35"/>
        <v>338</v>
      </c>
      <c r="E448" s="40" t="s">
        <v>1628</v>
      </c>
      <c r="F448" t="s">
        <v>1627</v>
      </c>
      <c r="G448" s="7">
        <v>3.71</v>
      </c>
      <c r="H448" s="6">
        <f>+G448*L448</f>
        <v>181.33427843999999</v>
      </c>
      <c r="I448" s="6">
        <f>+[187]Main!$K$5-[187]Main!$K$6</f>
        <v>183.012</v>
      </c>
      <c r="J448" s="6">
        <f>+H448-I448</f>
        <v>-1.677721560000009</v>
      </c>
      <c r="K448" s="3" t="s">
        <v>1277</v>
      </c>
      <c r="L448" s="6">
        <f>+[187]Main!$K$3</f>
        <v>48.877164</v>
      </c>
      <c r="M448" s="9">
        <v>45629</v>
      </c>
    </row>
    <row r="449" spans="4:13" x14ac:dyDescent="0.2">
      <c r="D449" s="1">
        <f t="shared" si="35"/>
        <v>339</v>
      </c>
      <c r="E449" s="5" t="s">
        <v>1631</v>
      </c>
      <c r="F449" s="1" t="s">
        <v>1632</v>
      </c>
      <c r="G449" s="7">
        <v>6</v>
      </c>
      <c r="H449" s="6">
        <f>+G449*L449</f>
        <v>327.199524</v>
      </c>
      <c r="I449" s="6">
        <f>+[188]Main!$L$5-[188]Main!$L$6</f>
        <v>371.02100000000002</v>
      </c>
      <c r="J449" s="6">
        <f>+H449-I449</f>
        <v>-43.821476000000018</v>
      </c>
      <c r="K449" s="3" t="s">
        <v>1071</v>
      </c>
      <c r="L449" s="6">
        <f>+[188]Main!$L$3</f>
        <v>54.533253999999999</v>
      </c>
      <c r="M449" s="9">
        <v>45629</v>
      </c>
    </row>
    <row r="450" spans="4:13" x14ac:dyDescent="0.2">
      <c r="D450" s="1">
        <f t="shared" si="35"/>
        <v>340</v>
      </c>
      <c r="E450" s="1" t="s">
        <v>1190</v>
      </c>
      <c r="F450" s="1" t="s">
        <v>1191</v>
      </c>
      <c r="G450" s="3">
        <v>0.28999999999999998</v>
      </c>
    </row>
    <row r="451" spans="4:13" x14ac:dyDescent="0.2">
      <c r="D451" s="1">
        <f t="shared" si="35"/>
        <v>341</v>
      </c>
      <c r="E451" s="1" t="s">
        <v>1272</v>
      </c>
      <c r="F451" t="s">
        <v>1273</v>
      </c>
    </row>
    <row r="452" spans="4:13" x14ac:dyDescent="0.2">
      <c r="D452" s="1">
        <f t="shared" si="35"/>
        <v>342</v>
      </c>
      <c r="E452" s="1" t="s">
        <v>1301</v>
      </c>
      <c r="F452" s="1" t="s">
        <v>1302</v>
      </c>
    </row>
    <row r="453" spans="4:13" x14ac:dyDescent="0.2">
      <c r="D453" s="1">
        <f t="shared" si="35"/>
        <v>343</v>
      </c>
      <c r="E453" t="s">
        <v>1303</v>
      </c>
      <c r="F453" t="s">
        <v>1304</v>
      </c>
    </row>
    <row r="454" spans="4:13" x14ac:dyDescent="0.2">
      <c r="D454" s="1">
        <f t="shared" si="35"/>
        <v>344</v>
      </c>
      <c r="E454" s="1" t="s">
        <v>1354</v>
      </c>
    </row>
    <row r="455" spans="4:13" x14ac:dyDescent="0.2">
      <c r="D455" s="1">
        <f t="shared" si="35"/>
        <v>345</v>
      </c>
      <c r="E455" s="5" t="s">
        <v>1439</v>
      </c>
      <c r="F455" s="1" t="s">
        <v>1440</v>
      </c>
      <c r="G455" s="7">
        <v>30</v>
      </c>
    </row>
    <row r="456" spans="4:13" x14ac:dyDescent="0.2">
      <c r="D456" s="1">
        <f t="shared" si="35"/>
        <v>346</v>
      </c>
      <c r="E456" t="s">
        <v>1502</v>
      </c>
    </row>
    <row r="457" spans="4:13" x14ac:dyDescent="0.2">
      <c r="D457" s="1">
        <f t="shared" si="35"/>
        <v>347</v>
      </c>
      <c r="E457" s="1" t="s">
        <v>1614</v>
      </c>
      <c r="F457" t="s">
        <v>1615</v>
      </c>
    </row>
    <row r="458" spans="4:13" x14ac:dyDescent="0.2">
      <c r="D458" s="1">
        <f t="shared" si="35"/>
        <v>348</v>
      </c>
      <c r="E458" t="s">
        <v>1619</v>
      </c>
      <c r="F458" s="1" t="s">
        <v>1620</v>
      </c>
    </row>
    <row r="459" spans="4:13" x14ac:dyDescent="0.2">
      <c r="D459" s="1">
        <f t="shared" si="35"/>
        <v>349</v>
      </c>
      <c r="E459" t="s">
        <v>1621</v>
      </c>
      <c r="F459" t="s">
        <v>1622</v>
      </c>
    </row>
    <row r="460" spans="4:13" x14ac:dyDescent="0.2">
      <c r="D460" s="1">
        <f t="shared" si="35"/>
        <v>350</v>
      </c>
      <c r="E460" t="s">
        <v>1629</v>
      </c>
      <c r="F460" t="s">
        <v>1630</v>
      </c>
    </row>
    <row r="461" spans="4:13" x14ac:dyDescent="0.2">
      <c r="D461" s="1">
        <f t="shared" si="35"/>
        <v>351</v>
      </c>
      <c r="E461" s="5" t="s">
        <v>1634</v>
      </c>
      <c r="F461" s="1" t="s">
        <v>1633</v>
      </c>
      <c r="G461" s="3">
        <v>26.71</v>
      </c>
    </row>
    <row r="462" spans="4:13" x14ac:dyDescent="0.2">
      <c r="D462" s="1">
        <f t="shared" si="35"/>
        <v>352</v>
      </c>
      <c r="E462" s="1" t="s">
        <v>1639</v>
      </c>
      <c r="F462" t="s">
        <v>1640</v>
      </c>
    </row>
    <row r="463" spans="4:13" x14ac:dyDescent="0.2">
      <c r="D463" s="1">
        <f t="shared" si="35"/>
        <v>353</v>
      </c>
      <c r="E463" t="s">
        <v>1645</v>
      </c>
      <c r="F463" s="1" t="s">
        <v>1646</v>
      </c>
    </row>
    <row r="464" spans="4:13" x14ac:dyDescent="0.2">
      <c r="D464" s="1">
        <f t="shared" si="35"/>
        <v>354</v>
      </c>
      <c r="E464" s="1" t="s">
        <v>1647</v>
      </c>
      <c r="F464" t="s">
        <v>1648</v>
      </c>
      <c r="G464" s="3">
        <v>4.1100000000000003</v>
      </c>
    </row>
    <row r="465" spans="2:13" x14ac:dyDescent="0.2">
      <c r="B465" s="1">
        <v>7</v>
      </c>
      <c r="C465" s="1">
        <v>2</v>
      </c>
      <c r="D465" s="1">
        <f>+D476+1</f>
        <v>366</v>
      </c>
      <c r="E465" s="5" t="s">
        <v>1792</v>
      </c>
      <c r="F465" s="1" t="s">
        <v>1793</v>
      </c>
      <c r="G465" s="7">
        <v>20</v>
      </c>
      <c r="H465" s="6">
        <f>+G465*L465</f>
        <v>1040.5629000000001</v>
      </c>
      <c r="I465" s="6">
        <f>+[189]Main!$L$5-[189]Main!$L$6</f>
        <v>193.8</v>
      </c>
      <c r="J465" s="6">
        <f>+H465-I465</f>
        <v>846.76290000000017</v>
      </c>
      <c r="K465" s="3" t="s">
        <v>1277</v>
      </c>
      <c r="L465" s="6">
        <f>+[189]Main!$L$3</f>
        <v>52.028145000000002</v>
      </c>
      <c r="M465" s="9">
        <v>45691</v>
      </c>
    </row>
    <row r="466" spans="2:13" x14ac:dyDescent="0.2">
      <c r="D466" s="1">
        <f>+D464+1</f>
        <v>355</v>
      </c>
      <c r="E466" t="s">
        <v>1653</v>
      </c>
      <c r="F466" t="s">
        <v>1654</v>
      </c>
    </row>
    <row r="467" spans="2:13" x14ac:dyDescent="0.2">
      <c r="D467" s="1">
        <f t="shared" si="35"/>
        <v>356</v>
      </c>
      <c r="E467" s="1" t="s">
        <v>1655</v>
      </c>
      <c r="F467" s="1" t="s">
        <v>1656</v>
      </c>
    </row>
    <row r="468" spans="2:13" x14ac:dyDescent="0.2">
      <c r="D468" s="1">
        <f t="shared" si="35"/>
        <v>357</v>
      </c>
      <c r="E468" t="s">
        <v>1657</v>
      </c>
      <c r="F468" t="s">
        <v>1658</v>
      </c>
    </row>
    <row r="469" spans="2:13" x14ac:dyDescent="0.2">
      <c r="D469" s="1">
        <f t="shared" si="35"/>
        <v>358</v>
      </c>
      <c r="E469" s="1" t="s">
        <v>1659</v>
      </c>
      <c r="F469" s="1" t="s">
        <v>1660</v>
      </c>
      <c r="G469" s="3">
        <v>0.61</v>
      </c>
    </row>
    <row r="470" spans="2:13" x14ac:dyDescent="0.2">
      <c r="D470" s="1">
        <f t="shared" si="35"/>
        <v>359</v>
      </c>
      <c r="E470" t="s">
        <v>1665</v>
      </c>
      <c r="F470" t="s">
        <v>1666</v>
      </c>
    </row>
    <row r="471" spans="2:13" x14ac:dyDescent="0.2">
      <c r="D471" s="1">
        <f t="shared" si="35"/>
        <v>360</v>
      </c>
      <c r="E471" s="1" t="s">
        <v>1668</v>
      </c>
      <c r="F471" s="1" t="s">
        <v>1667</v>
      </c>
      <c r="G471" s="3">
        <v>1.46</v>
      </c>
    </row>
    <row r="472" spans="2:13" x14ac:dyDescent="0.2">
      <c r="D472" s="1">
        <f t="shared" si="35"/>
        <v>361</v>
      </c>
      <c r="E472" t="s">
        <v>1673</v>
      </c>
      <c r="F472" t="s">
        <v>1674</v>
      </c>
    </row>
    <row r="473" spans="2:13" x14ac:dyDescent="0.2">
      <c r="D473" s="1">
        <f t="shared" si="35"/>
        <v>362</v>
      </c>
      <c r="E473" t="s">
        <v>1675</v>
      </c>
      <c r="F473" t="s">
        <v>1676</v>
      </c>
    </row>
    <row r="474" spans="2:13" x14ac:dyDescent="0.2">
      <c r="D474" s="1">
        <f t="shared" si="35"/>
        <v>363</v>
      </c>
      <c r="E474" s="1" t="s">
        <v>1112</v>
      </c>
      <c r="F474" s="1" t="s">
        <v>1693</v>
      </c>
    </row>
    <row r="475" spans="2:13" x14ac:dyDescent="0.2">
      <c r="D475" s="1">
        <f t="shared" si="35"/>
        <v>364</v>
      </c>
      <c r="E475" s="5" t="s">
        <v>1836</v>
      </c>
      <c r="F475" s="1" t="s">
        <v>1837</v>
      </c>
      <c r="G475" s="7">
        <v>0.83</v>
      </c>
    </row>
    <row r="476" spans="2:13" x14ac:dyDescent="0.2">
      <c r="D476" s="1">
        <f t="shared" si="35"/>
        <v>365</v>
      </c>
      <c r="E476" t="s">
        <v>1778</v>
      </c>
      <c r="F476" t="s">
        <v>1779</v>
      </c>
    </row>
    <row r="477" spans="2:13" x14ac:dyDescent="0.2">
      <c r="B477" s="1">
        <v>-1</v>
      </c>
      <c r="C477" s="1">
        <v>3</v>
      </c>
      <c r="D477" s="1">
        <f t="shared" si="35"/>
        <v>366</v>
      </c>
      <c r="E477" s="5" t="s">
        <v>1822</v>
      </c>
      <c r="F477" s="1" t="s">
        <v>1823</v>
      </c>
      <c r="G477" s="7">
        <v>1.24</v>
      </c>
      <c r="H477" s="6">
        <f>+G477*L477</f>
        <v>60.456759240000004</v>
      </c>
      <c r="I477" s="6">
        <f>+[190]Main!$K$5-[190]Main!$K$6</f>
        <v>41.556999999999995</v>
      </c>
      <c r="J477" s="6">
        <f>+H477-I477</f>
        <v>18.899759240000009</v>
      </c>
      <c r="K477" s="3" t="s">
        <v>1278</v>
      </c>
      <c r="L477" s="6">
        <f>+[190]Main!$K$3</f>
        <v>48.755451000000001</v>
      </c>
      <c r="M477" s="9">
        <v>45733</v>
      </c>
    </row>
    <row r="478" spans="2:13" x14ac:dyDescent="0.2">
      <c r="B478" s="1">
        <v>7</v>
      </c>
      <c r="C478" s="1">
        <v>3</v>
      </c>
      <c r="D478" s="1">
        <f t="shared" si="35"/>
        <v>367</v>
      </c>
      <c r="E478" s="5" t="s">
        <v>1795</v>
      </c>
      <c r="F478" t="s">
        <v>1794</v>
      </c>
      <c r="G478" s="7">
        <v>0.54</v>
      </c>
      <c r="H478" s="6">
        <f>+G478*L478</f>
        <v>64.779180300000007</v>
      </c>
      <c r="I478" s="6">
        <f>+[191]Main!$M$5-[191]Main!$M$6</f>
        <v>69.349000000000004</v>
      </c>
      <c r="J478" s="6">
        <f>+H478-I478</f>
        <v>-4.5698196999999965</v>
      </c>
      <c r="K478" s="3" t="s">
        <v>1277</v>
      </c>
      <c r="L478" s="6">
        <f>+[191]Main!$M$3</f>
        <v>119.961445</v>
      </c>
      <c r="M478" s="9">
        <v>45750</v>
      </c>
    </row>
    <row r="479" spans="2:13" x14ac:dyDescent="0.2">
      <c r="D479" s="1">
        <f t="shared" si="35"/>
        <v>368</v>
      </c>
      <c r="E479" s="1" t="s">
        <v>1796</v>
      </c>
      <c r="F479" t="s">
        <v>1797</v>
      </c>
    </row>
    <row r="480" spans="2:13" x14ac:dyDescent="0.2">
      <c r="D480" s="1">
        <f t="shared" si="35"/>
        <v>369</v>
      </c>
      <c r="E480" t="s">
        <v>1810</v>
      </c>
      <c r="F480" s="1" t="s">
        <v>1811</v>
      </c>
      <c r="G480" s="7">
        <v>1.38</v>
      </c>
    </row>
    <row r="481" spans="2:13" x14ac:dyDescent="0.2">
      <c r="D481" s="1">
        <f t="shared" si="35"/>
        <v>370</v>
      </c>
      <c r="E481" s="1" t="s">
        <v>1812</v>
      </c>
      <c r="F481" t="s">
        <v>1815</v>
      </c>
    </row>
    <row r="482" spans="2:13" x14ac:dyDescent="0.2">
      <c r="B482" s="1">
        <v>3</v>
      </c>
      <c r="C482" s="1">
        <v>4</v>
      </c>
      <c r="D482" s="1">
        <f t="shared" si="35"/>
        <v>371</v>
      </c>
      <c r="E482" s="5" t="s">
        <v>1834</v>
      </c>
      <c r="F482" t="s">
        <v>1835</v>
      </c>
      <c r="G482" s="3">
        <v>0.31</v>
      </c>
      <c r="H482" s="6">
        <f>+G482*L482</f>
        <v>18.356896450000001</v>
      </c>
      <c r="I482" s="6">
        <f>+[192]Sheet1!$J$5-[192]Sheet1!$J$6</f>
        <v>62.05</v>
      </c>
      <c r="J482" s="6">
        <f>+H482-I482</f>
        <v>-43.693103549999996</v>
      </c>
      <c r="K482" s="3" t="s">
        <v>1278</v>
      </c>
      <c r="L482" s="6">
        <f>+[192]Sheet1!$J$3</f>
        <v>59.215795</v>
      </c>
      <c r="M482" s="9">
        <v>45763</v>
      </c>
    </row>
    <row r="483" spans="2:13" x14ac:dyDescent="0.2">
      <c r="D483" s="1">
        <f t="shared" si="35"/>
        <v>372</v>
      </c>
      <c r="E483" t="s">
        <v>1813</v>
      </c>
      <c r="F483" t="s">
        <v>1814</v>
      </c>
    </row>
    <row r="484" spans="2:13" x14ac:dyDescent="0.2">
      <c r="D484" s="1">
        <f t="shared" si="35"/>
        <v>373</v>
      </c>
      <c r="E484" s="1" t="s">
        <v>1840</v>
      </c>
      <c r="F484" s="1" t="s">
        <v>1841</v>
      </c>
    </row>
  </sheetData>
  <sortState xmlns:xlrd2="http://schemas.microsoft.com/office/spreadsheetml/2017/richdata2" ref="A168:AE212">
    <sortCondition descending="1" ref="H168:H212"/>
  </sortState>
  <mergeCells count="2">
    <mergeCell ref="S2:X2"/>
    <mergeCell ref="Y2:AD2"/>
  </mergeCells>
  <hyperlinks>
    <hyperlink ref="E6" r:id="rId1" xr:uid="{31FFFB9E-A269-4EC0-9451-78F4F00A4890}"/>
    <hyperlink ref="E10" r:id="rId2" xr:uid="{C156021C-BE99-4BC0-AA7F-F8904621CB69}"/>
    <hyperlink ref="E16" r:id="rId3" xr:uid="{087C38CF-D4BE-425F-8F38-C4129E6AE209}"/>
    <hyperlink ref="E9" r:id="rId4" xr:uid="{686D20FF-3704-45CC-8366-56508FB00F00}"/>
    <hyperlink ref="E13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0" r:id="rId16" xr:uid="{1F769FA7-6B90-4B6B-9BCC-7D6679675B06}"/>
    <hyperlink ref="E25" r:id="rId17" xr:uid="{61277D68-67DC-475B-9B61-B7E2F3017110}"/>
    <hyperlink ref="E252" r:id="rId18" xr:uid="{14A63DAF-63A6-4B91-A2AF-AE28EA251457}"/>
    <hyperlink ref="E256" r:id="rId19" xr:uid="{4ACA7C7F-E42A-4687-A776-AB8065DB40FF}"/>
    <hyperlink ref="E250" r:id="rId20" xr:uid="{B3421391-7EC0-4253-8F62-5ED45A5BFA02}"/>
    <hyperlink ref="E257" r:id="rId21" xr:uid="{F6A45FC7-B73C-4143-9CAB-B3ADA19B5FD7}"/>
    <hyperlink ref="E248" r:id="rId22" xr:uid="{BBD267CB-7407-4913-9D05-6A6AA380019F}"/>
    <hyperlink ref="E259" r:id="rId23" xr:uid="{85368858-6D0F-4ABE-975C-AE5530342445}"/>
    <hyperlink ref="E246" r:id="rId24" xr:uid="{8B5BC1F5-14D4-45A0-B224-31FAF227EAF3}"/>
    <hyperlink ref="E258" r:id="rId25" xr:uid="{D5FB3BFE-F0A8-4C09-90A1-9F506EF0ADE4}"/>
    <hyperlink ref="E253" r:id="rId26" xr:uid="{11598046-2AED-42E7-ACA5-251A20A59427}"/>
    <hyperlink ref="E52" r:id="rId27" xr:uid="{A1C90F9B-FBBF-4C72-9A11-3798F692A0D2}"/>
    <hyperlink ref="E94" r:id="rId28" xr:uid="{F7B6503D-1F84-47C4-B87E-BDA7159D1B9F}"/>
    <hyperlink ref="E41" r:id="rId29" xr:uid="{D0EE43E7-C3F5-4256-99AE-DDCA9EC11DCF}"/>
    <hyperlink ref="E40" r:id="rId30" xr:uid="{1C25970A-A568-4869-A34A-5C6C7551D812}"/>
    <hyperlink ref="E214" r:id="rId31" xr:uid="{C3A06396-38CD-486E-9F4F-233A79292B4F}"/>
    <hyperlink ref="E126" r:id="rId32" xr:uid="{B83625D8-44D2-4842-9139-F29C8D5F2D8E}"/>
    <hyperlink ref="E219" r:id="rId33" xr:uid="{5FF32E6A-C6C7-4793-8271-BD230B9C7641}"/>
    <hyperlink ref="E72" r:id="rId34" xr:uid="{E5739E03-9FE4-4D05-90C8-36ABF7D078CB}"/>
    <hyperlink ref="E89" r:id="rId35" xr:uid="{25285F59-771C-40DB-8B78-E1E454C61406}"/>
    <hyperlink ref="E255" r:id="rId36" xr:uid="{C000061C-001D-4088-90A4-B672D181D3C5}"/>
    <hyperlink ref="E88" r:id="rId37" xr:uid="{6A1F812B-EA91-4B3C-B4DC-88F792A7D0DE}"/>
    <hyperlink ref="E63" r:id="rId38" xr:uid="{6930A656-C59A-465F-8634-B30B4FEF47BC}"/>
    <hyperlink ref="E97" r:id="rId39" xr:uid="{559FAD8A-D620-4B93-BE14-CC22630BD57E}"/>
    <hyperlink ref="E247" r:id="rId40" xr:uid="{6A576FDB-A573-4A00-8381-4BECF13B35A1}"/>
    <hyperlink ref="E162" r:id="rId41" xr:uid="{51C9506E-5D60-43F8-BADA-7F72A25DAFF6}"/>
    <hyperlink ref="E118" r:id="rId42" xr:uid="{9E4325F2-98CF-4735-96D0-66A9DC5A8E86}"/>
    <hyperlink ref="E221" r:id="rId43" xr:uid="{6D062383-838D-42C7-BFCD-E5C9DC258548}"/>
    <hyperlink ref="E27" r:id="rId44" xr:uid="{3F36D809-73FC-441C-88D2-EEB42A40734A}"/>
    <hyperlink ref="E29" r:id="rId45" xr:uid="{5D73AAA9-EBCA-4613-83CF-E75D37F58B6D}"/>
    <hyperlink ref="E32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7" r:id="rId57" xr:uid="{DE2D1DDB-B5B7-4055-B885-0CD9E7670070}"/>
    <hyperlink ref="E31" r:id="rId58" xr:uid="{9DD12163-063E-4F73-89A5-34D8E8AC0534}"/>
    <hyperlink ref="E95" r:id="rId59" xr:uid="{1D3A6A47-22C9-4CC1-94BD-20DE3BB08016}"/>
    <hyperlink ref="E51" r:id="rId60" xr:uid="{27FB3DB4-8430-405F-9558-F31A0B69ED5F}"/>
    <hyperlink ref="E43" r:id="rId61" xr:uid="{144D13FD-59BD-499B-A0B4-B06985623C68}"/>
    <hyperlink ref="E216" r:id="rId62" xr:uid="{E48CD1EB-CFA1-47B1-BD8B-09F09CDD4FA4}"/>
    <hyperlink ref="E119" r:id="rId63" xr:uid="{6E9AFF81-F520-4A86-9FC2-D5CFE68E7EB7}"/>
    <hyperlink ref="E71" r:id="rId64" xr:uid="{ED527D70-0B51-4151-8378-8C40B68FF19D}"/>
    <hyperlink ref="E46" r:id="rId65" xr:uid="{A902B26E-CA39-4DC5-9F23-4459D8D315E8}"/>
    <hyperlink ref="E76" r:id="rId66" xr:uid="{5F0313F8-3376-4F67-9822-E1412CAA5959}"/>
    <hyperlink ref="E109" r:id="rId67" xr:uid="{AE3A3FD9-E651-4A72-81DB-B29CC61B516B}"/>
    <hyperlink ref="E66" r:id="rId68" xr:uid="{6FA4EBE7-4729-4097-A12F-CAD4CB58FFA6}"/>
    <hyperlink ref="E116" r:id="rId69" xr:uid="{C6F461C3-F385-4BE1-8914-0B22F9A9FF52}"/>
    <hyperlink ref="E50" r:id="rId70" xr:uid="{98D02B7D-F218-457E-B156-7FE773CF515A}"/>
    <hyperlink ref="E49" r:id="rId71" xr:uid="{02CB6FD9-C55D-44A1-9F2E-6A96A222EE6B}"/>
    <hyperlink ref="E78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6" r:id="rId76" xr:uid="{ED810682-5208-4265-9E0E-6746A399EA34}"/>
    <hyperlink ref="E167" r:id="rId77" xr:uid="{44DEB74A-F098-4876-A279-D1E6237DF8DB}"/>
    <hyperlink ref="E69" r:id="rId78" xr:uid="{ADF59BEC-B8D8-4144-ADEB-041425B69409}"/>
    <hyperlink ref="E329" r:id="rId79" xr:uid="{69AB4316-2FED-44FC-B108-3CD00D6F57B9}"/>
    <hyperlink ref="E324" r:id="rId80" xr:uid="{172C358D-5501-4447-9FDE-DA046F6FED55}"/>
    <hyperlink ref="E115" r:id="rId81" xr:uid="{D181F941-FF02-423B-9F90-890B434046DD}"/>
    <hyperlink ref="E164" r:id="rId82" xr:uid="{1924D31B-B6B9-4CB2-936E-0F68E40FA2F5}"/>
    <hyperlink ref="E165" r:id="rId83" xr:uid="{8E97DA51-E6CD-4B11-B6F8-BD0A3CC93541}"/>
    <hyperlink ref="E99" r:id="rId84" xr:uid="{BACD6400-1341-654E-A5B2-576C65F8052B}"/>
    <hyperlink ref="E363" r:id="rId85" xr:uid="{C4CF7488-CAF7-4516-AB24-0FC50F0916A3}"/>
    <hyperlink ref="E122" r:id="rId86" xr:uid="{2B6C4E35-2657-4D1A-8D80-C54F892964F4}"/>
    <hyperlink ref="E11" r:id="rId87" xr:uid="{D4CC8F9A-CC3B-EE41-860B-629E01D90BFD}"/>
    <hyperlink ref="E441" r:id="rId88" xr:uid="{C4EB2FD5-19C2-4B46-A645-6A4B58B3BF48}"/>
    <hyperlink ref="E226" r:id="rId89" xr:uid="{E2D5EE7E-5721-5749-A98C-474C4C00D036}"/>
    <hyperlink ref="E22" r:id="rId90" xr:uid="{AA34EED3-260C-48F6-B18F-9CB2123B2DB8}"/>
    <hyperlink ref="E34" r:id="rId91" xr:uid="{3556B95F-6CC1-4165-90C0-F95B358B441D}"/>
    <hyperlink ref="E434" r:id="rId92" xr:uid="{E9466C79-B428-4906-B5D4-8A65E345C46A}"/>
    <hyperlink ref="E70" r:id="rId93" xr:uid="{0F64F384-8187-4F0A-B6D5-472BB2A5904F}"/>
    <hyperlink ref="E108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3" r:id="rId98" xr:uid="{5E221389-B42A-4ECC-B5CE-DEA05F90F52F}"/>
    <hyperlink ref="E110" r:id="rId99" xr:uid="{50F9FE65-F347-4AD5-8CB3-AEF68BBB9AA8}"/>
    <hyperlink ref="E120" r:id="rId100" xr:uid="{75D04E08-C11D-42F6-A0B8-9E185A6BA249}"/>
    <hyperlink ref="E121" r:id="rId101" xr:uid="{DD06A32A-D1AE-4DFA-957F-7E5F6848399D}"/>
    <hyperlink ref="E53" r:id="rId102" xr:uid="{A9CCEE93-948C-4958-9273-229E876026E5}"/>
    <hyperlink ref="E61" r:id="rId103" xr:uid="{8A039020-76D6-4648-8559-2E66BD4069E8}"/>
    <hyperlink ref="E75" r:id="rId104" xr:uid="{57A317C3-FCD5-4B9D-9890-302872D6263D}"/>
    <hyperlink ref="E102" r:id="rId105" xr:uid="{7DEB18EF-0653-42AE-848B-1CD34B6185B1}"/>
    <hyperlink ref="E326" r:id="rId106" xr:uid="{500E1EB4-5BFA-41DA-B498-9CADDCBC3BD8}"/>
    <hyperlink ref="E224" r:id="rId107" xr:uid="{DA843767-B487-45EC-B6B6-4CAF3C575C50}"/>
    <hyperlink ref="E80" r:id="rId108" xr:uid="{5DA9C2AA-A278-4FF3-A2FD-E53617E5E8B8}"/>
    <hyperlink ref="E261" r:id="rId109" xr:uid="{91A036B5-0E03-4930-B738-BF1C076ACF18}"/>
    <hyperlink ref="E107" r:id="rId110" xr:uid="{8068ED1A-3B17-4C79-9022-B1BEE306CC58}"/>
    <hyperlink ref="E105" r:id="rId111" xr:uid="{DEB94AB7-6F89-44AE-9C77-B3E2D1E51B70}"/>
    <hyperlink ref="E327" r:id="rId112" xr:uid="{C5AE6E9D-13C3-40F4-80F9-EB86590BF332}"/>
    <hyperlink ref="E217" r:id="rId113" xr:uid="{47C928EF-242B-4B5F-9296-FA878004232C}"/>
    <hyperlink ref="E370" r:id="rId114" xr:uid="{B0C9190D-D136-462D-B004-BE374B10A4F0}"/>
    <hyperlink ref="E86" r:id="rId115" xr:uid="{1C0EAF20-C59C-4E14-90E0-E67EED291627}"/>
    <hyperlink ref="E325" r:id="rId116" xr:uid="{820E74E5-32AF-43AF-A75C-37305E58D952}"/>
    <hyperlink ref="E215" r:id="rId117" xr:uid="{C2EF7A04-6E03-432E-AE39-F9FC0944E6B7}"/>
    <hyperlink ref="E93" r:id="rId118" xr:uid="{4A53B476-D8D4-4433-B5B3-B626DD5ECAA5}"/>
    <hyperlink ref="E328" r:id="rId119" xr:uid="{0E69FC1D-F608-42EA-B683-C53C409C70F7}"/>
    <hyperlink ref="E168" r:id="rId120" xr:uid="{058DC54B-6F58-47B5-B00D-CB85499F0661}"/>
    <hyperlink ref="E169" r:id="rId121" xr:uid="{E3F91124-A68C-481A-9F88-5F0B403E12FC}"/>
    <hyperlink ref="E225" r:id="rId122" xr:uid="{879666A1-6AD0-495B-B29D-1523E9F3BF37}"/>
    <hyperlink ref="E54" r:id="rId123" xr:uid="{3E4416C1-24BA-4833-B8A9-810255675E01}"/>
    <hyperlink ref="E125" r:id="rId124" xr:uid="{CEEF1ECE-36B3-482E-AA72-8B9DAE4D2730}"/>
    <hyperlink ref="E123" r:id="rId125" xr:uid="{80739158-DB58-4D0E-8015-4407904D5E4C}"/>
    <hyperlink ref="E62" r:id="rId126" xr:uid="{FAC64BC1-A38C-4704-8DED-7AC1F6D784BD}"/>
    <hyperlink ref="E330" r:id="rId127" xr:uid="{B8FF6BDF-ECF2-42BA-996C-B33320BF3BB8}"/>
    <hyperlink ref="E124" r:id="rId128" xr:uid="{3C9F7D37-C376-486A-BD65-0A06F1A1BA4E}"/>
    <hyperlink ref="E74" r:id="rId129" xr:uid="{A739B306-7AF4-4BC1-B603-405E1AD42DA9}"/>
    <hyperlink ref="E68" r:id="rId130" xr:uid="{D16D1630-A1AE-4CF8-B35B-01F574ECC4EC}"/>
    <hyperlink ref="E82" r:id="rId131" xr:uid="{A96FF32D-8546-4297-AE3C-E279BBEB2988}"/>
    <hyperlink ref="E73" r:id="rId132" xr:uid="{B2C89E35-9AED-4A34-8767-FB6CD96F1DF7}"/>
    <hyperlink ref="E114" r:id="rId133" xr:uid="{7A0C9405-40F2-4CD9-999B-9032EC028C8E}"/>
    <hyperlink ref="E323" r:id="rId134" xr:uid="{F79A5FA4-445D-4428-8347-8E6CA8EBA325}"/>
    <hyperlink ref="E442" r:id="rId135" xr:uid="{C5162717-DEF1-45A6-BAF5-F5909C72945C}"/>
    <hyperlink ref="E218" r:id="rId136" xr:uid="{DCA25E80-5EA2-4E2F-B5AD-7E00734C912A}"/>
    <hyperlink ref="E322" r:id="rId137" xr:uid="{6E543356-A92B-4C40-A4D8-0039FD9CF30E}"/>
    <hyperlink ref="E223" r:id="rId138" xr:uid="{18B5F0EF-CE16-458F-B2EC-C055E9592268}"/>
    <hyperlink ref="E220" r:id="rId139" xr:uid="{8452EEB1-E3C6-4709-93A8-E45683AE4BD4}"/>
    <hyperlink ref="E77" r:id="rId140" xr:uid="{8515586A-C9D5-4B3A-AB81-567CAF8711D8}"/>
    <hyperlink ref="E100" r:id="rId141" xr:uid="{05112419-511E-40D9-B365-E7FC8328F3E3}"/>
    <hyperlink ref="E406" r:id="rId142" xr:uid="{42ED5909-2E52-452C-9738-284A43C46BA0}"/>
    <hyperlink ref="E113" r:id="rId143" xr:uid="{7B9292BF-8007-4C13-92AA-E4F48B407B78}"/>
    <hyperlink ref="E101" r:id="rId144" xr:uid="{4455E1D2-0A06-49CD-B578-A39396AB2276}"/>
    <hyperlink ref="E103" r:id="rId145" xr:uid="{9DBA9CB6-4FFE-4633-8913-39BE132E7E63}"/>
    <hyperlink ref="E15" r:id="rId146" xr:uid="{60368EA6-8CB5-4BF4-AD11-2511F2B2CC10}"/>
    <hyperlink ref="E254" r:id="rId147" xr:uid="{909F79D0-EDBD-44C4-8C45-548124C5C81A}"/>
    <hyperlink ref="E177" r:id="rId148" xr:uid="{0A7AB162-5181-4ECD-BE39-067356A9A255}"/>
    <hyperlink ref="E104" r:id="rId149" xr:uid="{A780315D-7EE1-43B1-808B-CA1A9B40DACC}"/>
    <hyperlink ref="E111" r:id="rId150" xr:uid="{6EE007AF-F0B0-4EED-9CDD-3FC2319822A5}"/>
    <hyperlink ref="E260" r:id="rId151" xr:uid="{ED761473-51F4-41BF-8401-76685055518C}"/>
    <hyperlink ref="E79" r:id="rId152" xr:uid="{7F559409-F96D-4010-8F92-37C722C2B828}"/>
    <hyperlink ref="E96" r:id="rId153" xr:uid="{C48A4FCA-0630-EF43-9EEC-B6CAB37EFE4F}"/>
    <hyperlink ref="E91" r:id="rId154" xr:uid="{96899701-8AB6-4B30-9017-19357666F340}"/>
    <hyperlink ref="E81" r:id="rId155" xr:uid="{CFB41F62-0690-4C3D-B6CD-811E3E94C4EE}"/>
    <hyperlink ref="E131" r:id="rId156" xr:uid="{82A44C16-0029-4130-9750-D08BCC5182B4}"/>
    <hyperlink ref="E57" r:id="rId157" xr:uid="{C35461B3-E679-4CC0-9362-2A53FE04533B}"/>
    <hyperlink ref="E85" r:id="rId158" xr:uid="{31B2FC14-DD5D-4E0C-A012-B1FDA85DBE36}"/>
    <hyperlink ref="E67" r:id="rId159" xr:uid="{96AAF9F5-B005-400B-B62E-90DC1A7E8852}"/>
    <hyperlink ref="E146" r:id="rId160" xr:uid="{5BE55498-D8ED-41C4-A33E-57BE28B07449}"/>
    <hyperlink ref="E447" r:id="rId161" xr:uid="{2B1AAFD9-D8D6-4616-841E-10108CC8192B}"/>
    <hyperlink ref="E455" r:id="rId162" xr:uid="{D4B5A9D9-65BB-430A-A731-1152EA8D5DED}"/>
    <hyperlink ref="E90" r:id="rId163" xr:uid="{67670CCE-8D41-4404-8F2B-F79243E31585}"/>
    <hyperlink ref="E117" r:id="rId164" xr:uid="{C904B992-93FD-497A-93CC-2FE800E3CDD4}"/>
    <hyperlink ref="E433" r:id="rId165" xr:uid="{B24388CE-B704-4189-8171-2A7C078385AA}"/>
    <hyperlink ref="E443" r:id="rId166" xr:uid="{107ACC16-1AF2-463F-97B2-B3329D313681}"/>
    <hyperlink ref="E440" r:id="rId167" xr:uid="{C40615BB-48F8-4AB1-92A6-E4710DC43430}"/>
    <hyperlink ref="E361" r:id="rId168" xr:uid="{0695F03B-1E3F-0E41-B1ED-4F68787EFC35}"/>
    <hyperlink ref="E435" r:id="rId169" xr:uid="{0152517F-3480-4755-804B-768910043082}"/>
    <hyperlink ref="E112" r:id="rId170" xr:uid="{F0EE4F6E-0A2F-4906-8143-739E8257E38C}"/>
    <hyperlink ref="E437" r:id="rId171" xr:uid="{0F9B63DB-3B35-4E51-BD36-EC943559BF1E}"/>
    <hyperlink ref="E444" r:id="rId172" xr:uid="{7592EF22-0CF5-48F3-8744-24868E314045}"/>
    <hyperlink ref="E448" r:id="rId173" xr:uid="{66F30E61-4E4B-47C8-8D49-028CC77AA4C6}"/>
    <hyperlink ref="E449" r:id="rId174" xr:uid="{778D749F-0610-418A-A963-ADCD5A226677}"/>
    <hyperlink ref="E461" r:id="rId175" xr:uid="{8E820BFC-E26B-4A27-A962-89FF7A10589B}"/>
    <hyperlink ref="E436" r:id="rId176" xr:uid="{3DD5CDF4-E650-429E-97DF-ABC116C3584D}"/>
    <hyperlink ref="E352" r:id="rId177" xr:uid="{1292FD9E-BA4F-4B20-AD44-4B752114EEEF}"/>
    <hyperlink ref="E438" r:id="rId178" xr:uid="{35FB9AE4-5A31-48BA-9D76-BF10058F42EC}"/>
    <hyperlink ref="E373" r:id="rId179" xr:uid="{4C62C768-C471-4E03-BD75-AF60DDF17283}"/>
    <hyperlink ref="E84" r:id="rId180" xr:uid="{FCC7525B-426F-4D18-B356-CF6486A50A0F}"/>
    <hyperlink ref="E374" r:id="rId181" xr:uid="{3714C986-B632-4E2F-8857-1DCA6DFD79FD}"/>
    <hyperlink ref="E249" r:id="rId182" xr:uid="{CE44BEA4-012D-4699-8F08-C58713DDB2BE}"/>
    <hyperlink ref="E213" r:id="rId183" xr:uid="{0E4C0ACB-35E3-43D4-B0E1-F865F7ED59B8}"/>
    <hyperlink ref="E371" r:id="rId184" xr:uid="{5127CACD-341C-4DCA-B244-83466075BEBF}"/>
    <hyperlink ref="E245" r:id="rId185" xr:uid="{3573C1AD-06BF-427D-B677-BD1F3CB3985C}"/>
    <hyperlink ref="E19" r:id="rId186" xr:uid="{2A05959C-B3A5-4B78-ADA7-E471C7CE2630}"/>
    <hyperlink ref="E8" r:id="rId187" xr:uid="{3E3C29B0-B6B6-4941-A344-5D4A8066AA33}"/>
    <hyperlink ref="E14" r:id="rId188" xr:uid="{FE407E2D-0513-4C01-8F65-0FACC1AB5B97}"/>
    <hyperlink ref="E12" r:id="rId189" xr:uid="{5ABD642F-31BA-4307-9A24-D75F9ABBBDAA}"/>
    <hyperlink ref="E23" r:id="rId190" xr:uid="{C4B4660F-C5FF-4941-BE50-98ABDA101D7F}"/>
    <hyperlink ref="E26" r:id="rId191" xr:uid="{3481449D-1354-4BBE-B320-9EC407192702}"/>
    <hyperlink ref="E445" r:id="rId192" xr:uid="{51D052A4-1B75-48F3-93AF-E8B1B96076CE}"/>
    <hyperlink ref="E446" r:id="rId193" xr:uid="{FD546B4F-FF4A-4365-A9F1-25C43D119A98}"/>
    <hyperlink ref="E439" r:id="rId194" xr:uid="{FA2E0702-7573-4035-93EA-A0CE71143105}"/>
    <hyperlink ref="E98" r:id="rId195" xr:uid="{19D04C6A-EB12-4779-9BF1-8615419B9493}"/>
    <hyperlink ref="E305" r:id="rId196" xr:uid="{F54AFBD3-3040-4478-815C-CC270DBC110E}"/>
    <hyperlink ref="E166" r:id="rId197" xr:uid="{5741E758-F26D-41A7-976D-943D0B4BBA8C}"/>
    <hyperlink ref="E209" r:id="rId198" xr:uid="{46E08616-E182-4770-A0EC-E67C429D363A}"/>
    <hyperlink ref="E432" r:id="rId199" xr:uid="{25A8908D-5EB4-416E-B88A-983D1FDD66C7}"/>
    <hyperlink ref="E465" r:id="rId200" xr:uid="{63936724-7806-4858-BC51-BF317429A4D3}"/>
    <hyperlink ref="E478" r:id="rId201" xr:uid="{F7B60A92-FEBA-4956-8C32-3DAD1956FCBE}"/>
    <hyperlink ref="E251" r:id="rId202" xr:uid="{BB2D6CB0-9710-43BE-9C9C-96D4CB00CC27}"/>
    <hyperlink ref="E381" r:id="rId203" xr:uid="{7EF10422-26D7-4738-A7D3-E7994A8DAA2B}"/>
    <hyperlink ref="E163" r:id="rId204" xr:uid="{F19BA876-8355-426C-9961-985F5221658A}"/>
    <hyperlink ref="E477" r:id="rId205" xr:uid="{C5D06361-EB49-48E0-A1D9-AF4AC610A623}"/>
    <hyperlink ref="E243" r:id="rId206" xr:uid="{3EBF05D2-CB49-4743-B497-44F343FEF925}"/>
    <hyperlink ref="E244" r:id="rId207" xr:uid="{9F744E11-79B1-41BF-84C3-9DB6AA9D6A0A}"/>
    <hyperlink ref="E222" r:id="rId208" xr:uid="{89A3EC98-D13D-4CF4-A6D0-7CE019243966}"/>
    <hyperlink ref="E92" r:id="rId209" xr:uid="{64B386A5-32AA-479A-BF21-CAB85694C43C}"/>
    <hyperlink ref="E389" r:id="rId210" xr:uid="{C7EC599F-1BEA-45A7-9110-61C63AADB6EA}"/>
    <hyperlink ref="E482" r:id="rId211" xr:uid="{F4947070-5DBC-4DB5-89C2-5BF3AAF42097}"/>
    <hyperlink ref="E475" r:id="rId212" xr:uid="{2B90B6AE-5270-499A-ACC5-93CF43195988}"/>
    <hyperlink ref="E382" r:id="rId213" xr:uid="{6C1AFFD3-C72A-4EC5-9C96-6ED79496D763}"/>
  </hyperlinks>
  <pageMargins left="0.7" right="0.7" top="0.75" bottom="0.75" header="0.3" footer="0.3"/>
  <pageSetup paperSize="9" orientation="portrait" r:id="rId214"/>
  <legacyDrawing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285</v>
      </c>
    </row>
    <row r="2" spans="1:10" x14ac:dyDescent="0.2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">
      <c r="C47" s="55" t="s">
        <v>1591</v>
      </c>
      <c r="D47" s="28">
        <v>45</v>
      </c>
      <c r="G47" s="30">
        <v>27743</v>
      </c>
      <c r="J47" s="28"/>
    </row>
    <row r="48" spans="2:10" x14ac:dyDescent="0.2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285</v>
      </c>
    </row>
    <row r="2" spans="1:14" x14ac:dyDescent="0.2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1252</v>
      </c>
      <c r="C6" s="30"/>
      <c r="D6" s="30"/>
      <c r="G6" s="30">
        <v>8768</v>
      </c>
      <c r="H6" s="30">
        <v>11303</v>
      </c>
    </row>
    <row r="7" spans="1:14" x14ac:dyDescent="0.2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1807</v>
      </c>
      <c r="N16" s="101">
        <f>SUM(N17:N21)</f>
        <v>53959.551724137928</v>
      </c>
    </row>
    <row r="17" spans="2:14" x14ac:dyDescent="0.2">
      <c r="B17" t="s">
        <v>1798</v>
      </c>
      <c r="N17" s="31">
        <v>9998</v>
      </c>
    </row>
    <row r="18" spans="2:14" x14ac:dyDescent="0.2">
      <c r="B18" t="s">
        <v>1799</v>
      </c>
      <c r="N18" s="31">
        <v>7795</v>
      </c>
    </row>
    <row r="19" spans="2:14" x14ac:dyDescent="0.2">
      <c r="B19" t="s">
        <v>1800</v>
      </c>
      <c r="N19" s="31">
        <f>45766/7.25</f>
        <v>6312.5517241379312</v>
      </c>
    </row>
    <row r="20" spans="2:14" x14ac:dyDescent="0.2">
      <c r="B20" t="s">
        <v>1801</v>
      </c>
      <c r="M20" s="31">
        <v>11988</v>
      </c>
      <c r="N20" s="33">
        <v>11988</v>
      </c>
    </row>
    <row r="21" spans="2:14" x14ac:dyDescent="0.2">
      <c r="B21" t="s">
        <v>1802</v>
      </c>
      <c r="N21" s="31">
        <v>17866</v>
      </c>
    </row>
    <row r="22" spans="2:14" x14ac:dyDescent="0.2">
      <c r="B22" t="s">
        <v>1808</v>
      </c>
      <c r="N22" s="31">
        <v>9214</v>
      </c>
    </row>
    <row r="23" spans="2:14" x14ac:dyDescent="0.2">
      <c r="B23" t="s">
        <v>1803</v>
      </c>
    </row>
    <row r="24" spans="2:14" x14ac:dyDescent="0.2">
      <c r="B24" t="s">
        <v>1804</v>
      </c>
    </row>
    <row r="25" spans="2:14" x14ac:dyDescent="0.2">
      <c r="B25" t="s">
        <v>1805</v>
      </c>
    </row>
    <row r="26" spans="2:14" x14ac:dyDescent="0.2">
      <c r="B26" t="s">
        <v>1806</v>
      </c>
    </row>
    <row r="31" spans="2:14" x14ac:dyDescent="0.2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1129</v>
      </c>
    </row>
    <row r="3" spans="2:2" x14ac:dyDescent="0.2">
      <c r="B3" t="s">
        <v>1130</v>
      </c>
    </row>
    <row r="4" spans="2:2" x14ac:dyDescent="0.2">
      <c r="B4" t="s">
        <v>1143</v>
      </c>
    </row>
    <row r="5" spans="2:2" x14ac:dyDescent="0.2">
      <c r="B5" t="s">
        <v>1155</v>
      </c>
    </row>
    <row r="6" spans="2:2" x14ac:dyDescent="0.2">
      <c r="B6" t="s">
        <v>1152</v>
      </c>
    </row>
    <row r="7" spans="2:2" x14ac:dyDescent="0.2">
      <c r="B7" t="s">
        <v>1153</v>
      </c>
    </row>
    <row r="8" spans="2:2" x14ac:dyDescent="0.2">
      <c r="B8" t="s">
        <v>1145</v>
      </c>
    </row>
    <row r="9" spans="2:2" x14ac:dyDescent="0.2">
      <c r="B9" t="s">
        <v>1157</v>
      </c>
    </row>
    <row r="10" spans="2:2" x14ac:dyDescent="0.2">
      <c r="B10" t="s">
        <v>1154</v>
      </c>
    </row>
    <row r="11" spans="2:2" x14ac:dyDescent="0.2">
      <c r="B11" t="s">
        <v>1156</v>
      </c>
    </row>
    <row r="12" spans="2:2" x14ac:dyDescent="0.2">
      <c r="B12" t="s">
        <v>1131</v>
      </c>
    </row>
    <row r="13" spans="2:2" x14ac:dyDescent="0.2">
      <c r="B13" t="s">
        <v>234</v>
      </c>
    </row>
    <row r="14" spans="2:2" x14ac:dyDescent="0.2">
      <c r="B14" t="s">
        <v>1132</v>
      </c>
    </row>
    <row r="15" spans="2:2" x14ac:dyDescent="0.2">
      <c r="B15" t="s">
        <v>1133</v>
      </c>
    </row>
    <row r="16" spans="2:2" x14ac:dyDescent="0.2">
      <c r="B16" t="s">
        <v>1134</v>
      </c>
    </row>
    <row r="17" spans="2:2" x14ac:dyDescent="0.2">
      <c r="B17" t="s">
        <v>1135</v>
      </c>
    </row>
    <row r="18" spans="2:2" x14ac:dyDescent="0.2">
      <c r="B18" t="s">
        <v>1136</v>
      </c>
    </row>
    <row r="19" spans="2:2" x14ac:dyDescent="0.2">
      <c r="B19" t="s">
        <v>1137</v>
      </c>
    </row>
    <row r="20" spans="2:2" x14ac:dyDescent="0.2">
      <c r="B20" t="s">
        <v>1138</v>
      </c>
    </row>
    <row r="21" spans="2:2" x14ac:dyDescent="0.2">
      <c r="B21" t="s">
        <v>1139</v>
      </c>
    </row>
    <row r="22" spans="2:2" x14ac:dyDescent="0.2">
      <c r="B22" t="s">
        <v>1144</v>
      </c>
    </row>
    <row r="23" spans="2:2" x14ac:dyDescent="0.2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285</v>
      </c>
      <c r="AN1" s="31">
        <f>AVERAGE(AN3:AN4,AN6:AN34,AN36:AN52)</f>
        <v>291.80037571301813</v>
      </c>
    </row>
    <row r="2" spans="1:147" x14ac:dyDescent="0.2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1050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333</v>
      </c>
      <c r="B5" s="1">
        <f>Main!D31+1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594</v>
      </c>
      <c r="D11" t="s">
        <v>595</v>
      </c>
    </row>
    <row r="12" spans="1:28" x14ac:dyDescent="0.2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1063</v>
      </c>
      <c r="D13" t="s">
        <v>1064</v>
      </c>
    </row>
    <row r="15" spans="1:28" x14ac:dyDescent="0.2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285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373</v>
      </c>
      <c r="C7">
        <v>145.25</v>
      </c>
    </row>
    <row r="8" spans="1:3" x14ac:dyDescent="0.2">
      <c r="B8" t="s">
        <v>396</v>
      </c>
      <c r="C8" s="41">
        <v>7.8</v>
      </c>
    </row>
    <row r="9" spans="1:3" x14ac:dyDescent="0.2">
      <c r="B9" t="s">
        <v>398</v>
      </c>
      <c r="C9">
        <v>1433</v>
      </c>
    </row>
    <row r="10" spans="1:3" x14ac:dyDescent="0.2">
      <c r="B10" t="s">
        <v>432</v>
      </c>
      <c r="C10">
        <v>82.55</v>
      </c>
    </row>
    <row r="11" spans="1:3" x14ac:dyDescent="0.2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285</v>
      </c>
    </row>
    <row r="2" spans="1:10" x14ac:dyDescent="0.2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">
      <c r="B3" t="s">
        <v>499</v>
      </c>
      <c r="E3" t="s">
        <v>324</v>
      </c>
      <c r="F3">
        <v>3000</v>
      </c>
      <c r="G3" t="s">
        <v>500</v>
      </c>
    </row>
    <row r="4" spans="1:10" x14ac:dyDescent="0.2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">
      <c r="B10" t="s">
        <v>476</v>
      </c>
    </row>
    <row r="11" spans="1:10" x14ac:dyDescent="0.2">
      <c r="B11" t="s">
        <v>477</v>
      </c>
    </row>
    <row r="12" spans="1:10" x14ac:dyDescent="0.2">
      <c r="B12" t="s">
        <v>479</v>
      </c>
      <c r="C12">
        <v>2019</v>
      </c>
      <c r="I12" t="s">
        <v>502</v>
      </c>
    </row>
    <row r="13" spans="1:10" x14ac:dyDescent="0.2">
      <c r="B13" t="s">
        <v>480</v>
      </c>
    </row>
    <row r="14" spans="1:10" x14ac:dyDescent="0.2">
      <c r="B14" t="s">
        <v>481</v>
      </c>
    </row>
    <row r="15" spans="1:10" x14ac:dyDescent="0.2">
      <c r="B15" t="s">
        <v>482</v>
      </c>
    </row>
    <row r="16" spans="1:10" x14ac:dyDescent="0.2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">
      <c r="B17" t="s">
        <v>484</v>
      </c>
    </row>
    <row r="18" spans="2:9" x14ac:dyDescent="0.2">
      <c r="B18" t="s">
        <v>487</v>
      </c>
      <c r="E18" t="s">
        <v>392</v>
      </c>
      <c r="F18">
        <v>259</v>
      </c>
    </row>
    <row r="19" spans="2:9" x14ac:dyDescent="0.2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">
      <c r="B20" t="s">
        <v>485</v>
      </c>
    </row>
    <row r="21" spans="2:9" x14ac:dyDescent="0.2">
      <c r="B21" t="s">
        <v>1111</v>
      </c>
      <c r="E21" t="s">
        <v>601</v>
      </c>
      <c r="F21">
        <v>110</v>
      </c>
    </row>
    <row r="22" spans="2:9" x14ac:dyDescent="0.2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">
      <c r="H26" s="37"/>
    </row>
    <row r="27" spans="2:9" x14ac:dyDescent="0.2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">
      <c r="B29" t="s">
        <v>391</v>
      </c>
      <c r="E29" t="s">
        <v>392</v>
      </c>
      <c r="F29">
        <v>107</v>
      </c>
      <c r="I29" t="s">
        <v>393</v>
      </c>
    </row>
    <row r="31" spans="2:9" x14ac:dyDescent="0.2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2" spans="2:9" x14ac:dyDescent="0.2">
      <c r="B32" t="s">
        <v>1838</v>
      </c>
      <c r="E32" t="s">
        <v>324</v>
      </c>
      <c r="F32">
        <v>121</v>
      </c>
      <c r="G32" t="s">
        <v>1839</v>
      </c>
      <c r="H32" s="37">
        <v>45756</v>
      </c>
    </row>
    <row r="33" spans="2:8" x14ac:dyDescent="0.2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">
      <c r="B35" t="s">
        <v>1112</v>
      </c>
      <c r="H35" s="37"/>
    </row>
    <row r="36" spans="2:8" x14ac:dyDescent="0.2">
      <c r="B36" t="s">
        <v>488</v>
      </c>
    </row>
    <row r="37" spans="2:8" x14ac:dyDescent="0.2">
      <c r="B37" t="s">
        <v>489</v>
      </c>
    </row>
    <row r="38" spans="2:8" x14ac:dyDescent="0.2">
      <c r="B38" t="s">
        <v>490</v>
      </c>
    </row>
    <row r="39" spans="2:8" x14ac:dyDescent="0.2">
      <c r="B39" t="s">
        <v>491</v>
      </c>
    </row>
    <row r="40" spans="2:8" x14ac:dyDescent="0.2">
      <c r="B40" t="s">
        <v>492</v>
      </c>
    </row>
    <row r="41" spans="2:8" x14ac:dyDescent="0.2">
      <c r="B41" t="s">
        <v>1007</v>
      </c>
      <c r="C41">
        <v>2021</v>
      </c>
      <c r="F41">
        <v>20</v>
      </c>
      <c r="H41" s="37">
        <v>45030</v>
      </c>
    </row>
    <row r="42" spans="2:8" x14ac:dyDescent="0.2">
      <c r="B42" t="s">
        <v>1008</v>
      </c>
      <c r="C42">
        <v>2020</v>
      </c>
      <c r="F42">
        <v>20</v>
      </c>
      <c r="H42" s="37">
        <v>44987</v>
      </c>
    </row>
    <row r="43" spans="2:8" x14ac:dyDescent="0.2">
      <c r="B43" t="s">
        <v>1006</v>
      </c>
    </row>
    <row r="44" spans="2:8" x14ac:dyDescent="0.2">
      <c r="B44" t="s">
        <v>1009</v>
      </c>
      <c r="C44" s="13">
        <v>44188</v>
      </c>
      <c r="F44">
        <v>19</v>
      </c>
      <c r="H44" s="37">
        <v>44545</v>
      </c>
    </row>
    <row r="45" spans="2:8" x14ac:dyDescent="0.2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">
      <c r="B46" t="s">
        <v>1178</v>
      </c>
      <c r="C46" s="13"/>
      <c r="H46" s="37"/>
    </row>
    <row r="47" spans="2:8" x14ac:dyDescent="0.2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">
      <c r="B48" t="s">
        <v>1005</v>
      </c>
    </row>
    <row r="49" spans="2:8" x14ac:dyDescent="0.2">
      <c r="B49" t="s">
        <v>1183</v>
      </c>
    </row>
    <row r="50" spans="2:8" x14ac:dyDescent="0.2">
      <c r="B50" t="s">
        <v>494</v>
      </c>
    </row>
    <row r="51" spans="2:8" x14ac:dyDescent="0.2">
      <c r="B51" t="s">
        <v>495</v>
      </c>
    </row>
    <row r="52" spans="2:8" x14ac:dyDescent="0.2">
      <c r="B52" t="s">
        <v>443</v>
      </c>
    </row>
    <row r="53" spans="2:8" x14ac:dyDescent="0.2">
      <c r="B53" t="s">
        <v>1140</v>
      </c>
      <c r="E53" t="s">
        <v>601</v>
      </c>
      <c r="F53">
        <v>120</v>
      </c>
      <c r="H53" s="37">
        <v>45511</v>
      </c>
    </row>
    <row r="54" spans="2:8" x14ac:dyDescent="0.2">
      <c r="B54" t="s">
        <v>444</v>
      </c>
    </row>
    <row r="55" spans="2:8" x14ac:dyDescent="0.2">
      <c r="B55" t="s">
        <v>445</v>
      </c>
    </row>
    <row r="56" spans="2:8" x14ac:dyDescent="0.2">
      <c r="B56" t="s">
        <v>446</v>
      </c>
    </row>
    <row r="57" spans="2:8" x14ac:dyDescent="0.2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">
      <c r="B58" t="s">
        <v>447</v>
      </c>
    </row>
    <row r="59" spans="2:8" x14ac:dyDescent="0.2">
      <c r="B59" t="s">
        <v>449</v>
      </c>
    </row>
    <row r="60" spans="2:8" x14ac:dyDescent="0.2">
      <c r="B60" t="s">
        <v>448</v>
      </c>
    </row>
    <row r="61" spans="2:8" x14ac:dyDescent="0.2">
      <c r="B61" t="s">
        <v>450</v>
      </c>
      <c r="E61" t="s">
        <v>601</v>
      </c>
      <c r="F61">
        <v>500</v>
      </c>
    </row>
    <row r="62" spans="2:8" x14ac:dyDescent="0.2">
      <c r="B62" t="s">
        <v>452</v>
      </c>
    </row>
    <row r="63" spans="2:8" x14ac:dyDescent="0.2">
      <c r="B63" t="s">
        <v>453</v>
      </c>
    </row>
    <row r="64" spans="2:8" x14ac:dyDescent="0.2">
      <c r="B64" t="s">
        <v>454</v>
      </c>
    </row>
    <row r="65" spans="2:6" x14ac:dyDescent="0.2">
      <c r="B65" t="s">
        <v>455</v>
      </c>
    </row>
    <row r="66" spans="2:6" x14ac:dyDescent="0.2">
      <c r="B66" t="s">
        <v>472</v>
      </c>
    </row>
    <row r="67" spans="2:6" x14ac:dyDescent="0.2">
      <c r="B67" t="s">
        <v>473</v>
      </c>
    </row>
    <row r="68" spans="2:6" x14ac:dyDescent="0.2">
      <c r="B68" t="s">
        <v>475</v>
      </c>
    </row>
    <row r="69" spans="2:6" x14ac:dyDescent="0.2">
      <c r="B69" t="s">
        <v>474</v>
      </c>
    </row>
    <row r="70" spans="2:6" x14ac:dyDescent="0.2">
      <c r="B70" t="s">
        <v>457</v>
      </c>
    </row>
    <row r="71" spans="2:6" x14ac:dyDescent="0.2">
      <c r="B71" t="s">
        <v>458</v>
      </c>
    </row>
    <row r="72" spans="2:6" x14ac:dyDescent="0.2">
      <c r="B72" t="s">
        <v>460</v>
      </c>
    </row>
    <row r="73" spans="2:6" x14ac:dyDescent="0.2">
      <c r="B73" t="s">
        <v>461</v>
      </c>
    </row>
    <row r="74" spans="2:6" x14ac:dyDescent="0.2">
      <c r="B74" t="s">
        <v>462</v>
      </c>
    </row>
    <row r="75" spans="2:6" x14ac:dyDescent="0.2">
      <c r="B75" t="s">
        <v>463</v>
      </c>
    </row>
    <row r="76" spans="2:6" x14ac:dyDescent="0.2">
      <c r="B76" t="s">
        <v>465</v>
      </c>
    </row>
    <row r="77" spans="2:6" x14ac:dyDescent="0.2">
      <c r="B77" t="s">
        <v>466</v>
      </c>
    </row>
    <row r="78" spans="2:6" x14ac:dyDescent="0.2">
      <c r="B78" t="s">
        <v>467</v>
      </c>
    </row>
    <row r="79" spans="2:6" x14ac:dyDescent="0.2">
      <c r="B79" t="s">
        <v>468</v>
      </c>
    </row>
    <row r="80" spans="2:6" x14ac:dyDescent="0.2">
      <c r="B80" t="s">
        <v>469</v>
      </c>
      <c r="E80" t="s">
        <v>601</v>
      </c>
      <c r="F80" t="s">
        <v>1002</v>
      </c>
    </row>
    <row r="81" spans="2:8" x14ac:dyDescent="0.2">
      <c r="B81" t="s">
        <v>1003</v>
      </c>
      <c r="E81" t="s">
        <v>324</v>
      </c>
      <c r="F81" t="s">
        <v>1004</v>
      </c>
    </row>
    <row r="82" spans="2:8" x14ac:dyDescent="0.2">
      <c r="B82" t="s">
        <v>470</v>
      </c>
    </row>
    <row r="83" spans="2:8" x14ac:dyDescent="0.2">
      <c r="B83" t="s">
        <v>471</v>
      </c>
    </row>
    <row r="84" spans="2:8" x14ac:dyDescent="0.2">
      <c r="B84" t="s">
        <v>464</v>
      </c>
    </row>
    <row r="85" spans="2:8" x14ac:dyDescent="0.2">
      <c r="B85" t="s">
        <v>459</v>
      </c>
    </row>
    <row r="86" spans="2:8" x14ac:dyDescent="0.2">
      <c r="B86" t="s">
        <v>442</v>
      </c>
    </row>
    <row r="87" spans="2:8" x14ac:dyDescent="0.2">
      <c r="B87" t="s">
        <v>0</v>
      </c>
    </row>
    <row r="88" spans="2:8" x14ac:dyDescent="0.2">
      <c r="B88" t="s">
        <v>279</v>
      </c>
    </row>
    <row r="89" spans="2:8" x14ac:dyDescent="0.2">
      <c r="B89" t="s">
        <v>280</v>
      </c>
    </row>
    <row r="90" spans="2:8" x14ac:dyDescent="0.2">
      <c r="B90" t="s">
        <v>281</v>
      </c>
      <c r="C90">
        <v>2019</v>
      </c>
      <c r="D90" t="s">
        <v>282</v>
      </c>
    </row>
    <row r="91" spans="2:8" x14ac:dyDescent="0.2">
      <c r="B91" t="s">
        <v>284</v>
      </c>
    </row>
    <row r="92" spans="2:8" x14ac:dyDescent="0.2">
      <c r="B92" t="s">
        <v>286</v>
      </c>
    </row>
    <row r="93" spans="2:8" x14ac:dyDescent="0.2">
      <c r="B93" t="s">
        <v>289</v>
      </c>
    </row>
    <row r="94" spans="2:8" x14ac:dyDescent="0.2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">
      <c r="B95" t="s">
        <v>337</v>
      </c>
      <c r="E95" t="s">
        <v>324</v>
      </c>
      <c r="F95" t="s">
        <v>338</v>
      </c>
    </row>
    <row r="96" spans="2:8" x14ac:dyDescent="0.2">
      <c r="B96" t="s">
        <v>339</v>
      </c>
    </row>
    <row r="97" spans="2:9" x14ac:dyDescent="0.2">
      <c r="B97" t="s">
        <v>1040</v>
      </c>
    </row>
    <row r="98" spans="2:9" x14ac:dyDescent="0.2">
      <c r="B98" t="s">
        <v>340</v>
      </c>
      <c r="I98" t="s">
        <v>341</v>
      </c>
    </row>
    <row r="99" spans="2:9" x14ac:dyDescent="0.2">
      <c r="B99" t="s">
        <v>383</v>
      </c>
    </row>
    <row r="100" spans="2:9" x14ac:dyDescent="0.2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">
      <c r="B101" t="s">
        <v>390</v>
      </c>
    </row>
    <row r="103" spans="2:9" x14ac:dyDescent="0.2">
      <c r="B103" t="s">
        <v>397</v>
      </c>
      <c r="E103" t="s">
        <v>392</v>
      </c>
      <c r="F103">
        <v>121</v>
      </c>
    </row>
    <row r="104" spans="2:9" x14ac:dyDescent="0.2">
      <c r="B104" t="s">
        <v>414</v>
      </c>
    </row>
    <row r="105" spans="2:9" x14ac:dyDescent="0.2">
      <c r="B105" t="s">
        <v>417</v>
      </c>
    </row>
    <row r="106" spans="2:9" x14ac:dyDescent="0.2">
      <c r="B106" t="s">
        <v>419</v>
      </c>
    </row>
    <row r="107" spans="2:9" x14ac:dyDescent="0.2">
      <c r="B107" t="s">
        <v>424</v>
      </c>
      <c r="I107" t="s">
        <v>425</v>
      </c>
    </row>
    <row r="108" spans="2:9" x14ac:dyDescent="0.2">
      <c r="B108" t="s">
        <v>439</v>
      </c>
    </row>
    <row r="109" spans="2:9" x14ac:dyDescent="0.2">
      <c r="B109" t="s">
        <v>501</v>
      </c>
    </row>
    <row r="110" spans="2:9" x14ac:dyDescent="0.2">
      <c r="B110" t="s">
        <v>517</v>
      </c>
      <c r="I110" t="s">
        <v>518</v>
      </c>
    </row>
    <row r="111" spans="2:9" x14ac:dyDescent="0.2">
      <c r="B111" t="s">
        <v>520</v>
      </c>
      <c r="I111" t="s">
        <v>518</v>
      </c>
    </row>
    <row r="112" spans="2:9" x14ac:dyDescent="0.2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">
      <c r="B115" t="s">
        <v>609</v>
      </c>
      <c r="I115" t="s">
        <v>610</v>
      </c>
    </row>
    <row r="116" spans="2:9" x14ac:dyDescent="0.2">
      <c r="B116" t="s">
        <v>616</v>
      </c>
      <c r="E116" t="s">
        <v>601</v>
      </c>
      <c r="F116" t="s">
        <v>618</v>
      </c>
    </row>
    <row r="117" spans="2:9" x14ac:dyDescent="0.2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">
      <c r="B118" t="s">
        <v>620</v>
      </c>
      <c r="E118" t="s">
        <v>392</v>
      </c>
      <c r="F118" t="s">
        <v>621</v>
      </c>
    </row>
    <row r="119" spans="2:9" x14ac:dyDescent="0.2">
      <c r="B119" t="s">
        <v>620</v>
      </c>
      <c r="E119" t="s">
        <v>612</v>
      </c>
      <c r="F119" t="s">
        <v>607</v>
      </c>
    </row>
    <row r="120" spans="2:9" x14ac:dyDescent="0.2">
      <c r="B120" t="s">
        <v>1010</v>
      </c>
      <c r="E120" t="s">
        <v>601</v>
      </c>
      <c r="F120" t="s">
        <v>1011</v>
      </c>
    </row>
    <row r="121" spans="2:9" x14ac:dyDescent="0.2">
      <c r="B121" t="s">
        <v>1012</v>
      </c>
      <c r="E121" t="s">
        <v>324</v>
      </c>
      <c r="F121" t="s">
        <v>1013</v>
      </c>
    </row>
    <row r="122" spans="2:9" x14ac:dyDescent="0.2">
      <c r="B122" t="s">
        <v>1015</v>
      </c>
      <c r="E122" t="s">
        <v>1016</v>
      </c>
      <c r="F122" t="s">
        <v>1017</v>
      </c>
    </row>
    <row r="123" spans="2:9" x14ac:dyDescent="0.2">
      <c r="B123" t="s">
        <v>1018</v>
      </c>
    </row>
    <row r="124" spans="2:9" x14ac:dyDescent="0.2">
      <c r="B124" t="s">
        <v>1019</v>
      </c>
    </row>
    <row r="125" spans="2:9" x14ac:dyDescent="0.2">
      <c r="B125" t="s">
        <v>1649</v>
      </c>
    </row>
    <row r="126" spans="2:9" x14ac:dyDescent="0.2">
      <c r="B126" t="s">
        <v>1650</v>
      </c>
    </row>
    <row r="127" spans="2:9" x14ac:dyDescent="0.2">
      <c r="B127" t="s">
        <v>1671</v>
      </c>
      <c r="I127" t="s">
        <v>1672</v>
      </c>
    </row>
    <row r="128" spans="2:9" x14ac:dyDescent="0.2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">
      <c r="B129" t="s">
        <v>1677</v>
      </c>
    </row>
    <row r="130" spans="2:9" x14ac:dyDescent="0.2">
      <c r="B130" t="s">
        <v>1683</v>
      </c>
    </row>
    <row r="131" spans="2:9" x14ac:dyDescent="0.2">
      <c r="B131" t="s">
        <v>1678</v>
      </c>
    </row>
    <row r="132" spans="2:9" x14ac:dyDescent="0.2">
      <c r="B132" t="s">
        <v>1781</v>
      </c>
      <c r="I132" t="s">
        <v>1782</v>
      </c>
    </row>
    <row r="133" spans="2:9" x14ac:dyDescent="0.2">
      <c r="B133" t="s">
        <v>1783</v>
      </c>
      <c r="I133" t="s">
        <v>1784</v>
      </c>
    </row>
    <row r="134" spans="2:9" x14ac:dyDescent="0.2">
      <c r="B134" t="s">
        <v>1785</v>
      </c>
    </row>
    <row r="135" spans="2:9" x14ac:dyDescent="0.2">
      <c r="B135" t="s">
        <v>1786</v>
      </c>
    </row>
    <row r="136" spans="2:9" x14ac:dyDescent="0.2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285</v>
      </c>
    </row>
    <row r="2" spans="1:6" x14ac:dyDescent="0.2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">
      <c r="B4" t="s">
        <v>1334</v>
      </c>
      <c r="D4" t="s">
        <v>1357</v>
      </c>
      <c r="E4" s="30">
        <v>18211.07</v>
      </c>
    </row>
    <row r="5" spans="1:6" x14ac:dyDescent="0.2">
      <c r="B5" t="s">
        <v>1333</v>
      </c>
      <c r="D5" t="s">
        <v>1357</v>
      </c>
      <c r="E5" s="30">
        <v>16117.395447000001</v>
      </c>
    </row>
    <row r="6" spans="1:6" x14ac:dyDescent="0.2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">
      <c r="B7" t="s">
        <v>1320</v>
      </c>
      <c r="D7" t="s">
        <v>1357</v>
      </c>
      <c r="E7" s="30">
        <v>9575.6820260000004</v>
      </c>
    </row>
    <row r="8" spans="1:6" x14ac:dyDescent="0.2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">
      <c r="B9" t="s">
        <v>1330</v>
      </c>
      <c r="E9" s="30">
        <v>8737.9044240000003</v>
      </c>
    </row>
    <row r="10" spans="1:6" x14ac:dyDescent="0.2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">
      <c r="B12" t="s">
        <v>1322</v>
      </c>
      <c r="E12" s="30">
        <v>5768.7178190000004</v>
      </c>
    </row>
    <row r="13" spans="1:6" x14ac:dyDescent="0.2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">
      <c r="B14" t="s">
        <v>1335</v>
      </c>
      <c r="E14" s="30">
        <v>5116.0800019999997</v>
      </c>
    </row>
    <row r="15" spans="1:6" x14ac:dyDescent="0.2">
      <c r="B15" t="s">
        <v>1324</v>
      </c>
      <c r="E15" s="30">
        <v>5001.7414399999998</v>
      </c>
    </row>
    <row r="16" spans="1:6" x14ac:dyDescent="0.2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">
      <c r="B17" t="s">
        <v>1323</v>
      </c>
      <c r="C17" t="s">
        <v>1345</v>
      </c>
      <c r="E17" s="30">
        <v>4012.7660850000002</v>
      </c>
    </row>
    <row r="18" spans="2:5" x14ac:dyDescent="0.2">
      <c r="B18" t="s">
        <v>1329</v>
      </c>
      <c r="E18" s="30">
        <v>3542.0446270000002</v>
      </c>
    </row>
    <row r="19" spans="2:5" x14ac:dyDescent="0.2">
      <c r="B19" t="s">
        <v>1340</v>
      </c>
      <c r="E19" s="30">
        <v>2643.6989920000001</v>
      </c>
    </row>
    <row r="20" spans="2:5" x14ac:dyDescent="0.2">
      <c r="B20" s="5" t="s">
        <v>1347</v>
      </c>
      <c r="E20" s="30">
        <v>1296.421245</v>
      </c>
    </row>
    <row r="21" spans="2:5" x14ac:dyDescent="0.2">
      <c r="B21" t="s">
        <v>1328</v>
      </c>
      <c r="E21" s="30">
        <v>1057</v>
      </c>
    </row>
    <row r="22" spans="2:5" x14ac:dyDescent="0.2">
      <c r="B22" t="s">
        <v>1339</v>
      </c>
      <c r="C22" t="s">
        <v>1346</v>
      </c>
      <c r="E22" s="30">
        <v>981.87468000000001</v>
      </c>
    </row>
    <row r="23" spans="2:5" x14ac:dyDescent="0.2">
      <c r="B23" t="s">
        <v>1325</v>
      </c>
      <c r="E23" s="30">
        <v>507.774765</v>
      </c>
    </row>
    <row r="24" spans="2:5" x14ac:dyDescent="0.2">
      <c r="B24" t="s">
        <v>1348</v>
      </c>
    </row>
    <row r="25" spans="2:5" x14ac:dyDescent="0.2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285</v>
      </c>
    </row>
    <row r="2" spans="1:15" x14ac:dyDescent="0.2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">
      <c r="B4" t="s">
        <v>1202</v>
      </c>
      <c r="C4" t="s">
        <v>32</v>
      </c>
      <c r="D4" s="6">
        <v>74000</v>
      </c>
      <c r="E4" s="13">
        <v>43468</v>
      </c>
    </row>
    <row r="5" spans="1:15" x14ac:dyDescent="0.2">
      <c r="B5" t="s">
        <v>1204</v>
      </c>
      <c r="C5" t="s">
        <v>24</v>
      </c>
      <c r="D5" s="6">
        <v>68000</v>
      </c>
      <c r="E5" s="13">
        <v>39838</v>
      </c>
    </row>
    <row r="6" spans="1:15" x14ac:dyDescent="0.2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1201</v>
      </c>
      <c r="C8" t="s">
        <v>18</v>
      </c>
      <c r="D8" s="6">
        <v>63000</v>
      </c>
      <c r="E8" s="13">
        <v>43641</v>
      </c>
    </row>
    <row r="9" spans="1:15" x14ac:dyDescent="0.2">
      <c r="B9" t="s">
        <v>1257</v>
      </c>
      <c r="C9" t="s">
        <v>254</v>
      </c>
      <c r="D9" s="6">
        <v>63000</v>
      </c>
      <c r="E9" s="8">
        <v>2018</v>
      </c>
    </row>
    <row r="10" spans="1:15" x14ac:dyDescent="0.2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1188</v>
      </c>
      <c r="C18" t="s">
        <v>1189</v>
      </c>
      <c r="D18" s="31">
        <v>32000</v>
      </c>
      <c r="E18">
        <v>2016</v>
      </c>
    </row>
    <row r="19" spans="1:15" x14ac:dyDescent="0.2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354</v>
      </c>
      <c r="C31" t="s">
        <v>44</v>
      </c>
      <c r="D31" s="31">
        <v>11700</v>
      </c>
      <c r="E31">
        <v>2021</v>
      </c>
    </row>
    <row r="32" spans="1:15" x14ac:dyDescent="0.2">
      <c r="B32" t="s">
        <v>86</v>
      </c>
      <c r="C32" t="s">
        <v>23</v>
      </c>
      <c r="D32" s="31">
        <v>11600</v>
      </c>
      <c r="E32">
        <v>2022</v>
      </c>
    </row>
    <row r="33" spans="1:7" x14ac:dyDescent="0.2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1214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1211</v>
      </c>
      <c r="C37" t="s">
        <v>30</v>
      </c>
      <c r="D37" s="31">
        <v>9700</v>
      </c>
      <c r="E37">
        <v>2019</v>
      </c>
    </row>
    <row r="38" spans="1:7" x14ac:dyDescent="0.2">
      <c r="B38" t="s">
        <v>1241</v>
      </c>
      <c r="C38" t="s">
        <v>1202</v>
      </c>
      <c r="D38" s="31">
        <v>9000</v>
      </c>
      <c r="E38">
        <v>2018</v>
      </c>
    </row>
    <row r="39" spans="1:7" x14ac:dyDescent="0.2">
      <c r="B39" t="s">
        <v>1212</v>
      </c>
      <c r="C39" t="s">
        <v>30</v>
      </c>
      <c r="D39" s="31">
        <v>8700</v>
      </c>
      <c r="E39">
        <v>2018</v>
      </c>
    </row>
    <row r="40" spans="1:7" x14ac:dyDescent="0.2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">
      <c r="B42" t="s">
        <v>1210</v>
      </c>
      <c r="C42" t="s">
        <v>28</v>
      </c>
      <c r="D42" s="31">
        <v>8400</v>
      </c>
      <c r="E42">
        <v>2014</v>
      </c>
    </row>
    <row r="43" spans="1:7" x14ac:dyDescent="0.2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">
      <c r="B45" t="s">
        <v>1240</v>
      </c>
      <c r="C45" t="s">
        <v>92</v>
      </c>
      <c r="D45" s="31">
        <v>7200</v>
      </c>
      <c r="E45">
        <v>2021</v>
      </c>
    </row>
    <row r="46" spans="1:7" x14ac:dyDescent="0.2">
      <c r="B46" t="s">
        <v>1231</v>
      </c>
      <c r="C46" t="s">
        <v>95</v>
      </c>
      <c r="D46" s="31">
        <v>6800</v>
      </c>
      <c r="E46">
        <v>2011</v>
      </c>
    </row>
    <row r="47" spans="1:7" x14ac:dyDescent="0.2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">
      <c r="B52" t="s">
        <v>345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751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1226</v>
      </c>
      <c r="C60" t="s">
        <v>45</v>
      </c>
      <c r="D60" s="31">
        <v>2500</v>
      </c>
      <c r="E60">
        <v>2006</v>
      </c>
    </row>
    <row r="61" spans="1:7" x14ac:dyDescent="0.2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1218</v>
      </c>
      <c r="C62" t="s">
        <v>14</v>
      </c>
      <c r="D62" s="31">
        <v>2400</v>
      </c>
      <c r="E62">
        <v>2003</v>
      </c>
    </row>
    <row r="63" spans="1:7" x14ac:dyDescent="0.2">
      <c r="B63" t="s">
        <v>1251</v>
      </c>
      <c r="C63" t="s">
        <v>1252</v>
      </c>
      <c r="D63" s="31">
        <v>2300</v>
      </c>
      <c r="E63">
        <v>2006</v>
      </c>
    </row>
    <row r="64" spans="1:7" x14ac:dyDescent="0.2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">
      <c r="B65" t="s">
        <v>1253</v>
      </c>
      <c r="C65" t="s">
        <v>1252</v>
      </c>
      <c r="D65" s="31">
        <v>2100</v>
      </c>
      <c r="E65">
        <v>2006</v>
      </c>
    </row>
    <row r="66" spans="1:10" x14ac:dyDescent="0.2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433</v>
      </c>
      <c r="C72" t="s">
        <v>18</v>
      </c>
    </row>
    <row r="73" spans="1:10" x14ac:dyDescent="0.2">
      <c r="B73" t="s">
        <v>997</v>
      </c>
      <c r="C73" t="s">
        <v>254</v>
      </c>
      <c r="E73">
        <v>2021</v>
      </c>
    </row>
    <row r="74" spans="1:10" x14ac:dyDescent="0.2">
      <c r="B74" t="s">
        <v>998</v>
      </c>
      <c r="C74" t="s">
        <v>254</v>
      </c>
      <c r="E74">
        <v>2020</v>
      </c>
    </row>
    <row r="75" spans="1:10" x14ac:dyDescent="0.2">
      <c r="B75" t="s">
        <v>999</v>
      </c>
      <c r="C75" t="s">
        <v>254</v>
      </c>
      <c r="E75">
        <v>2019</v>
      </c>
    </row>
    <row r="76" spans="1:10" x14ac:dyDescent="0.2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">
      <c r="A77" s="1"/>
      <c r="B77" s="1" t="s">
        <v>140</v>
      </c>
      <c r="C77" s="1" t="s">
        <v>141</v>
      </c>
      <c r="D77" s="7">
        <v>12.2</v>
      </c>
    </row>
    <row r="78" spans="1:10" x14ac:dyDescent="0.2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x14ac:dyDescent="0.2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x14ac:dyDescent="0.2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">
      <c r="A82" s="1"/>
      <c r="B82" t="s">
        <v>824</v>
      </c>
      <c r="C82" t="s">
        <v>825</v>
      </c>
    </row>
    <row r="83" spans="1:5" x14ac:dyDescent="0.2">
      <c r="A83" s="1"/>
      <c r="B83" t="s">
        <v>723</v>
      </c>
      <c r="C83" t="s">
        <v>724</v>
      </c>
    </row>
    <row r="84" spans="1:5" x14ac:dyDescent="0.2">
      <c r="B84" t="s">
        <v>1141</v>
      </c>
      <c r="C84" t="s">
        <v>67</v>
      </c>
    </row>
    <row r="85" spans="1:5" x14ac:dyDescent="0.2">
      <c r="B85" t="s">
        <v>1146</v>
      </c>
    </row>
    <row r="86" spans="1:5" x14ac:dyDescent="0.2">
      <c r="B86" t="s">
        <v>1149</v>
      </c>
      <c r="C86" t="s">
        <v>39</v>
      </c>
    </row>
    <row r="87" spans="1:5" x14ac:dyDescent="0.2">
      <c r="B87" t="s">
        <v>1150</v>
      </c>
      <c r="C87" t="s">
        <v>39</v>
      </c>
    </row>
    <row r="88" spans="1:5" x14ac:dyDescent="0.2">
      <c r="B88" t="s">
        <v>1151</v>
      </c>
      <c r="C88" t="s">
        <v>15</v>
      </c>
    </row>
    <row r="89" spans="1:5" x14ac:dyDescent="0.2">
      <c r="B89" t="s">
        <v>1164</v>
      </c>
      <c r="C89" t="s">
        <v>39</v>
      </c>
    </row>
    <row r="90" spans="1:5" x14ac:dyDescent="0.2">
      <c r="B90" t="s">
        <v>1260</v>
      </c>
      <c r="C90" t="s">
        <v>102</v>
      </c>
    </row>
    <row r="91" spans="1:5" x14ac:dyDescent="0.2">
      <c r="C91" t="s">
        <v>102</v>
      </c>
    </row>
    <row r="92" spans="1:5" x14ac:dyDescent="0.2">
      <c r="B92" t="s">
        <v>1263</v>
      </c>
      <c r="C92" t="s">
        <v>1264</v>
      </c>
      <c r="E92">
        <v>1970</v>
      </c>
    </row>
    <row r="93" spans="1:5" x14ac:dyDescent="0.2">
      <c r="B93" t="s">
        <v>1265</v>
      </c>
    </row>
    <row r="94" spans="1:5" x14ac:dyDescent="0.2">
      <c r="B94" t="s">
        <v>1266</v>
      </c>
    </row>
    <row r="95" spans="1:5" x14ac:dyDescent="0.2">
      <c r="B95" t="s">
        <v>1267</v>
      </c>
    </row>
    <row r="96" spans="1:5" x14ac:dyDescent="0.2">
      <c r="B96" t="s">
        <v>1268</v>
      </c>
    </row>
    <row r="97" spans="2:5" x14ac:dyDescent="0.2">
      <c r="B97" t="s">
        <v>1271</v>
      </c>
      <c r="C97" t="s">
        <v>262</v>
      </c>
    </row>
    <row r="98" spans="2:5" x14ac:dyDescent="0.2">
      <c r="B98" t="s">
        <v>1274</v>
      </c>
      <c r="C98" t="s">
        <v>29</v>
      </c>
    </row>
    <row r="99" spans="2:5" x14ac:dyDescent="0.2">
      <c r="B99" t="s">
        <v>1275</v>
      </c>
      <c r="C99" t="s">
        <v>1276</v>
      </c>
    </row>
    <row r="100" spans="2:5" x14ac:dyDescent="0.2">
      <c r="B100" t="s">
        <v>1295</v>
      </c>
      <c r="C100" t="s">
        <v>270</v>
      </c>
    </row>
    <row r="101" spans="2:5" x14ac:dyDescent="0.2">
      <c r="B101" t="s">
        <v>1408</v>
      </c>
      <c r="C101" t="s">
        <v>1407</v>
      </c>
      <c r="D101">
        <v>7000</v>
      </c>
      <c r="E101">
        <v>2001</v>
      </c>
    </row>
    <row r="102" spans="2:5" x14ac:dyDescent="0.2">
      <c r="B102" t="s">
        <v>1356</v>
      </c>
      <c r="C102" t="s">
        <v>1202</v>
      </c>
      <c r="D102">
        <v>2900</v>
      </c>
    </row>
    <row r="103" spans="2:5" x14ac:dyDescent="0.2">
      <c r="B103" t="s">
        <v>746</v>
      </c>
      <c r="C103" t="s">
        <v>271</v>
      </c>
      <c r="D103">
        <v>2500</v>
      </c>
    </row>
    <row r="104" spans="2:5" x14ac:dyDescent="0.2">
      <c r="B104" t="s">
        <v>1366</v>
      </c>
      <c r="C104" t="s">
        <v>34</v>
      </c>
      <c r="D104">
        <v>1600</v>
      </c>
      <c r="E104">
        <v>2021</v>
      </c>
    </row>
    <row r="105" spans="2:5" x14ac:dyDescent="0.2">
      <c r="B105" t="s">
        <v>1661</v>
      </c>
      <c r="C105" t="s">
        <v>37</v>
      </c>
      <c r="D105">
        <v>1300</v>
      </c>
      <c r="E105">
        <v>2006</v>
      </c>
    </row>
    <row r="106" spans="2:5" x14ac:dyDescent="0.2">
      <c r="B106" t="s">
        <v>1364</v>
      </c>
      <c r="C106" t="s">
        <v>34</v>
      </c>
      <c r="D106">
        <v>993</v>
      </c>
      <c r="E106">
        <v>2021</v>
      </c>
    </row>
    <row r="107" spans="2:5" x14ac:dyDescent="0.2">
      <c r="B107" t="s">
        <v>1355</v>
      </c>
      <c r="C107" t="s">
        <v>32</v>
      </c>
    </row>
    <row r="108" spans="2:5" x14ac:dyDescent="0.2">
      <c r="B108" t="s">
        <v>1363</v>
      </c>
      <c r="C108" t="s">
        <v>34</v>
      </c>
    </row>
    <row r="109" spans="2:5" x14ac:dyDescent="0.2">
      <c r="B109" t="s">
        <v>1365</v>
      </c>
      <c r="C109" t="s">
        <v>34</v>
      </c>
    </row>
    <row r="110" spans="2:5" x14ac:dyDescent="0.2">
      <c r="B110" t="s">
        <v>1436</v>
      </c>
      <c r="C110" t="s">
        <v>1437</v>
      </c>
    </row>
    <row r="111" spans="2:5" x14ac:dyDescent="0.2">
      <c r="B111" t="s">
        <v>1438</v>
      </c>
      <c r="C111" t="s">
        <v>14</v>
      </c>
    </row>
    <row r="112" spans="2:5" x14ac:dyDescent="0.2">
      <c r="B112" t="s">
        <v>672</v>
      </c>
      <c r="C112" t="s">
        <v>1252</v>
      </c>
      <c r="E112" s="13">
        <v>45520</v>
      </c>
    </row>
    <row r="113" spans="2:3" x14ac:dyDescent="0.2">
      <c r="B113" t="s">
        <v>1651</v>
      </c>
      <c r="C113" t="s">
        <v>1652</v>
      </c>
    </row>
    <row r="114" spans="2:3" x14ac:dyDescent="0.2">
      <c r="B114" t="s">
        <v>1662</v>
      </c>
      <c r="C114" t="s">
        <v>39</v>
      </c>
    </row>
    <row r="115" spans="2:3" x14ac:dyDescent="0.2">
      <c r="B115" t="s">
        <v>1679</v>
      </c>
      <c r="C115" t="s">
        <v>18</v>
      </c>
    </row>
    <row r="116" spans="2:3" x14ac:dyDescent="0.2">
      <c r="B116" t="s">
        <v>1680</v>
      </c>
      <c r="C116" t="s">
        <v>18</v>
      </c>
    </row>
    <row r="117" spans="2:3" x14ac:dyDescent="0.2">
      <c r="B117" t="s">
        <v>1684</v>
      </c>
      <c r="C117" t="s">
        <v>14</v>
      </c>
    </row>
    <row r="118" spans="2:3" x14ac:dyDescent="0.2">
      <c r="B118" t="s">
        <v>1787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1256</v>
      </c>
    </row>
    <row r="5" spans="2:183" x14ac:dyDescent="0.2">
      <c r="B5" t="s">
        <v>824</v>
      </c>
    </row>
    <row r="6" spans="2:183" x14ac:dyDescent="0.2">
      <c r="B6" t="s">
        <v>345</v>
      </c>
    </row>
    <row r="7" spans="2:183" ht="12.75" customHeight="1" x14ac:dyDescent="0.2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0" t="s">
        <v>1738</v>
      </c>
      <c r="EU7" s="110" t="s">
        <v>1738</v>
      </c>
      <c r="EV7" s="110" t="s">
        <v>1738</v>
      </c>
      <c r="EW7" s="110" t="s">
        <v>1738</v>
      </c>
      <c r="EX7" s="107" t="s">
        <v>1206</v>
      </c>
      <c r="EY7" s="107" t="s">
        <v>1206</v>
      </c>
      <c r="EZ7" s="107" t="s">
        <v>1206</v>
      </c>
      <c r="FA7" s="108" t="s">
        <v>1732</v>
      </c>
      <c r="FB7" s="112" t="s">
        <v>23</v>
      </c>
      <c r="FC7" s="112" t="s">
        <v>23</v>
      </c>
      <c r="FD7" s="112" t="s">
        <v>23</v>
      </c>
      <c r="FE7" s="112" t="s">
        <v>23</v>
      </c>
      <c r="FF7" s="112" t="s">
        <v>23</v>
      </c>
      <c r="FG7" s="117" t="s">
        <v>1762</v>
      </c>
      <c r="FH7" s="104" t="s">
        <v>23</v>
      </c>
      <c r="FI7" s="104" t="s">
        <v>23</v>
      </c>
      <c r="FJ7" s="104" t="s">
        <v>23</v>
      </c>
      <c r="FK7" s="104" t="s">
        <v>23</v>
      </c>
      <c r="FL7" s="104" t="s">
        <v>23</v>
      </c>
      <c r="FM7" s="104" t="s">
        <v>23</v>
      </c>
      <c r="FN7" s="104" t="s">
        <v>23</v>
      </c>
      <c r="FO7" s="104" t="s">
        <v>23</v>
      </c>
      <c r="FP7" s="104" t="s">
        <v>23</v>
      </c>
      <c r="FQ7" s="104" t="s">
        <v>23</v>
      </c>
      <c r="FR7" s="104" t="s">
        <v>23</v>
      </c>
      <c r="FS7" s="104" t="s">
        <v>23</v>
      </c>
      <c r="FT7" s="104" t="s">
        <v>23</v>
      </c>
      <c r="FU7" s="104" t="s">
        <v>23</v>
      </c>
      <c r="FV7" s="104" t="s">
        <v>23</v>
      </c>
      <c r="FW7" s="104" t="s">
        <v>23</v>
      </c>
    </row>
    <row r="8" spans="2:183" ht="12.75" customHeight="1" x14ac:dyDescent="0.2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0"/>
      <c r="EU8" s="110"/>
      <c r="EV8" s="110"/>
      <c r="EW8" s="110"/>
      <c r="EX8" s="107"/>
      <c r="EY8" s="107"/>
      <c r="EZ8" s="107"/>
      <c r="FA8" s="108"/>
      <c r="FB8" s="112"/>
      <c r="FC8" s="112"/>
      <c r="FD8" s="112"/>
      <c r="FE8" s="112"/>
      <c r="FF8" s="112"/>
      <c r="FG8" s="117"/>
      <c r="FH8" s="104"/>
      <c r="FI8" s="104"/>
      <c r="FJ8" s="104"/>
      <c r="FK8" s="104"/>
      <c r="FL8" s="104"/>
      <c r="FM8" s="104"/>
      <c r="FN8" s="104"/>
      <c r="FO8" s="104"/>
      <c r="FP8" s="104"/>
      <c r="FQ8" s="104"/>
      <c r="FR8" s="104"/>
      <c r="FS8" s="104"/>
      <c r="FT8" s="104"/>
      <c r="FU8" s="104"/>
      <c r="FV8" s="104"/>
      <c r="FW8" s="104"/>
    </row>
    <row r="9" spans="2:183" ht="12.75" customHeight="1" x14ac:dyDescent="0.2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9" t="s">
        <v>1257</v>
      </c>
      <c r="EK9" s="119" t="s">
        <v>1257</v>
      </c>
      <c r="EL9" s="119" t="s">
        <v>1257</v>
      </c>
      <c r="EM9" s="119" t="s">
        <v>1257</v>
      </c>
      <c r="EN9" s="119" t="s">
        <v>1257</v>
      </c>
      <c r="EO9" s="119" t="s">
        <v>1257</v>
      </c>
      <c r="EP9" s="119" t="s">
        <v>1257</v>
      </c>
      <c r="EQ9" s="119" t="s">
        <v>1257</v>
      </c>
      <c r="ER9" s="119" t="s">
        <v>1257</v>
      </c>
      <c r="ES9" s="119" t="s">
        <v>1257</v>
      </c>
      <c r="ET9" s="119" t="s">
        <v>1257</v>
      </c>
      <c r="EU9" s="119" t="s">
        <v>1257</v>
      </c>
      <c r="EV9" s="119" t="s">
        <v>1257</v>
      </c>
      <c r="EW9" s="113" t="s">
        <v>1741</v>
      </c>
      <c r="EX9" s="107"/>
      <c r="EY9" s="107"/>
      <c r="EZ9" s="107"/>
      <c r="FA9" s="108"/>
      <c r="FB9" s="112"/>
      <c r="FC9" s="112"/>
      <c r="FD9" s="112"/>
      <c r="FE9" s="112"/>
      <c r="FF9" s="112"/>
      <c r="FG9" s="117"/>
      <c r="FH9" s="104"/>
      <c r="FI9" s="104"/>
      <c r="FJ9" s="104"/>
      <c r="FK9" s="104"/>
      <c r="FL9" s="104"/>
      <c r="FM9" s="104"/>
      <c r="FN9" s="104"/>
      <c r="FO9" s="104"/>
      <c r="FP9" s="104"/>
      <c r="FQ9" s="104"/>
      <c r="FR9" s="104"/>
      <c r="FS9" s="104"/>
      <c r="FT9" s="104"/>
      <c r="FU9" s="104"/>
      <c r="FV9" s="104"/>
      <c r="FW9" s="104"/>
    </row>
    <row r="10" spans="2:183" ht="12.75" customHeight="1" x14ac:dyDescent="0.2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3"/>
      <c r="EX10" s="107"/>
      <c r="EY10" s="107"/>
      <c r="EZ10" s="107"/>
      <c r="FA10" s="108"/>
      <c r="FB10" s="112"/>
      <c r="FC10" s="112"/>
      <c r="FD10" s="112"/>
      <c r="FE10" s="112"/>
      <c r="FF10" s="112"/>
      <c r="FG10" s="117"/>
      <c r="FH10" s="104"/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</row>
    <row r="11" spans="2:183" ht="12.75" customHeight="1" x14ac:dyDescent="0.2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07"/>
      <c r="EY11" s="107"/>
      <c r="EZ11" s="107"/>
      <c r="FA11" s="108"/>
      <c r="FB11" s="112"/>
      <c r="FC11" s="112"/>
      <c r="FD11" s="112"/>
      <c r="FE11" s="112"/>
      <c r="FF11" s="112"/>
      <c r="FG11" s="117"/>
      <c r="FH11" s="104"/>
      <c r="FI11" s="104"/>
      <c r="FJ11" s="104"/>
      <c r="FK11" s="104"/>
      <c r="FL11" s="104"/>
      <c r="FM11" s="104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4" t="s">
        <v>23</v>
      </c>
      <c r="EY12" s="114" t="s">
        <v>23</v>
      </c>
      <c r="EZ12" s="114" t="s">
        <v>23</v>
      </c>
      <c r="FA12" s="115" t="s">
        <v>1744</v>
      </c>
      <c r="FB12" s="112"/>
      <c r="FC12" s="112"/>
      <c r="FD12" s="112"/>
      <c r="FE12" s="112"/>
      <c r="FF12" s="112"/>
      <c r="FG12" s="117"/>
      <c r="FH12" s="104"/>
      <c r="FI12" s="104"/>
      <c r="FJ12" s="104"/>
      <c r="FK12" s="104"/>
      <c r="FL12" s="104"/>
      <c r="FM12" s="104"/>
      <c r="FN12" s="104"/>
      <c r="FO12" s="104"/>
      <c r="FP12" s="104"/>
      <c r="FQ12" s="104"/>
      <c r="FR12" s="104"/>
      <c r="FS12" s="104"/>
      <c r="FT12" s="104"/>
      <c r="FU12" s="104"/>
      <c r="FV12" s="104"/>
      <c r="FW12" s="104"/>
    </row>
    <row r="13" spans="2:183" ht="12.75" customHeight="1" x14ac:dyDescent="0.2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20" t="s">
        <v>1712</v>
      </c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7" t="s">
        <v>1767</v>
      </c>
      <c r="DU13" s="116" t="s">
        <v>1712</v>
      </c>
      <c r="DV13" s="116"/>
      <c r="DW13" s="116"/>
      <c r="DX13" s="116"/>
      <c r="DY13" s="116" t="s">
        <v>1712</v>
      </c>
      <c r="DZ13" s="116"/>
      <c r="EA13" s="116"/>
      <c r="EB13" s="116"/>
      <c r="EC13" s="116"/>
      <c r="ED13" s="116" t="s">
        <v>1712</v>
      </c>
      <c r="EE13" s="116"/>
      <c r="EF13" s="116"/>
      <c r="EG13" s="116"/>
      <c r="EH13" s="116"/>
      <c r="EI13" s="116" t="s">
        <v>1712</v>
      </c>
      <c r="EJ13" s="116" t="s">
        <v>1712</v>
      </c>
      <c r="EK13" s="116" t="s">
        <v>1712</v>
      </c>
      <c r="EL13" s="116" t="s">
        <v>1712</v>
      </c>
      <c r="EM13" s="116" t="s">
        <v>1712</v>
      </c>
      <c r="EN13" s="116" t="s">
        <v>1712</v>
      </c>
      <c r="EO13" s="116" t="s">
        <v>1712</v>
      </c>
      <c r="EP13" s="116" t="s">
        <v>1712</v>
      </c>
      <c r="EQ13" s="116" t="s">
        <v>1712</v>
      </c>
      <c r="ER13" s="116" t="s">
        <v>1712</v>
      </c>
      <c r="ES13" s="116" t="s">
        <v>1712</v>
      </c>
      <c r="ET13" s="116" t="s">
        <v>1712</v>
      </c>
      <c r="EU13" s="116" t="s">
        <v>1712</v>
      </c>
      <c r="EV13" s="116" t="s">
        <v>1712</v>
      </c>
      <c r="EW13" s="126" t="s">
        <v>1732</v>
      </c>
      <c r="EX13" s="114"/>
      <c r="EY13" s="114"/>
      <c r="EZ13" s="114"/>
      <c r="FA13" s="115"/>
      <c r="FB13" s="112"/>
      <c r="FC13" s="112"/>
      <c r="FD13" s="112"/>
      <c r="FE13" s="112"/>
      <c r="FF13" s="112"/>
      <c r="FG13" s="117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</row>
    <row r="14" spans="2:183" ht="12.75" customHeight="1" x14ac:dyDescent="0.2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7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  <c r="EN14" s="116"/>
      <c r="EO14" s="116"/>
      <c r="EP14" s="116"/>
      <c r="EQ14" s="116"/>
      <c r="ER14" s="116"/>
      <c r="ES14" s="116"/>
      <c r="ET14" s="116"/>
      <c r="EU14" s="116"/>
      <c r="EV14" s="116"/>
      <c r="EW14" s="126"/>
      <c r="EX14" s="114"/>
      <c r="EY14" s="114"/>
      <c r="EZ14" s="114"/>
      <c r="FA14" s="115"/>
      <c r="FB14" s="112"/>
      <c r="FC14" s="112"/>
      <c r="FD14" s="112"/>
      <c r="FE14" s="112"/>
      <c r="FF14" s="112"/>
      <c r="FG14" s="117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</row>
    <row r="15" spans="2:183" ht="12.75" customHeight="1" x14ac:dyDescent="0.2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26"/>
      <c r="EX15" s="114"/>
      <c r="EY15" s="114"/>
      <c r="EZ15" s="114"/>
      <c r="FA15" s="115"/>
      <c r="FB15" s="112"/>
      <c r="FC15" s="112"/>
      <c r="FD15" s="112"/>
      <c r="FE15" s="112"/>
      <c r="FF15" s="112"/>
      <c r="FG15" s="117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</row>
    <row r="16" spans="2:183" ht="12.75" customHeight="1" x14ac:dyDescent="0.2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09" t="s">
        <v>1745</v>
      </c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1" t="s">
        <v>1760</v>
      </c>
      <c r="CT16" s="122" t="s">
        <v>1745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18" t="s">
        <v>1745</v>
      </c>
      <c r="DZ16" s="118" t="s">
        <v>1745</v>
      </c>
      <c r="EA16" s="118" t="s">
        <v>1745</v>
      </c>
      <c r="EB16" s="118" t="s">
        <v>1745</v>
      </c>
      <c r="EC16" s="118" t="s">
        <v>1745</v>
      </c>
      <c r="ED16" s="118" t="s">
        <v>1745</v>
      </c>
      <c r="EE16" s="118" t="s">
        <v>1745</v>
      </c>
      <c r="EF16" s="118" t="s">
        <v>1745</v>
      </c>
      <c r="EG16" s="118" t="s">
        <v>1745</v>
      </c>
      <c r="EH16" s="118" t="s">
        <v>1745</v>
      </c>
      <c r="EI16" s="118" t="s">
        <v>1745</v>
      </c>
      <c r="EJ16" s="118" t="s">
        <v>1745</v>
      </c>
      <c r="EK16" s="118" t="s">
        <v>1745</v>
      </c>
      <c r="EL16" s="118" t="s">
        <v>1745</v>
      </c>
      <c r="EM16" s="118" t="s">
        <v>1745</v>
      </c>
      <c r="EN16" s="118" t="s">
        <v>1745</v>
      </c>
      <c r="EO16" s="118" t="s">
        <v>1745</v>
      </c>
      <c r="EP16" s="118" t="s">
        <v>1745</v>
      </c>
      <c r="EQ16" s="105" t="s">
        <v>1745</v>
      </c>
      <c r="ER16" s="106" t="s">
        <v>1761</v>
      </c>
      <c r="ES16" s="110" t="s">
        <v>1745</v>
      </c>
      <c r="ET16" s="109" t="s">
        <v>1745</v>
      </c>
      <c r="EU16" s="109" t="s">
        <v>1745</v>
      </c>
      <c r="EV16" s="109" t="s">
        <v>1745</v>
      </c>
      <c r="EW16" s="109" t="s">
        <v>1745</v>
      </c>
      <c r="EX16" s="109" t="s">
        <v>1745</v>
      </c>
      <c r="EY16" s="109" t="s">
        <v>1745</v>
      </c>
      <c r="EZ16" s="109" t="s">
        <v>1745</v>
      </c>
      <c r="FA16" s="109" t="s">
        <v>1745</v>
      </c>
      <c r="FB16" s="109" t="s">
        <v>1745</v>
      </c>
      <c r="FC16" s="109" t="s">
        <v>1745</v>
      </c>
      <c r="FD16" s="109" t="s">
        <v>1745</v>
      </c>
      <c r="FE16" s="109" t="s">
        <v>1745</v>
      </c>
      <c r="FF16" s="109" t="s">
        <v>1745</v>
      </c>
      <c r="FG16" s="121" t="s">
        <v>1732</v>
      </c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</row>
    <row r="17" spans="2:179" ht="12.75" customHeight="1" x14ac:dyDescent="0.2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09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1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05"/>
      <c r="ER17" s="106"/>
      <c r="ES17" s="110"/>
      <c r="ET17" s="109"/>
      <c r="EU17" s="109"/>
      <c r="EV17" s="109"/>
      <c r="EW17" s="109"/>
      <c r="EX17" s="109"/>
      <c r="EY17" s="109"/>
      <c r="EZ17" s="109"/>
      <c r="FA17" s="109"/>
      <c r="FB17" s="109"/>
      <c r="FC17" s="109"/>
      <c r="FD17" s="109"/>
      <c r="FE17" s="109"/>
      <c r="FF17" s="109"/>
      <c r="FG17" s="121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</row>
    <row r="18" spans="2:179" ht="12.75" customHeight="1" x14ac:dyDescent="0.2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05"/>
      <c r="ER18" s="106"/>
      <c r="ES18" s="110"/>
      <c r="ET18" s="109"/>
      <c r="EU18" s="109"/>
      <c r="EV18" s="109"/>
      <c r="EW18" s="109"/>
      <c r="EX18" s="109"/>
      <c r="EY18" s="109"/>
      <c r="EZ18" s="109"/>
      <c r="FA18" s="109"/>
      <c r="FB18" s="109"/>
      <c r="FC18" s="109"/>
      <c r="FD18" s="109"/>
      <c r="FE18" s="109"/>
      <c r="FF18" s="109"/>
      <c r="FG18" s="121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</row>
    <row r="19" spans="2:179" ht="12.75" customHeight="1" x14ac:dyDescent="0.2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05"/>
      <c r="ER19" s="106"/>
      <c r="ES19" s="110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21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</row>
    <row r="20" spans="2:179" ht="12.75" customHeight="1" x14ac:dyDescent="0.2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5" t="s">
        <v>1747</v>
      </c>
      <c r="CG20" s="123" t="s">
        <v>1747</v>
      </c>
      <c r="CH20" s="123" t="s">
        <v>1747</v>
      </c>
      <c r="CI20" s="123" t="s">
        <v>1747</v>
      </c>
      <c r="CJ20" s="123" t="s">
        <v>1747</v>
      </c>
      <c r="CK20" s="123" t="s">
        <v>1747</v>
      </c>
      <c r="CL20" s="123" t="s">
        <v>1747</v>
      </c>
      <c r="CM20" s="123" t="s">
        <v>1747</v>
      </c>
      <c r="CN20" s="123" t="s">
        <v>1747</v>
      </c>
      <c r="CO20" s="123" t="s">
        <v>1747</v>
      </c>
      <c r="CP20" s="123" t="s">
        <v>1747</v>
      </c>
      <c r="CQ20" s="123" t="s">
        <v>1747</v>
      </c>
      <c r="CR20" s="123" t="s">
        <v>1747</v>
      </c>
      <c r="CS20" s="123" t="s">
        <v>1747</v>
      </c>
      <c r="CT20" s="123" t="s">
        <v>1747</v>
      </c>
      <c r="CU20" s="123" t="s">
        <v>1747</v>
      </c>
      <c r="CV20" s="123" t="s">
        <v>1747</v>
      </c>
      <c r="CW20" s="123" t="s">
        <v>1747</v>
      </c>
      <c r="CX20" s="123" t="s">
        <v>1747</v>
      </c>
      <c r="CY20" s="123" t="s">
        <v>1747</v>
      </c>
      <c r="CZ20" s="123" t="s">
        <v>1747</v>
      </c>
      <c r="DA20" s="123" t="s">
        <v>1747</v>
      </c>
      <c r="DB20" s="123" t="s">
        <v>1747</v>
      </c>
      <c r="DC20" s="123" t="s">
        <v>1747</v>
      </c>
      <c r="DD20" s="123" t="s">
        <v>1747</v>
      </c>
      <c r="DE20" s="123" t="s">
        <v>1747</v>
      </c>
      <c r="DF20" s="123" t="s">
        <v>1747</v>
      </c>
      <c r="DG20" s="123" t="s">
        <v>1747</v>
      </c>
      <c r="DH20" s="123" t="s">
        <v>1747</v>
      </c>
      <c r="DI20" s="123" t="s">
        <v>1747</v>
      </c>
      <c r="DJ20" s="123" t="s">
        <v>1747</v>
      </c>
      <c r="DK20" s="123" t="s">
        <v>1747</v>
      </c>
      <c r="DL20" s="123" t="s">
        <v>1747</v>
      </c>
      <c r="DM20" s="123" t="s">
        <v>1747</v>
      </c>
      <c r="DN20" s="123" t="s">
        <v>1747</v>
      </c>
      <c r="DO20" s="123" t="s">
        <v>1747</v>
      </c>
      <c r="DP20" s="123" t="s">
        <v>1747</v>
      </c>
      <c r="DQ20" s="123" t="s">
        <v>1747</v>
      </c>
      <c r="DR20" s="123" t="s">
        <v>1747</v>
      </c>
      <c r="DS20" s="123" t="s">
        <v>1747</v>
      </c>
      <c r="DT20" s="123" t="s">
        <v>1747</v>
      </c>
      <c r="DU20" s="123" t="s">
        <v>1747</v>
      </c>
      <c r="DV20" s="123" t="s">
        <v>1747</v>
      </c>
      <c r="DW20" s="123" t="s">
        <v>1747</v>
      </c>
      <c r="DX20" s="123" t="s">
        <v>1747</v>
      </c>
      <c r="DY20" s="123" t="s">
        <v>1747</v>
      </c>
      <c r="DZ20" s="123" t="s">
        <v>1747</v>
      </c>
      <c r="EA20" s="123" t="s">
        <v>1747</v>
      </c>
      <c r="EB20" s="123" t="s">
        <v>1747</v>
      </c>
      <c r="EC20" s="123" t="s">
        <v>1747</v>
      </c>
      <c r="ED20" s="123" t="s">
        <v>1747</v>
      </c>
      <c r="EE20" s="123" t="s">
        <v>1747</v>
      </c>
      <c r="EF20" s="123" t="s">
        <v>1747</v>
      </c>
      <c r="EG20" s="123" t="s">
        <v>1747</v>
      </c>
      <c r="EH20" s="123" t="s">
        <v>1747</v>
      </c>
      <c r="EI20" s="123" t="s">
        <v>1747</v>
      </c>
      <c r="EJ20" s="123" t="s">
        <v>1747</v>
      </c>
      <c r="EK20" s="123" t="s">
        <v>1747</v>
      </c>
      <c r="EL20" s="123" t="s">
        <v>1747</v>
      </c>
      <c r="EM20" s="123" t="s">
        <v>1747</v>
      </c>
      <c r="EN20" s="123" t="s">
        <v>1747</v>
      </c>
      <c r="EO20" s="123" t="s">
        <v>1747</v>
      </c>
      <c r="EP20" s="123" t="s">
        <v>1747</v>
      </c>
      <c r="EQ20" s="123" t="s">
        <v>1747</v>
      </c>
      <c r="ER20" s="111" t="s">
        <v>1758</v>
      </c>
      <c r="ES20" s="110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21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</row>
    <row r="21" spans="2:179" ht="12.75" customHeight="1" x14ac:dyDescent="0.2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5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11"/>
      <c r="ES21" s="110"/>
      <c r="ET21" s="109"/>
      <c r="EU21" s="109"/>
      <c r="EV21" s="109"/>
      <c r="EW21" s="109"/>
      <c r="EX21" s="109"/>
      <c r="EY21" s="109"/>
      <c r="EZ21" s="109"/>
      <c r="FA21" s="109"/>
      <c r="FB21" s="109"/>
      <c r="FC21" s="109"/>
      <c r="FD21" s="109"/>
      <c r="FE21" s="109"/>
      <c r="FF21" s="109"/>
      <c r="FG21" s="121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</row>
    <row r="22" spans="2:179" ht="12.75" customHeight="1" x14ac:dyDescent="0.2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</row>
    <row r="23" spans="2:179" ht="12.75" customHeight="1" x14ac:dyDescent="0.2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04"/>
      <c r="FP23" s="104"/>
      <c r="FQ23" s="104"/>
      <c r="FR23" s="104"/>
      <c r="FS23" s="104"/>
      <c r="FT23" s="104"/>
      <c r="FU23" s="104"/>
      <c r="FV23" s="104"/>
      <c r="FW23" s="104"/>
    </row>
    <row r="24" spans="2:179" ht="12.75" customHeight="1" x14ac:dyDescent="0.2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04"/>
      <c r="FV24" s="104"/>
      <c r="FW24" s="104"/>
    </row>
    <row r="25" spans="2:179" ht="12.75" customHeight="1" x14ac:dyDescent="0.2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04"/>
      <c r="FV25" s="104"/>
      <c r="FW25" s="104"/>
    </row>
    <row r="26" spans="2:179" ht="12.75" customHeight="1" x14ac:dyDescent="0.2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04"/>
      <c r="FW26" s="104"/>
    </row>
    <row r="27" spans="2:179" ht="12.75" customHeight="1" x14ac:dyDescent="0.2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1245</v>
      </c>
    </row>
    <row r="30" spans="2:179" ht="12.75" customHeight="1" x14ac:dyDescent="0.2">
      <c r="B30" t="s">
        <v>1246</v>
      </c>
    </row>
    <row r="31" spans="2:179" ht="12.75" customHeight="1" x14ac:dyDescent="0.2">
      <c r="B31" t="s">
        <v>1695</v>
      </c>
    </row>
    <row r="32" spans="2:179" ht="12.75" customHeight="1" x14ac:dyDescent="0.2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16" t="s">
        <v>1261</v>
      </c>
      <c r="DV36" s="134"/>
      <c r="DW36" s="134"/>
      <c r="DX36" s="134"/>
      <c r="DY36" s="134"/>
      <c r="DZ36" s="134"/>
      <c r="EA36" s="134"/>
      <c r="EB36" s="134"/>
      <c r="EC36" s="13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16"/>
      <c r="DV37" s="134"/>
      <c r="DW37" s="134"/>
      <c r="DX37" s="134"/>
      <c r="DY37" s="134"/>
      <c r="DZ37" s="134"/>
      <c r="EA37" s="134"/>
      <c r="EB37" s="134"/>
      <c r="EC37" s="13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33" t="s">
        <v>1711</v>
      </c>
      <c r="EO44" s="131"/>
      <c r="EP44" s="131"/>
      <c r="EQ44" s="133" t="s">
        <v>1711</v>
      </c>
      <c r="ER44" s="131"/>
      <c r="ES44" s="131"/>
      <c r="ET44" s="131"/>
      <c r="EU44" s="133" t="s">
        <v>1711</v>
      </c>
      <c r="EV44" s="131"/>
      <c r="EW44" s="131"/>
      <c r="EX44" s="131"/>
      <c r="EY44" s="131"/>
      <c r="EZ44" s="131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33"/>
      <c r="EO45" s="131"/>
      <c r="EP45" s="131"/>
      <c r="EQ45" s="133"/>
      <c r="ER45" s="131"/>
      <c r="ES45" s="131"/>
      <c r="ET45" s="131"/>
      <c r="EU45" s="133"/>
      <c r="EV45" s="131"/>
      <c r="EW45" s="131"/>
      <c r="EX45" s="131"/>
      <c r="EY45" s="131"/>
      <c r="EZ45" s="131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29" t="s">
        <v>1728</v>
      </c>
      <c r="EY46" s="129"/>
      <c r="EZ46" s="129" t="s">
        <v>1728</v>
      </c>
      <c r="FA46" s="129"/>
      <c r="FB46" s="129" t="s">
        <v>1728</v>
      </c>
      <c r="FC46" s="129"/>
    </row>
    <row r="47" spans="2:179" x14ac:dyDescent="0.2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32" t="s">
        <v>1717</v>
      </c>
      <c r="DV47" s="128"/>
      <c r="DW47" s="128"/>
      <c r="DX47" s="128"/>
      <c r="DY47" s="128"/>
      <c r="DZ47" s="128"/>
      <c r="EA47" s="128"/>
      <c r="EB47" s="128"/>
      <c r="EC47" s="128"/>
      <c r="ED47" s="128"/>
      <c r="EE47" s="128"/>
      <c r="EF47" s="128"/>
      <c r="EG47" s="128"/>
      <c r="EH47" s="128"/>
      <c r="EI47" s="128"/>
      <c r="EJ47" s="128"/>
      <c r="EK47" s="128"/>
      <c r="EL47" s="128"/>
      <c r="EM47" s="128"/>
      <c r="EN47" s="128"/>
      <c r="EO47" s="128"/>
      <c r="EP47" s="128"/>
      <c r="EQ47" s="128"/>
      <c r="ER47" s="128"/>
      <c r="ES47" s="128"/>
      <c r="ET47" s="128"/>
      <c r="EU47" s="128"/>
      <c r="EV47" s="128"/>
      <c r="EW47" s="130" t="s">
        <v>1724</v>
      </c>
      <c r="EX47" s="129"/>
      <c r="EY47" s="129"/>
      <c r="EZ47" s="129"/>
      <c r="FA47" s="129"/>
      <c r="FB47" s="129"/>
      <c r="FC47" s="129"/>
    </row>
    <row r="48" spans="2:179" x14ac:dyDescent="0.2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32"/>
      <c r="DV48" s="128"/>
      <c r="DW48" s="128"/>
      <c r="DX48" s="128"/>
      <c r="DY48" s="128"/>
      <c r="DZ48" s="128"/>
      <c r="EA48" s="128"/>
      <c r="EB48" s="128"/>
      <c r="EC48" s="128"/>
      <c r="ED48" s="128"/>
      <c r="EE48" s="128"/>
      <c r="EF48" s="128"/>
      <c r="EG48" s="128"/>
      <c r="EH48" s="128"/>
      <c r="EI48" s="128"/>
      <c r="EJ48" s="128"/>
      <c r="EK48" s="128"/>
      <c r="EL48" s="128"/>
      <c r="EM48" s="128"/>
      <c r="EN48" s="128"/>
      <c r="EO48" s="128"/>
      <c r="EP48" s="128"/>
      <c r="EQ48" s="128"/>
      <c r="ER48" s="128"/>
      <c r="ES48" s="128"/>
      <c r="ET48" s="128"/>
      <c r="EU48" s="128"/>
      <c r="EV48" s="128"/>
      <c r="EW48" s="130"/>
      <c r="EX48" s="129"/>
      <c r="EY48" s="129"/>
      <c r="EZ48" s="129"/>
      <c r="FA48" s="129"/>
      <c r="FB48" s="129"/>
      <c r="FC48" s="129"/>
    </row>
    <row r="49" spans="2:77" x14ac:dyDescent="0.2">
      <c r="B49" t="s">
        <v>1713</v>
      </c>
    </row>
    <row r="50" spans="2:77" x14ac:dyDescent="0.2">
      <c r="B50" t="s">
        <v>1714</v>
      </c>
    </row>
    <row r="51" spans="2:77" x14ac:dyDescent="0.2">
      <c r="B51" t="s">
        <v>1715</v>
      </c>
    </row>
    <row r="52" spans="2:77" x14ac:dyDescent="0.2">
      <c r="B52" t="s">
        <v>1716</v>
      </c>
    </row>
    <row r="53" spans="2:77" x14ac:dyDescent="0.2">
      <c r="B53" t="s">
        <v>1718</v>
      </c>
    </row>
    <row r="54" spans="2:77" x14ac:dyDescent="0.2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1258</v>
      </c>
    </row>
    <row r="62" spans="2:77" x14ac:dyDescent="0.2">
      <c r="B62" t="s">
        <v>1237</v>
      </c>
    </row>
    <row r="63" spans="2:77" x14ac:dyDescent="0.2">
      <c r="B63" t="s">
        <v>1236</v>
      </c>
    </row>
    <row r="64" spans="2:77" x14ac:dyDescent="0.2">
      <c r="B64" t="s">
        <v>254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285</v>
      </c>
    </row>
    <row r="2" spans="1:2" x14ac:dyDescent="0.2">
      <c r="B2" t="s">
        <v>1260</v>
      </c>
    </row>
    <row r="3" spans="1:2" x14ac:dyDescent="0.2">
      <c r="B3" t="s">
        <v>992</v>
      </c>
    </row>
    <row r="4" spans="1:2" x14ac:dyDescent="0.2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2025-04-23T14:55:45Z</dcterms:modified>
</cp:coreProperties>
</file>