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D1E86E6-4DF7-4155-A3FB-4E1C2C59B07D}" xr6:coauthVersionLast="47" xr6:coauthVersionMax="47" xr10:uidLastSave="{00000000-0000-0000-0000-000000000000}"/>
  <bookViews>
    <workbookView xWindow="16070" yWindow="3900" windowWidth="21730" windowHeight="15370" firstSheet="2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MabThera" sheetId="115" r:id="rId10"/>
    <sheet name="Hemlibra" sheetId="134" r:id="rId11"/>
    <sheet name="Avastin" sheetId="113" r:id="rId12"/>
    <sheet name="Avastin Model" sheetId="128" r:id="rId13"/>
    <sheet name="Polivy" sheetId="133" r:id="rId14"/>
    <sheet name="Herceptin" sheetId="118" r:id="rId15"/>
    <sheet name="Pegasys" sheetId="119" r:id="rId16"/>
    <sheet name="Xeloda" sheetId="127" r:id="rId17"/>
    <sheet name="tiragolumab" sheetId="135" r:id="rId18"/>
    <sheet name="Actemra" sheetId="112" r:id="rId19"/>
    <sheet name="Lucentis" sheetId="123" r:id="rId20"/>
    <sheet name="Perjeta" sheetId="117" r:id="rId21"/>
    <sheet name="Ocrevus" sheetId="126" r:id="rId22"/>
    <sheet name="Kadcyla" sheetId="130" r:id="rId23"/>
    <sheet name="Mircera" sheetId="102" r:id="rId24"/>
    <sheet name="Tarceva" sheetId="122" r:id="rId25"/>
    <sheet name="Failures" sheetId="125" r:id="rId26"/>
    <sheet name="dalcetrapib" sheetId="111" r:id="rId27"/>
    <sheet name="aleglitazar" sheetId="120" r:id="rId28"/>
    <sheet name="R1626" sheetId="114" r:id="rId29"/>
    <sheet name="taspoglutide" sheetId="116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68" i="99" l="1"/>
  <c r="FD68" i="99"/>
  <c r="DZ3" i="99"/>
  <c r="EC66" i="99"/>
  <c r="EC65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5" i="99"/>
  <c r="EC44" i="99"/>
  <c r="EC43" i="99"/>
  <c r="EC42" i="99"/>
  <c r="EC41" i="99"/>
  <c r="EC40" i="99"/>
  <c r="EC39" i="99"/>
  <c r="EC38" i="99"/>
  <c r="EC37" i="99"/>
  <c r="EC36" i="99"/>
  <c r="EC35" i="99"/>
  <c r="EC34" i="99"/>
  <c r="EC33" i="99"/>
  <c r="EC32" i="99"/>
  <c r="EC31" i="99"/>
  <c r="EC30" i="99"/>
  <c r="EC29" i="99"/>
  <c r="EC28" i="99"/>
  <c r="EC27" i="99"/>
  <c r="EC26" i="99"/>
  <c r="EC25" i="99"/>
  <c r="EC24" i="99"/>
  <c r="EC23" i="99"/>
  <c r="EC22" i="99"/>
  <c r="EC21" i="99"/>
  <c r="EC20" i="99"/>
  <c r="EC19" i="99"/>
  <c r="EC18" i="99"/>
  <c r="EC17" i="99"/>
  <c r="EC16" i="99"/>
  <c r="EC15" i="99"/>
  <c r="EC14" i="99"/>
  <c r="EC13" i="99"/>
  <c r="EC12" i="99"/>
  <c r="EC11" i="99"/>
  <c r="EC10" i="99"/>
  <c r="EC9" i="99"/>
  <c r="EB68" i="99"/>
  <c r="EA68" i="99"/>
  <c r="DZ68" i="99"/>
  <c r="DY68" i="99"/>
  <c r="DY3" i="99"/>
  <c r="FD3" i="99"/>
  <c r="FC3" i="99"/>
  <c r="FB3" i="99"/>
  <c r="EA34" i="99"/>
  <c r="EB34" i="99" s="1"/>
  <c r="EA33" i="99"/>
  <c r="EB33" i="99" s="1"/>
  <c r="EA45" i="99"/>
  <c r="EB45" i="99" s="1"/>
  <c r="EA37" i="99"/>
  <c r="EA38" i="99"/>
  <c r="EA40" i="99"/>
  <c r="EB40" i="99" s="1"/>
  <c r="EA41" i="99"/>
  <c r="EA39" i="99"/>
  <c r="EB39" i="99" s="1"/>
  <c r="EA36" i="99"/>
  <c r="EA32" i="99"/>
  <c r="EB32" i="99" s="1"/>
  <c r="EA29" i="99"/>
  <c r="EB29" i="99" s="1"/>
  <c r="EA28" i="99"/>
  <c r="EB28" i="99" s="1"/>
  <c r="EA27" i="99"/>
  <c r="EB27" i="99" s="1"/>
  <c r="EA26" i="99"/>
  <c r="EB26" i="99" s="1"/>
  <c r="EA25" i="99"/>
  <c r="EB25" i="99" s="1"/>
  <c r="EA22" i="99"/>
  <c r="EB22" i="99" s="1"/>
  <c r="EA21" i="99"/>
  <c r="EB21" i="99" s="1"/>
  <c r="EA20" i="99"/>
  <c r="EB20" i="99" s="1"/>
  <c r="EA19" i="99"/>
  <c r="EB19" i="99" s="1"/>
  <c r="EA18" i="99"/>
  <c r="EB18" i="99" s="1"/>
  <c r="EA17" i="99"/>
  <c r="EB17" i="99" s="1"/>
  <c r="EA16" i="99"/>
  <c r="EB16" i="99" s="1"/>
  <c r="EA15" i="99"/>
  <c r="EB15" i="99" s="1"/>
  <c r="EA14" i="99"/>
  <c r="EB14" i="99" s="1"/>
  <c r="EA13" i="99"/>
  <c r="EB13" i="99" s="1"/>
  <c r="EA12" i="99"/>
  <c r="EB12" i="99" s="1"/>
  <c r="EA11" i="99"/>
  <c r="EB11" i="99" s="1"/>
  <c r="EA10" i="99"/>
  <c r="EB10" i="99" s="1"/>
  <c r="EA9" i="99"/>
  <c r="EB9" i="99" s="1"/>
  <c r="EB41" i="99"/>
  <c r="EB38" i="99"/>
  <c r="EB37" i="99"/>
  <c r="EB23" i="99"/>
  <c r="FC36" i="99"/>
  <c r="FC166" i="99"/>
  <c r="FC165" i="99"/>
  <c r="FC162" i="99"/>
  <c r="FC158" i="99"/>
  <c r="FC153" i="99"/>
  <c r="FC151" i="99"/>
  <c r="FB84" i="99"/>
  <c r="FC78" i="99"/>
  <c r="FC76" i="99"/>
  <c r="FB80" i="99"/>
  <c r="FC62" i="99"/>
  <c r="FC61" i="99"/>
  <c r="FC60" i="99"/>
  <c r="FC59" i="99"/>
  <c r="FC58" i="99"/>
  <c r="FC57" i="99"/>
  <c r="FC56" i="99"/>
  <c r="FC55" i="99"/>
  <c r="FC6" i="99"/>
  <c r="DY24" i="99"/>
  <c r="FC24" i="99" s="1"/>
  <c r="DY20" i="99"/>
  <c r="FC20" i="99" s="1"/>
  <c r="DY27" i="99"/>
  <c r="FC27" i="99" s="1"/>
  <c r="DY23" i="99"/>
  <c r="FC23" i="99" s="1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FC18" i="99" s="1"/>
  <c r="DY16" i="99"/>
  <c r="FC16" i="99" s="1"/>
  <c r="DY15" i="99"/>
  <c r="FC15" i="99" s="1"/>
  <c r="DY14" i="99"/>
  <c r="FC14" i="99" s="1"/>
  <c r="DY13" i="99"/>
  <c r="FC13" i="99" s="1"/>
  <c r="DY12" i="99"/>
  <c r="FC12" i="99" s="1"/>
  <c r="DY11" i="99"/>
  <c r="FC11" i="99" s="1"/>
  <c r="DY10" i="99"/>
  <c r="FC10" i="99" s="1"/>
  <c r="DY9" i="99"/>
  <c r="FC9" i="99" s="1"/>
  <c r="FB28" i="99"/>
  <c r="FB17" i="99"/>
  <c r="FB26" i="99"/>
  <c r="FB19" i="99"/>
  <c r="FB30" i="99"/>
  <c r="FB25" i="99"/>
  <c r="FB24" i="99"/>
  <c r="FB21" i="99"/>
  <c r="FB15" i="99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D100" i="99" l="1"/>
  <c r="EC68" i="99"/>
  <c r="FC150" i="99"/>
  <c r="FC160" i="99"/>
  <c r="FC170" i="99"/>
  <c r="FB68" i="99"/>
  <c r="FC71" i="99"/>
  <c r="FC77" i="99" s="1"/>
  <c r="FC80" i="99" s="1"/>
  <c r="FC82" i="99" s="1"/>
  <c r="FC84" i="99" s="1"/>
  <c r="DU3" i="99"/>
  <c r="FA106" i="99"/>
  <c r="EZ78" i="99"/>
  <c r="EZ76" i="99"/>
  <c r="FA78" i="99"/>
  <c r="FA76" i="99"/>
  <c r="EZ67" i="99"/>
  <c r="FA67" i="99"/>
  <c r="FA20" i="99"/>
  <c r="EZ20" i="99"/>
  <c r="DR3" i="99"/>
  <c r="FC100" i="99" l="1"/>
  <c r="EZ3" i="99"/>
  <c r="FA3" i="99"/>
  <c r="FA68" i="99"/>
  <c r="FA91" i="99" s="1"/>
  <c r="EZ68" i="99"/>
  <c r="EZ71" i="99" s="1"/>
  <c r="EZ90" i="99" s="1"/>
  <c r="EN20" i="99"/>
  <c r="EO20" i="99"/>
  <c r="ER20" i="99"/>
  <c r="ES20" i="99"/>
  <c r="FA93" i="99" l="1"/>
  <c r="FB100" i="99"/>
  <c r="FA92" i="99"/>
  <c r="FA71" i="99"/>
  <c r="FA100" i="99"/>
  <c r="FA77" i="99"/>
  <c r="FA90" i="99"/>
  <c r="ES64" i="99"/>
  <c r="ER64" i="99"/>
  <c r="ES11" i="99"/>
  <c r="ER11" i="99"/>
  <c r="ES63" i="99"/>
  <c r="ET63" i="99" s="1"/>
  <c r="EU63" i="99" s="1"/>
  <c r="EV63" i="99" s="1"/>
  <c r="EW63" i="99" s="1"/>
  <c r="EX63" i="99" s="1"/>
  <c r="ER63" i="99"/>
  <c r="ES62" i="99"/>
  <c r="ER62" i="99"/>
  <c r="ES61" i="99"/>
  <c r="ER61" i="99"/>
  <c r="ES60" i="99"/>
  <c r="ER60" i="99"/>
  <c r="ES59" i="99"/>
  <c r="ER59" i="99"/>
  <c r="ES58" i="99"/>
  <c r="ER58" i="99"/>
  <c r="ES57" i="99"/>
  <c r="ER57" i="99"/>
  <c r="ES56" i="99"/>
  <c r="ER56" i="99"/>
  <c r="ES55" i="99"/>
  <c r="ER55" i="99"/>
  <c r="ES54" i="99"/>
  <c r="ET54" i="99" s="1"/>
  <c r="EU54" i="99" s="1"/>
  <c r="EV54" i="99" s="1"/>
  <c r="EW54" i="99" s="1"/>
  <c r="EX54" i="99" s="1"/>
  <c r="ER54" i="99"/>
  <c r="ES53" i="99"/>
  <c r="ER53" i="99"/>
  <c r="ES25" i="99"/>
  <c r="ER25" i="99"/>
  <c r="ES27" i="99"/>
  <c r="ER27" i="99"/>
  <c r="ES51" i="99"/>
  <c r="ER51" i="99"/>
  <c r="ES50" i="99"/>
  <c r="ET50" i="99" s="1"/>
  <c r="EU50" i="99" s="1"/>
  <c r="EV50" i="99" s="1"/>
  <c r="EW50" i="99" s="1"/>
  <c r="EX50" i="99" s="1"/>
  <c r="EY50" i="99" s="1"/>
  <c r="ER50" i="99"/>
  <c r="ES15" i="99"/>
  <c r="ER15" i="99"/>
  <c r="ES28" i="99"/>
  <c r="ER28" i="99"/>
  <c r="ES49" i="99"/>
  <c r="ER49" i="99"/>
  <c r="ES14" i="99"/>
  <c r="ER14" i="99"/>
  <c r="ES47" i="99"/>
  <c r="ER47" i="99"/>
  <c r="ES46" i="99"/>
  <c r="ER46" i="99"/>
  <c r="ES44" i="99"/>
  <c r="ER44" i="99"/>
  <c r="ES43" i="99"/>
  <c r="ER43" i="99"/>
  <c r="ES24" i="99"/>
  <c r="ER24" i="99"/>
  <c r="ES18" i="99"/>
  <c r="ER18" i="99"/>
  <c r="ER22" i="99"/>
  <c r="EQ62" i="99"/>
  <c r="EQ61" i="99"/>
  <c r="EQ60" i="99"/>
  <c r="EQ59" i="99"/>
  <c r="EQ58" i="99"/>
  <c r="EQ57" i="99"/>
  <c r="EQ56" i="99"/>
  <c r="EQ55" i="99"/>
  <c r="ES22" i="99"/>
  <c r="EO22" i="99"/>
  <c r="EN22" i="99"/>
  <c r="EK22" i="99"/>
  <c r="EJ22" i="99"/>
  <c r="FA94" i="99" l="1"/>
  <c r="FA80" i="99"/>
  <c r="EP90" i="99"/>
  <c r="EQ78" i="99"/>
  <c r="EQ76" i="99"/>
  <c r="EQ8" i="99"/>
  <c r="EQ7" i="99"/>
  <c r="EQ6" i="99"/>
  <c r="EQ5" i="99"/>
  <c r="EQ4" i="99"/>
  <c r="EQ53" i="99"/>
  <c r="ET53" i="99" s="1"/>
  <c r="EU53" i="99" s="1"/>
  <c r="EV53" i="99" s="1"/>
  <c r="EW53" i="99" s="1"/>
  <c r="EX53" i="99" s="1"/>
  <c r="EY53" i="99" s="1"/>
  <c r="EQ52" i="99"/>
  <c r="CC67" i="99"/>
  <c r="CC68" i="99" s="1"/>
  <c r="CB67" i="99"/>
  <c r="CB68" i="99" s="1"/>
  <c r="BZ67" i="99"/>
  <c r="V14" i="99"/>
  <c r="V53" i="99"/>
  <c r="V52" i="99"/>
  <c r="BY67" i="99"/>
  <c r="BY68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Q47" i="99" s="1"/>
  <c r="FA96" i="99" l="1"/>
  <c r="FA95" i="99"/>
  <c r="FA82" i="99"/>
  <c r="FA84" i="99" s="1"/>
  <c r="FA97" i="99" s="1"/>
  <c r="BZ68" i="99"/>
  <c r="BY123" i="99"/>
  <c r="BZ123" i="99"/>
  <c r="CC123" i="99"/>
  <c r="BY124" i="99"/>
  <c r="BZ124" i="99"/>
  <c r="CC124" i="99"/>
  <c r="CA54" i="99"/>
  <c r="CA14" i="99"/>
  <c r="EQ14" i="99" s="1"/>
  <c r="U53" i="99"/>
  <c r="CA25" i="99"/>
  <c r="CA27" i="99"/>
  <c r="CA51" i="99"/>
  <c r="CA50" i="99"/>
  <c r="EQ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U43" i="99"/>
  <c r="EQ43" i="99"/>
  <c r="U51" i="99"/>
  <c r="EQ51" i="99"/>
  <c r="U14" i="99"/>
  <c r="U18" i="99"/>
  <c r="W18" i="99" s="1"/>
  <c r="EQ18" i="99"/>
  <c r="U49" i="99"/>
  <c r="EQ49" i="99"/>
  <c r="U24" i="99"/>
  <c r="EQ24" i="99"/>
  <c r="U46" i="99"/>
  <c r="EQ46" i="99"/>
  <c r="U15" i="99"/>
  <c r="EQ15" i="99"/>
  <c r="U25" i="99"/>
  <c r="EQ25" i="99"/>
  <c r="U50" i="99"/>
  <c r="U48" i="99"/>
  <c r="EQ48" i="99"/>
  <c r="U44" i="99"/>
  <c r="EQ44" i="99"/>
  <c r="U27" i="99"/>
  <c r="EQ27" i="99"/>
  <c r="U54" i="99"/>
  <c r="V54" i="99" s="1"/>
  <c r="V68" i="99" s="1"/>
  <c r="EQ54" i="99"/>
  <c r="U22" i="99"/>
  <c r="W22" i="99" s="1"/>
  <c r="CA67" i="99"/>
  <c r="EQ67" i="99" s="1"/>
  <c r="U28" i="99"/>
  <c r="EQ28" i="99"/>
  <c r="U52" i="99"/>
  <c r="ET67" i="99" l="1"/>
  <c r="EU67" i="99" s="1"/>
  <c r="EV67" i="99" s="1"/>
  <c r="EW67" i="99" s="1"/>
  <c r="EX67" i="99" s="1"/>
  <c r="EY67" i="99" s="1"/>
  <c r="CA68" i="99"/>
  <c r="U68" i="99"/>
  <c r="CA3" i="99"/>
  <c r="EQ3" i="99" s="1"/>
  <c r="EQ68" i="99" s="1"/>
  <c r="EQ71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68" i="99" s="1"/>
  <c r="Q93" i="99" s="1"/>
  <c r="BT28" i="99"/>
  <c r="EO28" i="99" s="1"/>
  <c r="BT43" i="99"/>
  <c r="EO43" i="99" s="1"/>
  <c r="BT44" i="99"/>
  <c r="R44" i="99" s="1"/>
  <c r="BT46" i="99"/>
  <c r="BT130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67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7" i="99"/>
  <c r="BL3" i="99" s="1"/>
  <c r="BM67" i="99"/>
  <c r="BM3" i="99" s="1"/>
  <c r="BN67" i="99"/>
  <c r="BN68" i="99" s="1"/>
  <c r="BO67" i="99"/>
  <c r="BO3" i="99" s="1"/>
  <c r="BP67" i="99"/>
  <c r="BP3" i="99" s="1"/>
  <c r="BQ67" i="99"/>
  <c r="BQ3" i="99" s="1"/>
  <c r="BR67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P51" i="99" s="1"/>
  <c r="ET51" i="99" s="1"/>
  <c r="EU51" i="99" s="1"/>
  <c r="EV51" i="99" s="1"/>
  <c r="EW51" i="99" s="1"/>
  <c r="EX51" i="99" s="1"/>
  <c r="EY51" i="99" s="1"/>
  <c r="BW27" i="99"/>
  <c r="BX27" i="99" s="1"/>
  <c r="BW64" i="99"/>
  <c r="BW25" i="99"/>
  <c r="BX25" i="99" s="1"/>
  <c r="BW52" i="99"/>
  <c r="BX52" i="99" s="1"/>
  <c r="BW14" i="99"/>
  <c r="EP14" i="99" s="1"/>
  <c r="EG3" i="99"/>
  <c r="EH3" i="99"/>
  <c r="EI3" i="99"/>
  <c r="EJ18" i="99"/>
  <c r="EJ24" i="99"/>
  <c r="EJ28" i="99"/>
  <c r="EJ43" i="99"/>
  <c r="EJ44" i="99"/>
  <c r="EJ46" i="99"/>
  <c r="EJ47" i="99"/>
  <c r="EJ48" i="99"/>
  <c r="EJ49" i="99"/>
  <c r="EJ55" i="99"/>
  <c r="EJ15" i="99"/>
  <c r="EJ50" i="99"/>
  <c r="EJ51" i="99"/>
  <c r="EJ27" i="99"/>
  <c r="EJ64" i="99"/>
  <c r="EJ25" i="99"/>
  <c r="EJ52" i="99"/>
  <c r="EJ56" i="99"/>
  <c r="EJ57" i="99"/>
  <c r="EJ58" i="99"/>
  <c r="EJ59" i="99"/>
  <c r="EJ60" i="99"/>
  <c r="EJ61" i="99"/>
  <c r="EJ62" i="99"/>
  <c r="EJ66" i="99"/>
  <c r="EK18" i="99"/>
  <c r="EK24" i="99"/>
  <c r="EK28" i="99"/>
  <c r="EK43" i="99"/>
  <c r="EK44" i="99"/>
  <c r="EK46" i="99"/>
  <c r="EK47" i="99"/>
  <c r="EK48" i="99"/>
  <c r="EK49" i="99"/>
  <c r="EK55" i="99"/>
  <c r="EK15" i="99"/>
  <c r="EK50" i="99"/>
  <c r="EK51" i="99"/>
  <c r="EK27" i="99"/>
  <c r="EK64" i="99"/>
  <c r="EK25" i="99"/>
  <c r="EK52" i="99"/>
  <c r="EK56" i="99"/>
  <c r="EK57" i="99"/>
  <c r="EK58" i="99"/>
  <c r="EK59" i="99"/>
  <c r="EK60" i="99"/>
  <c r="EK61" i="99"/>
  <c r="EK62" i="99"/>
  <c r="EK66" i="99"/>
  <c r="L22" i="99"/>
  <c r="EL22" i="99" s="1"/>
  <c r="L20" i="99"/>
  <c r="EL20" i="99" s="1"/>
  <c r="L18" i="99"/>
  <c r="EL18" i="99" s="1"/>
  <c r="L24" i="99"/>
  <c r="EL24" i="99" s="1"/>
  <c r="L28" i="99"/>
  <c r="EL28" i="99" s="1"/>
  <c r="L43" i="99"/>
  <c r="EL43" i="99" s="1"/>
  <c r="L44" i="99"/>
  <c r="EL44" i="99" s="1"/>
  <c r="L46" i="99"/>
  <c r="EL46" i="99" s="1"/>
  <c r="L47" i="99"/>
  <c r="EL47" i="99" s="1"/>
  <c r="L48" i="99"/>
  <c r="EL48" i="99" s="1"/>
  <c r="L49" i="99"/>
  <c r="EL49" i="99" s="1"/>
  <c r="L55" i="99"/>
  <c r="EL55" i="99" s="1"/>
  <c r="L15" i="99"/>
  <c r="EL15" i="99" s="1"/>
  <c r="L50" i="99"/>
  <c r="EL50" i="99" s="1"/>
  <c r="L51" i="99"/>
  <c r="EL51" i="99" s="1"/>
  <c r="L27" i="99"/>
  <c r="EL27" i="99" s="1"/>
  <c r="L64" i="99"/>
  <c r="EL64" i="99" s="1"/>
  <c r="L25" i="99"/>
  <c r="EL25" i="99" s="1"/>
  <c r="L52" i="99"/>
  <c r="EL52" i="99" s="1"/>
  <c r="L56" i="99"/>
  <c r="EL56" i="99" s="1"/>
  <c r="EL66" i="99"/>
  <c r="N22" i="99"/>
  <c r="EM22" i="99" s="1"/>
  <c r="N20" i="99"/>
  <c r="EM20" i="99" s="1"/>
  <c r="N18" i="99"/>
  <c r="EM18" i="99" s="1"/>
  <c r="N24" i="99"/>
  <c r="EM24" i="99" s="1"/>
  <c r="N28" i="99"/>
  <c r="EM28" i="99" s="1"/>
  <c r="N43" i="99"/>
  <c r="EM43" i="99" s="1"/>
  <c r="N44" i="99"/>
  <c r="EM44" i="99" s="1"/>
  <c r="N46" i="99"/>
  <c r="EM46" i="99" s="1"/>
  <c r="N47" i="99"/>
  <c r="EM47" i="99" s="1"/>
  <c r="N48" i="99"/>
  <c r="EM48" i="99" s="1"/>
  <c r="N49" i="99"/>
  <c r="EM49" i="99" s="1"/>
  <c r="N55" i="99"/>
  <c r="EM55" i="99" s="1"/>
  <c r="N15" i="99"/>
  <c r="EM15" i="99" s="1"/>
  <c r="N50" i="99"/>
  <c r="EM50" i="99" s="1"/>
  <c r="N51" i="99"/>
  <c r="EM51" i="99" s="1"/>
  <c r="N27" i="99"/>
  <c r="EM27" i="99" s="1"/>
  <c r="N64" i="99"/>
  <c r="EM64" i="99" s="1"/>
  <c r="N25" i="99"/>
  <c r="EM25" i="99" s="1"/>
  <c r="N52" i="99"/>
  <c r="EM52" i="99" s="1"/>
  <c r="EM53" i="99"/>
  <c r="N56" i="99"/>
  <c r="EM56" i="99" s="1"/>
  <c r="EN18" i="99"/>
  <c r="EN24" i="99"/>
  <c r="EN28" i="99"/>
  <c r="EN43" i="99"/>
  <c r="EN44" i="99"/>
  <c r="EN46" i="99"/>
  <c r="EN47" i="99"/>
  <c r="EN48" i="99"/>
  <c r="EN49" i="99"/>
  <c r="EN55" i="99"/>
  <c r="EN15" i="99"/>
  <c r="EN50" i="99"/>
  <c r="EN51" i="99"/>
  <c r="EN27" i="99"/>
  <c r="EN64" i="99"/>
  <c r="EN25" i="99"/>
  <c r="EN52" i="99"/>
  <c r="EN53" i="99"/>
  <c r="EO18" i="99"/>
  <c r="EO24" i="99"/>
  <c r="EO48" i="99"/>
  <c r="EO55" i="99"/>
  <c r="EO15" i="99"/>
  <c r="EO50" i="99"/>
  <c r="EO51" i="99"/>
  <c r="EO27" i="99"/>
  <c r="EO64" i="99"/>
  <c r="EO25" i="99"/>
  <c r="EO52" i="99"/>
  <c r="EO53" i="99"/>
  <c r="BV67" i="99"/>
  <c r="ET49" i="99"/>
  <c r="EU49" i="99" s="1"/>
  <c r="EV49" i="99" s="1"/>
  <c r="EW49" i="99" s="1"/>
  <c r="EX49" i="99" s="1"/>
  <c r="EY49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6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67" i="99"/>
  <c r="K67" i="99"/>
  <c r="O67" i="99"/>
  <c r="BH67" i="99"/>
  <c r="BH68" i="99" s="1"/>
  <c r="BI67" i="99"/>
  <c r="BI68" i="99" s="1"/>
  <c r="BJ67" i="99"/>
  <c r="BJ68" i="99" s="1"/>
  <c r="BK67" i="99"/>
  <c r="BK68" i="99" s="1"/>
  <c r="I68" i="99"/>
  <c r="K68" i="99"/>
  <c r="K71" i="99" s="1"/>
  <c r="K90" i="99" s="1"/>
  <c r="O68" i="99"/>
  <c r="O71" i="99" s="1"/>
  <c r="BV68" i="99"/>
  <c r="J69" i="99"/>
  <c r="EK69" i="99" s="1"/>
  <c r="L69" i="99"/>
  <c r="EL69" i="99" s="1"/>
  <c r="M69" i="99"/>
  <c r="N69" i="99" s="1"/>
  <c r="EM69" i="99" s="1"/>
  <c r="P69" i="99"/>
  <c r="EN69" i="99" s="1"/>
  <c r="R69" i="99"/>
  <c r="EO69" i="99" s="1"/>
  <c r="T69" i="99"/>
  <c r="J70" i="99"/>
  <c r="EK70" i="99" s="1"/>
  <c r="L70" i="99"/>
  <c r="EL70" i="99" s="1"/>
  <c r="N70" i="99"/>
  <c r="EM70" i="99" s="1"/>
  <c r="P70" i="99"/>
  <c r="EN70" i="99" s="1"/>
  <c r="R70" i="99"/>
  <c r="EO70" i="99" s="1"/>
  <c r="T70" i="99"/>
  <c r="EP70" i="99" s="1"/>
  <c r="J72" i="99"/>
  <c r="L72" i="99"/>
  <c r="EL72" i="99" s="1"/>
  <c r="N72" i="99"/>
  <c r="EM72" i="99" s="1"/>
  <c r="P72" i="99"/>
  <c r="EN72" i="99" s="1"/>
  <c r="R72" i="99"/>
  <c r="EO72" i="99" s="1"/>
  <c r="T72" i="99"/>
  <c r="EP72" i="99" s="1"/>
  <c r="ER72" i="99" s="1"/>
  <c r="J73" i="99"/>
  <c r="L73" i="99"/>
  <c r="EL73" i="99" s="1"/>
  <c r="EL109" i="99" s="1"/>
  <c r="N73" i="99"/>
  <c r="EM73" i="99" s="1"/>
  <c r="P73" i="99"/>
  <c r="R73" i="99"/>
  <c r="EO73" i="99" s="1"/>
  <c r="T73" i="99"/>
  <c r="J74" i="99"/>
  <c r="EK74" i="99" s="1"/>
  <c r="EK110" i="99" s="1"/>
  <c r="L74" i="99"/>
  <c r="EL74" i="99" s="1"/>
  <c r="N74" i="99"/>
  <c r="P74" i="99"/>
  <c r="EN74" i="99" s="1"/>
  <c r="R74" i="99"/>
  <c r="EO74" i="99" s="1"/>
  <c r="T74" i="99"/>
  <c r="EP74" i="99" s="1"/>
  <c r="M75" i="99"/>
  <c r="N75" i="99" s="1"/>
  <c r="O76" i="99"/>
  <c r="Q76" i="99"/>
  <c r="S76" i="99"/>
  <c r="J78" i="99"/>
  <c r="L78" i="99"/>
  <c r="EL78" i="99" s="1"/>
  <c r="N78" i="99"/>
  <c r="EM78" i="99" s="1"/>
  <c r="P78" i="99"/>
  <c r="R78" i="99"/>
  <c r="EO78" i="99" s="1"/>
  <c r="T78" i="99"/>
  <c r="EP78" i="99" s="1"/>
  <c r="EP88" i="99"/>
  <c r="T79" i="99"/>
  <c r="EP79" i="99" s="1"/>
  <c r="T81" i="99"/>
  <c r="EP81" i="99" s="1"/>
  <c r="T83" i="99"/>
  <c r="EP83" i="99" s="1"/>
  <c r="J79" i="99"/>
  <c r="L79" i="99"/>
  <c r="EL79" i="99" s="1"/>
  <c r="N79" i="99"/>
  <c r="EM79" i="99" s="1"/>
  <c r="P79" i="99"/>
  <c r="R79" i="99"/>
  <c r="EO79" i="99" s="1"/>
  <c r="J81" i="99"/>
  <c r="L81" i="99"/>
  <c r="EL81" i="99" s="1"/>
  <c r="N81" i="99"/>
  <c r="EM81" i="99" s="1"/>
  <c r="R81" i="99"/>
  <c r="EO81" i="99" s="1"/>
  <c r="J83" i="99"/>
  <c r="L83" i="99"/>
  <c r="EL83" i="99" s="1"/>
  <c r="N83" i="99"/>
  <c r="EM83" i="99" s="1"/>
  <c r="P83" i="99"/>
  <c r="R83" i="99"/>
  <c r="EO83" i="99" s="1"/>
  <c r="P86" i="99"/>
  <c r="Q86" i="99" s="1"/>
  <c r="R86" i="99" s="1"/>
  <c r="S86" i="99" s="1"/>
  <c r="T86" i="99" s="1"/>
  <c r="EL86" i="99"/>
  <c r="EM86" i="99" s="1"/>
  <c r="EN86" i="99" s="1"/>
  <c r="EO86" i="99" s="1"/>
  <c r="EP86" i="99" s="1"/>
  <c r="EQ86" i="99" s="1"/>
  <c r="ER86" i="99" s="1"/>
  <c r="ES86" i="99" s="1"/>
  <c r="ET86" i="99" s="1"/>
  <c r="EN88" i="99"/>
  <c r="EO88" i="99"/>
  <c r="EH90" i="99"/>
  <c r="EI90" i="99"/>
  <c r="EJ90" i="99"/>
  <c r="EK108" i="99"/>
  <c r="EK109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T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T124" i="99"/>
  <c r="BU124" i="99"/>
  <c r="BV124" i="99"/>
  <c r="BB125" i="99"/>
  <c r="BC125" i="99"/>
  <c r="BD125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T125" i="99"/>
  <c r="BU125" i="99"/>
  <c r="BV125" i="99"/>
  <c r="BY125" i="99"/>
  <c r="BZ125" i="99"/>
  <c r="CC125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T133" i="99"/>
  <c r="BU133" i="99"/>
  <c r="BV133" i="99"/>
  <c r="BB134" i="99"/>
  <c r="BC134" i="99"/>
  <c r="BD134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T134" i="99"/>
  <c r="BU134" i="99"/>
  <c r="BV134" i="99"/>
  <c r="BB135" i="99"/>
  <c r="BC135" i="99"/>
  <c r="BD135" i="99"/>
  <c r="BE135" i="99"/>
  <c r="BF135" i="99"/>
  <c r="BG135" i="99"/>
  <c r="BH135" i="99"/>
  <c r="BI135" i="99"/>
  <c r="BJ135" i="99"/>
  <c r="BK135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B136" i="99"/>
  <c r="BC136" i="99"/>
  <c r="BD136" i="99"/>
  <c r="BE136" i="99"/>
  <c r="BF136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EN146" i="99"/>
  <c r="EO146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7" i="99"/>
  <c r="EQ90" i="99"/>
  <c r="AB44" i="115"/>
  <c r="Y44" i="115"/>
  <c r="ER69" i="99"/>
  <c r="ES69" i="99" s="1"/>
  <c r="ET69" i="99" s="1"/>
  <c r="EU69" i="99" s="1"/>
  <c r="EV69" i="99" s="1"/>
  <c r="EW69" i="99" s="1"/>
  <c r="EX69" i="99" s="1"/>
  <c r="EY69" i="99" s="1"/>
  <c r="EP69" i="99"/>
  <c r="BW125" i="99"/>
  <c r="BR68" i="99"/>
  <c r="BV100" i="99" s="1"/>
  <c r="Q92" i="99"/>
  <c r="BW124" i="99"/>
  <c r="CA124" i="99"/>
  <c r="BX20" i="99"/>
  <c r="EP20" i="99" s="1"/>
  <c r="BW123" i="99"/>
  <c r="CA123" i="99"/>
  <c r="BT126" i="99"/>
  <c r="CA125" i="99"/>
  <c r="EQ106" i="99"/>
  <c r="EO47" i="99"/>
  <c r="EM109" i="99"/>
  <c r="R28" i="99"/>
  <c r="BM68" i="99"/>
  <c r="EY106" i="99"/>
  <c r="K91" i="99"/>
  <c r="BL68" i="99"/>
  <c r="EN106" i="99"/>
  <c r="BT129" i="99"/>
  <c r="EX106" i="99"/>
  <c r="EL110" i="99"/>
  <c r="K93" i="99"/>
  <c r="K100" i="99"/>
  <c r="EU106" i="99"/>
  <c r="ET106" i="99"/>
  <c r="K92" i="99"/>
  <c r="R76" i="99"/>
  <c r="BP68" i="99"/>
  <c r="EO44" i="99"/>
  <c r="EP50" i="99"/>
  <c r="EW106" i="99"/>
  <c r="ES106" i="99"/>
  <c r="EV106" i="99"/>
  <c r="ER106" i="99"/>
  <c r="EP25" i="99"/>
  <c r="T25" i="99"/>
  <c r="EP48" i="99"/>
  <c r="T48" i="99"/>
  <c r="EO8" i="99"/>
  <c r="R8" i="99"/>
  <c r="EM106" i="99"/>
  <c r="BT131" i="99"/>
  <c r="BT128" i="99"/>
  <c r="O93" i="99"/>
  <c r="O92" i="99"/>
  <c r="BQ68" i="99"/>
  <c r="R43" i="99"/>
  <c r="EM8" i="99"/>
  <c r="EK6" i="99"/>
  <c r="EO5" i="99"/>
  <c r="EO49" i="99"/>
  <c r="BW67" i="99"/>
  <c r="BW3" i="99" s="1"/>
  <c r="M68" i="99"/>
  <c r="M67" i="99"/>
  <c r="BY3" i="99"/>
  <c r="BX18" i="99"/>
  <c r="BT127" i="99"/>
  <c r="Q100" i="99"/>
  <c r="EJ6" i="99"/>
  <c r="EP43" i="99"/>
  <c r="ET43" i="99" s="1"/>
  <c r="EU43" i="99" s="1"/>
  <c r="EV43" i="99" s="1"/>
  <c r="EW43" i="99" s="1"/>
  <c r="EX43" i="99" s="1"/>
  <c r="EY43" i="99" s="1"/>
  <c r="EP24" i="99"/>
  <c r="BS67" i="99"/>
  <c r="BS3" i="99" s="1"/>
  <c r="O90" i="99"/>
  <c r="O77" i="99"/>
  <c r="O80" i="99" s="1"/>
  <c r="O82" i="99" s="1"/>
  <c r="O84" i="99" s="1"/>
  <c r="O85" i="99" s="1"/>
  <c r="EP49" i="99"/>
  <c r="T49" i="99"/>
  <c r="EP44" i="99"/>
  <c r="ET44" i="99" s="1"/>
  <c r="EU44" i="99" s="1"/>
  <c r="EV44" i="99" s="1"/>
  <c r="EW44" i="99" s="1"/>
  <c r="EX44" i="99" s="1"/>
  <c r="EY44" i="99" s="1"/>
  <c r="T44" i="99"/>
  <c r="EL108" i="99"/>
  <c r="EM108" i="99"/>
  <c r="EM75" i="99"/>
  <c r="N76" i="99"/>
  <c r="BU3" i="99"/>
  <c r="BU68" i="99"/>
  <c r="T27" i="99"/>
  <c r="EP27" i="99"/>
  <c r="T46" i="99"/>
  <c r="EP46" i="99"/>
  <c r="ET46" i="99" s="1"/>
  <c r="EU46" i="99" s="1"/>
  <c r="EV46" i="99" s="1"/>
  <c r="EW46" i="99" s="1"/>
  <c r="EX46" i="99" s="1"/>
  <c r="EY46" i="99" s="1"/>
  <c r="EO76" i="99"/>
  <c r="E14" i="128"/>
  <c r="J7" i="101"/>
  <c r="Q91" i="99"/>
  <c r="I91" i="99"/>
  <c r="M76" i="99"/>
  <c r="I71" i="99"/>
  <c r="I77" i="99" s="1"/>
  <c r="I80" i="99" s="1"/>
  <c r="I82" i="99" s="1"/>
  <c r="I84" i="99" s="1"/>
  <c r="I85" i="99" s="1"/>
  <c r="BO68" i="99"/>
  <c r="T51" i="99"/>
  <c r="O91" i="99"/>
  <c r="EL75" i="99"/>
  <c r="EL76" i="99" s="1"/>
  <c r="EP73" i="99"/>
  <c r="EP76" i="99" s="1"/>
  <c r="Q71" i="99"/>
  <c r="EP55" i="99"/>
  <c r="D11" i="128"/>
  <c r="T76" i="99"/>
  <c r="K77" i="99"/>
  <c r="L68" i="99"/>
  <c r="EM74" i="99"/>
  <c r="EN73" i="99"/>
  <c r="EN76" i="99" s="1"/>
  <c r="P76" i="99"/>
  <c r="ES72" i="99"/>
  <c r="P67" i="99"/>
  <c r="EL8" i="99"/>
  <c r="L67" i="99"/>
  <c r="EL67" i="99" s="1"/>
  <c r="J67" i="99"/>
  <c r="J68" i="99"/>
  <c r="EN4" i="99"/>
  <c r="P68" i="99"/>
  <c r="BT67" i="99"/>
  <c r="BT3" i="99" s="1"/>
  <c r="R4" i="99"/>
  <c r="EO4" i="99"/>
  <c r="EO46" i="99"/>
  <c r="R46" i="99"/>
  <c r="EM3" i="99"/>
  <c r="N67" i="99"/>
  <c r="EL3" i="99"/>
  <c r="EP52" i="99"/>
  <c r="T52" i="99"/>
  <c r="BR3" i="99"/>
  <c r="BN3" i="99"/>
  <c r="EN67" i="99"/>
  <c r="EN68" i="99" s="1"/>
  <c r="N68" i="99"/>
  <c r="EO6" i="99"/>
  <c r="EL4" i="99"/>
  <c r="Q66" i="99"/>
  <c r="Q3" i="99" s="1"/>
  <c r="G9" i="128"/>
  <c r="EJ3" i="99"/>
  <c r="BX64" i="99"/>
  <c r="T64" i="99" s="1"/>
  <c r="BX15" i="99"/>
  <c r="T15" i="99" s="1"/>
  <c r="BX47" i="99"/>
  <c r="T47" i="99" s="1"/>
  <c r="BX28" i="99"/>
  <c r="T28" i="99" s="1"/>
  <c r="BX22" i="99"/>
  <c r="T22" i="99" s="1"/>
  <c r="EN3" i="99"/>
  <c r="EK3" i="99"/>
  <c r="E8" i="128"/>
  <c r="EP22" i="99" l="1"/>
  <c r="BR100" i="99"/>
  <c r="EO67" i="99"/>
  <c r="EO68" i="99" s="1"/>
  <c r="EP18" i="99"/>
  <c r="BX124" i="99"/>
  <c r="CB124" i="99"/>
  <c r="BX123" i="99"/>
  <c r="CB123" i="99"/>
  <c r="T20" i="99"/>
  <c r="BP100" i="99"/>
  <c r="O94" i="99"/>
  <c r="BQ100" i="99"/>
  <c r="BS68" i="99"/>
  <c r="BS100" i="99" s="1"/>
  <c r="EM67" i="99"/>
  <c r="T18" i="99"/>
  <c r="BW68" i="99"/>
  <c r="S3" i="99"/>
  <c r="T3" i="99" s="1"/>
  <c r="EP64" i="99"/>
  <c r="O96" i="99"/>
  <c r="EP47" i="99"/>
  <c r="ET47" i="99" s="1"/>
  <c r="EU47" i="99" s="1"/>
  <c r="EV47" i="99" s="1"/>
  <c r="EW47" i="99" s="1"/>
  <c r="EX47" i="99" s="1"/>
  <c r="M71" i="99"/>
  <c r="M92" i="99"/>
  <c r="M93" i="99"/>
  <c r="M91" i="99"/>
  <c r="M100" i="99"/>
  <c r="O100" i="99"/>
  <c r="ER73" i="99"/>
  <c r="ES73" i="99" s="1"/>
  <c r="ET73" i="99" s="1"/>
  <c r="BU100" i="99"/>
  <c r="S67" i="99"/>
  <c r="S68" i="99" s="1"/>
  <c r="BY100" i="99"/>
  <c r="EP28" i="99"/>
  <c r="EP15" i="99"/>
  <c r="BT68" i="99"/>
  <c r="BT100" i="99" s="1"/>
  <c r="R66" i="99"/>
  <c r="Q77" i="99"/>
  <c r="Q90" i="99"/>
  <c r="R3" i="99"/>
  <c r="R68" i="99" s="1"/>
  <c r="R92" i="99" s="1"/>
  <c r="EM110" i="99"/>
  <c r="EM76" i="99"/>
  <c r="J71" i="99"/>
  <c r="J77" i="99" s="1"/>
  <c r="J80" i="99" s="1"/>
  <c r="J82" i="99" s="1"/>
  <c r="J84" i="99" s="1"/>
  <c r="J85" i="99" s="1"/>
  <c r="J91" i="99"/>
  <c r="EK68" i="99"/>
  <c r="ET72" i="99"/>
  <c r="EN92" i="99"/>
  <c r="K80" i="99"/>
  <c r="K94" i="99"/>
  <c r="EN71" i="99"/>
  <c r="EN91" i="99"/>
  <c r="EN93" i="99"/>
  <c r="BX67" i="99"/>
  <c r="BX68" i="99" s="1"/>
  <c r="BX125" i="99"/>
  <c r="CB125" i="99"/>
  <c r="EO106" i="99"/>
  <c r="EP106" i="99"/>
  <c r="E11" i="128"/>
  <c r="F8" i="128"/>
  <c r="H9" i="128"/>
  <c r="G14" i="128"/>
  <c r="EM68" i="99"/>
  <c r="EN100" i="99" s="1"/>
  <c r="N71" i="99"/>
  <c r="N91" i="99"/>
  <c r="N92" i="99"/>
  <c r="N100" i="99"/>
  <c r="P71" i="99"/>
  <c r="P93" i="99"/>
  <c r="P91" i="99"/>
  <c r="P100" i="99"/>
  <c r="P92" i="99"/>
  <c r="N93" i="99"/>
  <c r="EL68" i="99"/>
  <c r="L71" i="99"/>
  <c r="L93" i="99"/>
  <c r="L91" i="99"/>
  <c r="L92" i="99"/>
  <c r="L100" i="99"/>
  <c r="ER3" i="99" l="1"/>
  <c r="ES3" i="99"/>
  <c r="EP67" i="99"/>
  <c r="EP68" i="99" s="1"/>
  <c r="EP71" i="99" s="1"/>
  <c r="ER68" i="99"/>
  <c r="BW100" i="99"/>
  <c r="EO3" i="99"/>
  <c r="ER76" i="99"/>
  <c r="BX100" i="99"/>
  <c r="R93" i="99"/>
  <c r="ES76" i="99"/>
  <c r="S71" i="99"/>
  <c r="S93" i="99"/>
  <c r="S92" i="99"/>
  <c r="S100" i="99"/>
  <c r="S91" i="99"/>
  <c r="R100" i="99"/>
  <c r="BX3" i="99"/>
  <c r="T67" i="99"/>
  <c r="T68" i="99" s="1"/>
  <c r="R91" i="99"/>
  <c r="M77" i="99"/>
  <c r="M90" i="99"/>
  <c r="R71" i="99"/>
  <c r="R90" i="99" s="1"/>
  <c r="Q80" i="99"/>
  <c r="Q94" i="99"/>
  <c r="N90" i="99"/>
  <c r="N77" i="99"/>
  <c r="K82" i="99"/>
  <c r="K84" i="99" s="1"/>
  <c r="K85" i="99" s="1"/>
  <c r="K96" i="99"/>
  <c r="EK71" i="99"/>
  <c r="EK100" i="99"/>
  <c r="EL71" i="99"/>
  <c r="EL100" i="99"/>
  <c r="EM71" i="99"/>
  <c r="EM100" i="99"/>
  <c r="G8" i="128"/>
  <c r="F11" i="128"/>
  <c r="EO91" i="99"/>
  <c r="EO100" i="99"/>
  <c r="EO93" i="99"/>
  <c r="EO92" i="99"/>
  <c r="EU72" i="99"/>
  <c r="ET76" i="99"/>
  <c r="EN77" i="99"/>
  <c r="EN90" i="99"/>
  <c r="EU73" i="99"/>
  <c r="L77" i="99"/>
  <c r="L90" i="99"/>
  <c r="P77" i="99"/>
  <c r="P90" i="99"/>
  <c r="H14" i="128"/>
  <c r="I9" i="128"/>
  <c r="ET3" i="99" l="1"/>
  <c r="EO71" i="99"/>
  <c r="EO77" i="99" s="1"/>
  <c r="EO94" i="99" s="1"/>
  <c r="R77" i="99"/>
  <c r="R94" i="99" s="1"/>
  <c r="M80" i="99"/>
  <c r="M94" i="99"/>
  <c r="S90" i="99"/>
  <c r="S77" i="99"/>
  <c r="Q82" i="99"/>
  <c r="Q84" i="99" s="1"/>
  <c r="Q85" i="99" s="1"/>
  <c r="Q96" i="99"/>
  <c r="EV73" i="99"/>
  <c r="T71" i="99"/>
  <c r="T93" i="99"/>
  <c r="T91" i="99"/>
  <c r="T100" i="99"/>
  <c r="T92" i="99"/>
  <c r="P80" i="99"/>
  <c r="P94" i="99"/>
  <c r="H8" i="128"/>
  <c r="G11" i="128"/>
  <c r="EL90" i="99"/>
  <c r="EL77" i="99"/>
  <c r="EV72" i="99"/>
  <c r="EU76" i="99"/>
  <c r="N80" i="99"/>
  <c r="N94" i="99"/>
  <c r="I14" i="128"/>
  <c r="J9" i="128"/>
  <c r="L80" i="99"/>
  <c r="L94" i="99"/>
  <c r="EN80" i="99"/>
  <c r="EN94" i="99"/>
  <c r="EP3" i="99"/>
  <c r="EM90" i="99"/>
  <c r="EM77" i="99"/>
  <c r="EN111" i="99" s="1"/>
  <c r="EK77" i="99"/>
  <c r="EK90" i="99"/>
  <c r="EO111" i="99" l="1"/>
  <c r="EU3" i="99"/>
  <c r="EO80" i="99"/>
  <c r="EO82" i="99" s="1"/>
  <c r="EO84" i="99" s="1"/>
  <c r="R80" i="99"/>
  <c r="R96" i="99" s="1"/>
  <c r="S94" i="99"/>
  <c r="S80" i="99"/>
  <c r="M82" i="99"/>
  <c r="M84" i="99" s="1"/>
  <c r="M85" i="99" s="1"/>
  <c r="M96" i="99"/>
  <c r="EP77" i="99"/>
  <c r="EP111" i="99" s="1"/>
  <c r="EP92" i="99"/>
  <c r="EP91" i="99"/>
  <c r="EP93" i="99"/>
  <c r="EP100" i="99"/>
  <c r="EL80" i="99"/>
  <c r="EL82" i="99" s="1"/>
  <c r="EL84" i="99" s="1"/>
  <c r="EL85" i="99" s="1"/>
  <c r="EL94" i="99"/>
  <c r="EN95" i="99"/>
  <c r="EN96" i="99"/>
  <c r="EN82" i="99"/>
  <c r="EN84" i="99" s="1"/>
  <c r="EW72" i="99"/>
  <c r="EV76" i="99"/>
  <c r="EQ93" i="99"/>
  <c r="EQ91" i="99"/>
  <c r="EQ100" i="99"/>
  <c r="EQ92" i="99"/>
  <c r="T77" i="99"/>
  <c r="T90" i="99"/>
  <c r="P82" i="99"/>
  <c r="P84" i="99" s="1"/>
  <c r="P85" i="99" s="1"/>
  <c r="P96" i="99"/>
  <c r="EM94" i="99"/>
  <c r="EM80" i="99"/>
  <c r="EM82" i="99" s="1"/>
  <c r="EM84" i="99" s="1"/>
  <c r="EM85" i="99" s="1"/>
  <c r="J14" i="128"/>
  <c r="K9" i="128"/>
  <c r="EK80" i="99"/>
  <c r="EK82" i="99" s="1"/>
  <c r="EK84" i="99" s="1"/>
  <c r="EK111" i="99"/>
  <c r="L82" i="99"/>
  <c r="L84" i="99" s="1"/>
  <c r="L85" i="99" s="1"/>
  <c r="L96" i="99"/>
  <c r="N82" i="99"/>
  <c r="N84" i="99" s="1"/>
  <c r="N85" i="99" s="1"/>
  <c r="N96" i="99"/>
  <c r="H11" i="128"/>
  <c r="I8" i="128"/>
  <c r="EW73" i="99"/>
  <c r="EO95" i="99" l="1"/>
  <c r="R95" i="99"/>
  <c r="R82" i="99"/>
  <c r="R84" i="99" s="1"/>
  <c r="R88" i="99" s="1"/>
  <c r="EV3" i="99"/>
  <c r="EO96" i="99"/>
  <c r="S96" i="99"/>
  <c r="S95" i="99"/>
  <c r="S82" i="99"/>
  <c r="S84" i="99" s="1"/>
  <c r="S85" i="99" s="1"/>
  <c r="EX73" i="99"/>
  <c r="T80" i="99"/>
  <c r="T94" i="99"/>
  <c r="EW76" i="99"/>
  <c r="EX72" i="99"/>
  <c r="EN85" i="99"/>
  <c r="EN118" i="99" s="1"/>
  <c r="EN143" i="99"/>
  <c r="EN97" i="99"/>
  <c r="EO85" i="99"/>
  <c r="EO143" i="99"/>
  <c r="EO97" i="99"/>
  <c r="I11" i="128"/>
  <c r="J8" i="128"/>
  <c r="L9" i="128"/>
  <c r="K14" i="128"/>
  <c r="ER71" i="99"/>
  <c r="ER77" i="99" s="1"/>
  <c r="ER93" i="99"/>
  <c r="ER100" i="99"/>
  <c r="ER91" i="99"/>
  <c r="ER92" i="99"/>
  <c r="EQ94" i="99"/>
  <c r="EP80" i="99"/>
  <c r="EP94" i="99"/>
  <c r="R85" i="99" l="1"/>
  <c r="EW3" i="99"/>
  <c r="EP82" i="99"/>
  <c r="EP84" i="99" s="1"/>
  <c r="EP95" i="99"/>
  <c r="EP96" i="99"/>
  <c r="ER70" i="99"/>
  <c r="EY72" i="99"/>
  <c r="EX76" i="99"/>
  <c r="T82" i="99"/>
  <c r="T84" i="99" s="1"/>
  <c r="T85" i="99" s="1"/>
  <c r="T95" i="99"/>
  <c r="T96" i="99"/>
  <c r="K8" i="128"/>
  <c r="J11" i="128"/>
  <c r="EO118" i="99"/>
  <c r="ER94" i="99"/>
  <c r="L14" i="128"/>
  <c r="M9" i="128"/>
  <c r="ES71" i="99"/>
  <c r="ES77" i="99" s="1"/>
  <c r="ES93" i="99"/>
  <c r="ES100" i="99"/>
  <c r="ES91" i="99"/>
  <c r="ES92" i="99"/>
  <c r="EY73" i="99"/>
  <c r="EX3" i="99" l="1"/>
  <c r="ES70" i="99"/>
  <c r="M14" i="128"/>
  <c r="N9" i="128"/>
  <c r="EP85" i="99"/>
  <c r="EP118" i="99" s="1"/>
  <c r="EP97" i="99"/>
  <c r="EQ88" i="99"/>
  <c r="L8" i="128"/>
  <c r="K11" i="128"/>
  <c r="EY76" i="99"/>
  <c r="ES94" i="99"/>
  <c r="ET100" i="99"/>
  <c r="ET93" i="99"/>
  <c r="ET71" i="99"/>
  <c r="ET77" i="99" s="1"/>
  <c r="ET91" i="99"/>
  <c r="ET92" i="99"/>
  <c r="EY3" i="99" l="1"/>
  <c r="ET70" i="99"/>
  <c r="L11" i="128"/>
  <c r="M8" i="128"/>
  <c r="N14" i="128"/>
  <c r="O9" i="128"/>
  <c r="ET94" i="99"/>
  <c r="EU71" i="99"/>
  <c r="EU77" i="99" s="1"/>
  <c r="EU93" i="99"/>
  <c r="EU100" i="99"/>
  <c r="EU92" i="99"/>
  <c r="EU91" i="99"/>
  <c r="EQ80" i="99"/>
  <c r="EQ96" i="99" l="1"/>
  <c r="EQ95" i="99"/>
  <c r="EU70" i="99"/>
  <c r="M11" i="128"/>
  <c r="N8" i="128"/>
  <c r="EV71" i="99"/>
  <c r="EV77" i="99" s="1"/>
  <c r="EV100" i="99"/>
  <c r="EV93" i="99"/>
  <c r="EV92" i="99"/>
  <c r="EV91" i="99"/>
  <c r="P9" i="128"/>
  <c r="O14" i="128"/>
  <c r="EU94" i="99"/>
  <c r="EQ82" i="99" l="1"/>
  <c r="EQ84" i="99" s="1"/>
  <c r="ER88" i="99" s="1"/>
  <c r="EV70" i="99"/>
  <c r="O8" i="128"/>
  <c r="N11" i="128"/>
  <c r="EV94" i="99"/>
  <c r="EW71" i="99"/>
  <c r="EW77" i="99" s="1"/>
  <c r="EW93" i="99"/>
  <c r="EW100" i="99"/>
  <c r="EW91" i="99"/>
  <c r="EW92" i="99"/>
  <c r="P14" i="128"/>
  <c r="Q9" i="128"/>
  <c r="EQ97" i="99" l="1"/>
  <c r="EQ85" i="99"/>
  <c r="EW94" i="99"/>
  <c r="Q14" i="128"/>
  <c r="R9" i="128"/>
  <c r="EW70" i="99"/>
  <c r="ER78" i="99"/>
  <c r="ER80" i="99" s="1"/>
  <c r="P8" i="128"/>
  <c r="O11" i="128"/>
  <c r="EX71" i="99"/>
  <c r="EX77" i="99" s="1"/>
  <c r="EX93" i="99"/>
  <c r="EX100" i="99"/>
  <c r="EX92" i="99"/>
  <c r="EX91" i="99"/>
  <c r="R14" i="128" l="1"/>
  <c r="S9" i="128"/>
  <c r="P11" i="128"/>
  <c r="Q8" i="128"/>
  <c r="EY71" i="99"/>
  <c r="EY77" i="99" s="1"/>
  <c r="EY93" i="99"/>
  <c r="EY100" i="99"/>
  <c r="EY91" i="99"/>
  <c r="EY92" i="99"/>
  <c r="EX94" i="99"/>
  <c r="EX70" i="99"/>
  <c r="ER95" i="99"/>
  <c r="ER81" i="99"/>
  <c r="ER96" i="99" s="1"/>
  <c r="EY70" i="99" l="1"/>
  <c r="ER82" i="99"/>
  <c r="ER84" i="99" s="1"/>
  <c r="ER85" i="99" s="1"/>
  <c r="Q11" i="128"/>
  <c r="R8" i="128"/>
  <c r="T9" i="128"/>
  <c r="S14" i="128"/>
  <c r="EZ77" i="99"/>
  <c r="EZ93" i="99"/>
  <c r="EZ100" i="99"/>
  <c r="EZ91" i="99"/>
  <c r="EZ92" i="99"/>
  <c r="EY94" i="99"/>
  <c r="ES88" i="99" l="1"/>
  <c r="ES78" i="99" s="1"/>
  <c r="ES80" i="99" s="1"/>
  <c r="ER97" i="99"/>
  <c r="T14" i="128"/>
  <c r="U9" i="128"/>
  <c r="S8" i="128"/>
  <c r="R11" i="128"/>
  <c r="EZ94" i="99"/>
  <c r="U14" i="128" l="1"/>
  <c r="V9" i="128"/>
  <c r="T8" i="128"/>
  <c r="S11" i="128"/>
  <c r="ES81" i="99"/>
  <c r="ES96" i="99" s="1"/>
  <c r="ES95" i="99"/>
  <c r="ES82" i="99" l="1"/>
  <c r="ES84" i="99" s="1"/>
  <c r="T11" i="128"/>
  <c r="U8" i="128"/>
  <c r="V14" i="128"/>
  <c r="W9" i="128"/>
  <c r="ET88" i="99" l="1"/>
  <c r="ET78" i="99" s="1"/>
  <c r="ET80" i="99" s="1"/>
  <c r="ES97" i="99"/>
  <c r="ES85" i="99"/>
  <c r="X9" i="128"/>
  <c r="W14" i="128"/>
  <c r="U11" i="128"/>
  <c r="V8" i="128"/>
  <c r="X14" i="128" l="1"/>
  <c r="Y9" i="128"/>
  <c r="W8" i="128"/>
  <c r="V11" i="128"/>
  <c r="ET81" i="99"/>
  <c r="ET96" i="99" s="1"/>
  <c r="ET95" i="99"/>
  <c r="ET82" i="99" l="1"/>
  <c r="ET84" i="99" s="1"/>
  <c r="X8" i="128"/>
  <c r="W11" i="128"/>
  <c r="Y14" i="128"/>
  <c r="Z9" i="128"/>
  <c r="Z14" i="128" s="1"/>
  <c r="EU88" i="99" l="1"/>
  <c r="EU78" i="99" s="1"/>
  <c r="EU80" i="99" s="1"/>
  <c r="ET97" i="99"/>
  <c r="ET85" i="99"/>
  <c r="X11" i="128"/>
  <c r="Y8" i="128"/>
  <c r="Y11" i="128" l="1"/>
  <c r="Z8" i="128"/>
  <c r="Z11" i="128" s="1"/>
  <c r="EU81" i="99"/>
  <c r="EU96" i="99" s="1"/>
  <c r="EU95" i="99"/>
  <c r="EU82" i="99" l="1"/>
  <c r="EU84" i="99" s="1"/>
  <c r="EU97" i="99" l="1"/>
  <c r="EV88" i="99"/>
  <c r="EV78" i="99" s="1"/>
  <c r="EV80" i="99" s="1"/>
  <c r="EV95" i="99" l="1"/>
  <c r="EV81" i="99"/>
  <c r="EV96" i="99" s="1"/>
  <c r="EV82" i="99" l="1"/>
  <c r="EV84" i="99" s="1"/>
  <c r="EV97" i="99" l="1"/>
  <c r="EW88" i="99"/>
  <c r="EW78" i="99" l="1"/>
  <c r="EW80" i="99" s="1"/>
  <c r="EW81" i="99" l="1"/>
  <c r="EW96" i="99" s="1"/>
  <c r="EW95" i="99"/>
  <c r="EW82" i="99" l="1"/>
  <c r="EW84" i="99" s="1"/>
  <c r="EW97" i="99" s="1"/>
  <c r="EX88" i="99" l="1"/>
  <c r="EX78" i="99" s="1"/>
  <c r="EX80" i="99" s="1"/>
  <c r="EX81" i="99" l="1"/>
  <c r="EX96" i="99" s="1"/>
  <c r="EX95" i="99"/>
  <c r="EX82" i="99" l="1"/>
  <c r="EX84" i="99" s="1"/>
  <c r="EX97" i="99" s="1"/>
  <c r="EY88" i="99" l="1"/>
  <c r="EY78" i="99" s="1"/>
  <c r="EY80" i="99" s="1"/>
  <c r="EY81" i="99" l="1"/>
  <c r="EY96" i="99" s="1"/>
  <c r="EY95" i="99"/>
  <c r="EY82" i="99" l="1"/>
  <c r="EY84" i="99" s="1"/>
  <c r="EY97" i="99" s="1"/>
  <c r="EZ80" i="99" l="1"/>
  <c r="EZ95" i="99" l="1"/>
  <c r="EZ96" i="99"/>
  <c r="EZ82" i="99"/>
  <c r="EZ84" i="99" s="1"/>
  <c r="EZ97" i="99" s="1"/>
  <c r="FD84" i="99" l="1"/>
  <c r="FE84" i="99" s="1"/>
  <c r="FF84" i="99" s="1"/>
  <c r="FG84" i="99" s="1"/>
  <c r="FH84" i="99" s="1"/>
  <c r="FI84" i="99" s="1"/>
  <c r="FJ84" i="99" s="1"/>
  <c r="FK84" i="99" s="1"/>
  <c r="FL84" i="99" s="1"/>
  <c r="FM84" i="99" s="1"/>
  <c r="FN84" i="99" s="1"/>
  <c r="FO84" i="99" s="1"/>
  <c r="FP84" i="99" s="1"/>
  <c r="FQ84" i="99" s="1"/>
  <c r="FR84" i="99" s="1"/>
  <c r="FS84" i="99" s="1"/>
  <c r="FT84" i="99" s="1"/>
  <c r="FU84" i="99" s="1"/>
  <c r="FV84" i="99" s="1"/>
  <c r="FW84" i="99" s="1"/>
  <c r="FX84" i="99" s="1"/>
  <c r="FY84" i="99" s="1"/>
  <c r="FZ84" i="99" s="1"/>
  <c r="GA84" i="99" s="1"/>
  <c r="GB84" i="99" s="1"/>
  <c r="GC84" i="99" s="1"/>
  <c r="GD84" i="99" s="1"/>
  <c r="GE84" i="99" s="1"/>
  <c r="GF84" i="99" s="1"/>
  <c r="GG84" i="99" s="1"/>
  <c r="GH84" i="99" s="1"/>
  <c r="GI84" i="99" s="1"/>
  <c r="GJ84" i="99" s="1"/>
  <c r="GK84" i="99" s="1"/>
  <c r="GL84" i="99" s="1"/>
  <c r="GM84" i="99" s="1"/>
  <c r="GN84" i="99" s="1"/>
  <c r="GO84" i="99" s="1"/>
  <c r="GP84" i="99" s="1"/>
  <c r="GQ84" i="99" s="1"/>
  <c r="GR84" i="99" s="1"/>
  <c r="GS84" i="99" s="1"/>
  <c r="GT84" i="99" s="1"/>
  <c r="GU84" i="99" s="1"/>
  <c r="GV84" i="99" s="1"/>
  <c r="GW84" i="99" s="1"/>
  <c r="GX84" i="99" s="1"/>
  <c r="GY84" i="99" s="1"/>
  <c r="GZ84" i="99" s="1"/>
  <c r="HA84" i="99" s="1"/>
  <c r="HB84" i="99" s="1"/>
  <c r="HC84" i="99" s="1"/>
  <c r="HD84" i="99" s="1"/>
  <c r="HE84" i="99" s="1"/>
  <c r="HF84" i="99" s="1"/>
  <c r="HG84" i="99" s="1"/>
  <c r="HH84" i="99" s="1"/>
  <c r="HI84" i="99" s="1"/>
  <c r="HJ84" i="99" s="1"/>
  <c r="HK84" i="99" s="1"/>
  <c r="HL84" i="99" s="1"/>
  <c r="HM84" i="99" s="1"/>
  <c r="HN84" i="99" s="1"/>
  <c r="HO84" i="99" s="1"/>
  <c r="HP84" i="99" s="1"/>
  <c r="HQ84" i="99" s="1"/>
  <c r="HR84" i="99" s="1"/>
  <c r="HS84" i="99" s="1"/>
  <c r="HT84" i="99" s="1"/>
  <c r="HU84" i="99" s="1"/>
  <c r="HV84" i="99" s="1"/>
  <c r="HW84" i="99" s="1"/>
  <c r="HX84" i="99" s="1"/>
  <c r="HY84" i="99" s="1"/>
  <c r="FJ93" i="99" l="1"/>
  <c r="FJ94" i="99" s="1"/>
  <c r="FJ95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C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C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7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8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8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8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8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8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8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8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8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70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72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73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74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74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8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9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1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81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81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83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85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85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85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85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6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6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8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6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0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100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1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1" authorId="9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101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101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2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2" authorId="9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102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102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102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102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7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11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11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8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8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8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<sst xmlns="http://schemas.openxmlformats.org/spreadsheetml/2006/main" count="1511" uniqueCount="1003">
  <si>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</si>
  <si>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</si>
  <si>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</si>
  <si>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</si>
  <si>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</si>
  <si>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</si>
  <si>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</si>
  <si>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</si>
  <si>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</si>
  <si>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</si>
  <si>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</si>
  <si>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</si>
  <si>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</si>
  <si>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</si>
  <si>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</si>
  <si>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</si>
  <si>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</si>
  <si>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</si>
  <si>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</si>
  <si>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</si>
  <si>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</si>
  <si>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</si>
  <si>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</si>
  <si>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</si>
  <si>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</si>
  <si>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</si>
  <si>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</si>
  <si>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</si>
  <si>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</si>
  <si>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</si>
  <si>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</si>
  <si>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</si>
  <si>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</si>
  <si>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</si>
  <si>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</si>
  <si>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</si>
  <si>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</si>
  <si>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</si>
  <si>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</si>
  <si>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</si>
  <si>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</si>
  <si>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</si>
  <si>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</si>
  <si>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</si>
  <si>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</si>
  <si>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</si>
  <si>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</si>
  <si>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</si>
  <si>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</si>
  <si>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</si>
  <si>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</si>
  <si>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</si>
  <si>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</si>
  <si>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</si>
  <si>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</si>
  <si>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</si>
  <si>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</si>
  <si>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</si>
  <si>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</si>
  <si>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</si>
  <si>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</si>
  <si>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</si>
  <si>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</si>
  <si>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</si>
  <si>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</si>
  <si>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</si>
  <si>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</si>
  <si>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</si>
  <si>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</si>
  <si>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</si>
  <si>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</si>
  <si>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</si>
  <si>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</si>
  <si>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</si>
  <si>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</si>
  <si>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</si>
  <si>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</si>
  <si>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</si>
  <si>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</si>
  <si>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</si>
  <si>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</si>
  <si>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</si>
  <si>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</si>
  <si>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</si>
  <si>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</si>
  <si>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</si>
  <si>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</si>
  <si>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</si>
  <si>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</si>
  <si>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</si>
  <si>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</si>
  <si>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</si>
  <si>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</si>
  <si>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</si>
  <si>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</si>
  <si>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</si>
  <si>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</si>
  <si>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</si>
  <si>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</si>
  <si>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</si>
  <si>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</si>
  <si>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</si>
  <si>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</si>
  <si>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</si>
  <si>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</si>
  <si>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</si>
  <si>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</si>
  <si>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</si>
  <si>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</si>
  <si>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</si>
  <si>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</si>
  <si>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</si>
  <si>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</si>
  <si>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</si>
  <si>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</si>
  <si>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</si>
  <si>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</si>
  <si>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</si>
  <si>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</si>
  <si>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</si>
  <si>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</si>
  <si>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</si>
  <si>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</si>
  <si>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</si>
  <si>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</si>
  <si>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</si>
  <si>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</si>
  <si>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</si>
  <si>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</si>
  <si>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</si>
  <si>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</si>
  <si>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</si>
  <si>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</si>
  <si>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</si>
  <si>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</si>
  <si>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</si>
  <si>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</si>
  <si>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</si>
  <si>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</si>
  <si>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</si>
  <si>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</si>
  <si>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</si>
  <si>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</si>
  <si>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</si>
  <si>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</si>
  <si>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</si>
  <si>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</si>
  <si>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</si>
  <si>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</si>
  <si>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</si>
  <si>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</si>
  <si>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</si>
  <si>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</si>
  <si>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</si>
  <si>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</si>
  <si>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</si>
  <si>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</si>
  <si>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</si>
  <si>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</si>
  <si>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</si>
  <si>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</si>
  <si>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</si>
  <si>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</si>
  <si>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</si>
  <si>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</si>
  <si>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</si>
  <si>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</si>
  <si>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</si>
  <si>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</si>
  <si>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</si>
  <si>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</si>
  <si>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</si>
  <si>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</si>
  <si>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</si>
  <si>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</si>
  <si>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</si>
  <si>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</si>
  <si>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</si>
  <si>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</si>
  <si>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</si>
  <si>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</si>
  <si>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</si>
  <si>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</si>
  <si>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</si>
  <si>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</si>
  <si>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</si>
  <si>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</si>
  <si>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</si>
  <si>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</si>
  <si>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</si>
  <si>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</si>
  <si>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</si>
  <si>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</si>
  <si>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</si>
  <si>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</si>
  <si>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</si>
  <si>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</si>
  <si>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</si>
  <si>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</si>
  <si>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</si>
  <si>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</si>
  <si>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</si>
  <si>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</si>
  <si>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</si>
  <si>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</si>
  <si>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</si>
  <si>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</si>
  <si>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</si>
  <si>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</si>
  <si>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</si>
  <si>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</si>
  <si>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</si>
  <si>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</si>
  <si>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</si>
  <si>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</si>
  <si>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</si>
  <si>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</si>
  <si>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</si>
  <si>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</si>
  <si>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</si>
  <si>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</si>
  <si>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</si>
  <si>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</si>
  <si>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</si>
  <si>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</si>
  <si>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</si>
  <si>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</si>
  <si>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</si>
  <si>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</si>
  <si>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</si>
  <si>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</si>
  <si>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</si>
  <si>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</si>
  <si>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</si>
  <si>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</si>
  <si>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</si>
  <si>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</si>
  <si>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</si>
  <si>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</si>
  <si>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</si>
  <si>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</si>
  <si>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</si>
  <si>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</si>
  <si>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</si>
  <si>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</si>
  <si>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</si>
  <si>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</si>
  <si>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</si>
  <si>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</si>
  <si>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</si>
  <si>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</si>
  <si>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</si>
  <si>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</si>
  <si>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</si>
  <si>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</si>
  <si>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</si>
  <si>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</si>
  <si>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</si>
  <si>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</si>
  <si>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</si>
  <si>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</si>
  <si>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</si>
  <si>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</si>
  <si>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</si>
  <si>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</si>
  <si>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</si>
  <si>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</si>
  <si>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</si>
  <si>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</si>
  <si>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</si>
  <si>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</si>
  <si>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</si>
  <si>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</si>
  <si>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</si>
  <si>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</si>
  <si>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</si>
  <si>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</si>
  <si>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</si>
  <si>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</si>
  <si>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</si>
  <si>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</si>
  <si>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</si>
  <si>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</si>
  <si>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</si>
  <si>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</si>
  <si>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</si>
  <si>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</si>
  <si>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</si>
  <si>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</si>
  <si>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</si>
  <si>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</si>
  <si>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</si>
  <si>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</si>
  <si>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</si>
  <si>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</si>
  <si>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</si>
  <si>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</si>
  <si>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</si>
  <si>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</si>
  <si>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</si>
  <si>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</si>
  <si>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</si>
  <si>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</si>
  <si>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</si>
  <si>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</si>
  <si>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</si>
  <si>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</si>
  <si>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</si>
  <si>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</si>
  <si>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</si>
  <si>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</si>
  <si>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</si>
  <si>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</si>
  <si>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</si>
  <si>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</si>
  <si>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</si>
  <si>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</si>
  <si>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</si>
  <si>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</si>
  <si>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</si>
  <si>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</si>
  <si>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</si>
  <si>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</si>
  <si>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</si>
  <si>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</si>
  <si>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</si>
  <si>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</si>
  <si>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</si>
  <si>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</si>
  <si>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</si>
  <si>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</si>
  <si>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</si>
  <si>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</si>
  <si>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</si>
  <si>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</si>
  <si>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</si>
  <si>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</si>
  <si>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</si>
  <si>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</si>
  <si>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</si>
  <si>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</si>
  <si>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</si>
  <si>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</si>
  <si>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</si>
  <si>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</si>
  <si>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</si>
  <si>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</si>
  <si>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</si>
  <si>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</si>
  <si>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</si>
  <si>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</si>
  <si>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</si>
  <si>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</si>
  <si>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</si>
  <si>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</si>
  <si>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</si>
  <si>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</si>
  <si>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</si>
  <si>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</si>
  <si>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</si>
  <si>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</si>
  <si>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</si>
  <si>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</si>
  <si>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</si>
  <si>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</si>
  <si>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</si>
  <si>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</si>
  <si>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</si>
  <si>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</si>
  <si>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</si>
  <si>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</si>
  <si>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</si>
  <si>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</si>
  <si>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</si>
  <si>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</si>
  <si>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</si>
  <si>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</si>
  <si>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</si>
  <si>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</si>
  <si>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</si>
  <si>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</si>
  <si>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</si>
  <si>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</si>
  <si>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</si>
  <si>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</si>
  <si>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</si>
  <si>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</si>
  <si>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</si>
  <si>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</si>
  <si>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</si>
  <si>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</si>
  <si>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</si>
  <si>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</si>
  <si>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</si>
  <si>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</si>
  <si>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</si>
  <si>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</si>
  <si>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</si>
  <si>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</si>
  <si>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</si>
  <si>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</si>
  <si>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</si>
  <si>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</si>
  <si>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</si>
  <si>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</si>
  <si>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</si>
  <si>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</si>
  <si>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</si>
  <si>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</si>
  <si>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</si>
  <si>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</si>
  <si>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</si>
  <si>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</si>
  <si>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</si>
  <si>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</si>
  <si>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</si>
  <si>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</si>
  <si>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</si>
  <si>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</si>
  <si>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</si>
  <si>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</si>
  <si>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</si>
  <si>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</si>
  <si>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</si>
  <si>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</si>
  <si>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</si>
  <si>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</si>
  <si>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</si>
  <si>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</si>
  <si>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</si>
  <si>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</si>
  <si>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</si>
  <si>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</si>
  <si>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</si>
  <si>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</si>
  <si>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</si>
  <si>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</si>
  <si>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</si>
  <si>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</si>
  <si>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</si>
  <si>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</si>
  <si>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</si>
  <si>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</si>
  <si>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</si>
  <si>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</si>
  <si>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</si>
  <si>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</si>
  <si>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</si>
  <si>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</si>
  <si>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</si>
  <si>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</si>
  <si>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</si>
  <si>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</si>
  <si>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</si>
  <si>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</si>
  <si>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</si>
  <si>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</si>
  <si>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</si>
  <si>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</si>
  <si>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</si>
  <si>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</si>
  <si>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</si>
  <si>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</si>
  <si>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</si>
  <si>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</si>
  <si>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</si>
  <si>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</si>
  <si>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</si>
  <si>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</si>
  <si>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</si>
  <si>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</si>
  <si>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</si>
  <si>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</si>
  <si>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</si>
  <si>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</si>
  <si>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</si>
  <si>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</si>
  <si>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</si>
  <si>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</si>
  <si>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</si>
  <si>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</si>
  <si>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</si>
  <si>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</si>
  <si>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</si>
  <si>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</si>
  <si>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</si>
  <si>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</si>
  <si>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</si>
  <si>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</si>
  <si>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</si>
  <si>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</si>
  <si>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</si>
  <si>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</si>
  <si>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</si>
  <si>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</si>
  <si>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</si>
  <si>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</si>
  <si>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</si>
  <si>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</si>
  <si>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</si>
  <si>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</si>
  <si>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</si>
  <si>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</si>
  <si>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</si>
  <si>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</si>
  <si>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</si>
  <si>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</si>
  <si>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</si>
  <si>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</si>
  <si>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</si>
  <si>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</si>
  <si>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</si>
  <si>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</si>
  <si>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</si>
  <si>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</si>
  <si>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</si>
  <si>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</si>
  <si>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</si>
  <si>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</si>
  <si>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</si>
  <si>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</si>
  <si>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</si>
  <si>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</si>
  <si>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</si>
  <si>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</si>
  <si>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</si>
  <si>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</si>
  <si>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</si>
  <si>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</si>
  <si>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</si>
  <si>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</si>
  <si>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</si>
  <si>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</si>
  <si>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</si>
  <si>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</si>
  <si>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</si>
  <si>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</si>
  <si>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</si>
  <si>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</si>
  <si>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</si>
  <si>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</si>
  <si>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</si>
  <si>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</si>
  <si>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</si>
  <si>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</si>
  <si>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</si>
  <si>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</si>
  <si>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</si>
  <si>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</si>
  <si>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</si>
  <si>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</si>
  <si>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</si>
  <si>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</si>
  <si>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</si>
  <si>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</si>
  <si>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</si>
  <si>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</si>
  <si>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</si>
  <si>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</si>
  <si>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</si>
  <si>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</si>
  <si>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</si>
  <si>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</si>
  <si>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</si>
  <si>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</si>
  <si>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</si>
  <si>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</si>
  <si>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</si>
  <si>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</si>
  <si>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</si>
  <si>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</si>
  <si>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</si>
  <si>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</si>
  <si>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</si>
  <si>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</si>
  <si>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</si>
  <si>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</si>
  <si>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</si>
  <si>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</si>
  <si>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</si>
  <si>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</si>
  <si>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</si>
  <si>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</si>
  <si>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</si>
  <si>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</si>
  <si>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</si>
  <si>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</si>
  <si>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</si>
  <si>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</si>
  <si>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</si>
  <si>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</si>
  <si>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</si>
  <si>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</si>
  <si>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</si>
  <si>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</si>
  <si>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</si>
  <si>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</si>
  <si>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</si>
  <si>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</si>
  <si>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</si>
  <si>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</si>
  <si>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</si>
  <si>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</si>
  <si>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</si>
  <si>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</si>
  <si>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</si>
  <si>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</si>
  <si>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</si>
  <si>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</si>
  <si>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</si>
  <si>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</si>
  <si>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</si>
  <si>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</si>
  <si>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</si>
  <si>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</si>
  <si>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</si>
  <si>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</si>
  <si>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</si>
  <si>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</si>
  <si>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</si>
  <si>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</si>
  <si>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</si>
  <si>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</si>
  <si>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</si>
  <si>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</si>
  <si>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</si>
  <si>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</si>
  <si>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</si>
  <si>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</si>
  <si>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</si>
  <si>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</si>
  <si>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</si>
  <si>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</si>
  <si>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</si>
  <si>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</si>
  <si>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</si>
  <si>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</si>
  <si>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</si>
  <si>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</si>
  <si>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</si>
  <si>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</si>
  <si>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</si>
  <si>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</si>
  <si>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</si>
  <si>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</si>
  <si>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</si>
  <si>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</si>
  <si>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</si>
  <si>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</si>
  <si>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</si>
  <si>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</si>
  <si>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</si>
  <si>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</si>
  <si>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</si>
  <si>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</si>
  <si>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</si>
  <si>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</si>
  <si>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</si>
  <si>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</si>
  <si>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</si>
  <si>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</si>
  <si>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</si>
  <si>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</si>
  <si>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</si>
  <si>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</si>
  <si>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</si>
  <si>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</si>
  <si>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</si>
  <si>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</si>
  <si>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</si>
  <si>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</si>
  <si>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</si>
  <si>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</si>
  <si>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</si>
  <si>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</si>
  <si>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</si>
  <si>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</si>
  <si>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</si>
  <si>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</si>
  <si>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</si>
  <si>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</si>
  <si>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</si>
  <si>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</si>
  <si>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</si>
  <si>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</si>
  <si>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</si>
  <si>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</si>
  <si>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</si>
  <si>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</si>
  <si>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</si>
  <si>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</si>
  <si>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</si>
  <si>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</si>
  <si>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</si>
  <si>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</si>
  <si>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</si>
  <si>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</si>
  <si>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</si>
  <si>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</si>
  <si>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</si>
  <si>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</si>
  <si>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</si>
  <si>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</si>
  <si>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</si>
  <si>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</si>
  <si>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</si>
  <si>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</si>
  <si>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</si>
  <si>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</si>
  <si>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</si>
  <si>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</si>
  <si>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</si>
  <si>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</si>
  <si>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</si>
  <si>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</si>
  <si>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</si>
  <si>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</si>
  <si>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</si>
  <si>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</si>
  <si>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</si>
  <si>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</si>
  <si>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</si>
  <si>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</si>
  <si>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</si>
  <si>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</si>
  <si>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</si>
  <si>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</si>
  <si>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</si>
  <si>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</si>
  <si>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</si>
  <si>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</si>
  <si>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</si>
  <si>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</si>
  <si>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</si>
  <si>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</si>
  <si>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</si>
  <si>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</si>
  <si>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</si>
  <si>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</si>
  <si>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</si>
  <si>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</si>
  <si>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</si>
  <si>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</si>
  <si>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</si>
  <si>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</si>
  <si>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</si>
  <si>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</si>
  <si>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</si>
  <si>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</si>
  <si>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</si>
  <si>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</si>
  <si>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</si>
  <si>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</si>
  <si>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</si>
  <si>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</si>
  <si>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</si>
  <si>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</si>
  <si>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</si>
  <si>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</si>
  <si>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</si>
  <si>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</si>
  <si>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</si>
  <si>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</si>
  <si>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</si>
  <si>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</si>
  <si>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</si>
  <si>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</si>
  <si>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</si>
  <si>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</si>
  <si>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</si>
  <si>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</si>
  <si>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</si>
  <si>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</si>
  <si>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</si>
  <si>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</si>
  <si>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</si>
  <si>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</si>
  <si>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</si>
  <si>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</si>
  <si>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</si>
  <si>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</si>
  <si>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</si>
  <si>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</si>
  <si>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</si>
  <si>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</si>
  <si>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</si>
  <si>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</si>
  <si>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</si>
  <si>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</si>
  <si>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</si>
  <si>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</si>
  <si>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</si>
  <si>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</si>
  <si>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</si>
  <si>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</si>
  <si>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</si>
  <si>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</si>
  <si>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</si>
  <si>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</si>
  <si>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</si>
  <si>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</si>
  <si>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</si>
  <si>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</si>
  <si>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</si>
  <si>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</si>
  <si>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</si>
  <si>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</si>
  <si>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</si>
  <si>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</si>
  <si>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</si>
  <si>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</si>
  <si>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</si>
  <si>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</si>
  <si>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</si>
  <si>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</si>
  <si>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</si>
  <si>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</si>
  <si>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</si>
  <si>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</si>
  <si>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</si>
  <si>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</si>
  <si>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</si>
  <si>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</si>
  <si>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</si>
  <si>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</si>
  <si>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</si>
  <si>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</si>
  <si>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</si>
  <si>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</si>
  <si>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</si>
  <si>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</si>
  <si>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</si>
  <si>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</si>
  <si>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</si>
  <si>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</si>
  <si>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</si>
  <si>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</si>
  <si>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</si>
  <si>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</si>
  <si>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</si>
  <si>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</si>
  <si>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</si>
  <si>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</si>
  <si>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</si>
  <si>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</si>
  <si>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</si>
  <si>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</si>
  <si>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</si>
  <si>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</si>
  <si>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</si>
  <si>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</si>
  <si>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</si>
  <si>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</si>
  <si>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</si>
  <si>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</si>
  <si>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</si>
  <si>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</si>
  <si>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</si>
  <si>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</si>
  <si>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</si>
  <si>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</si>
  <si>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</si>
  <si>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</si>
  <si>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</si>
  <si>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</si>
  <si>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</si>
  <si>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</si>
  <si>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</si>
  <si>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</si>
  <si>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</si>
  <si>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</si>
  <si>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</si>
  <si>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</si>
  <si>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</si>
  <si>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</si>
  <si>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</si>
  <si>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</si>
  <si>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</si>
  <si>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</si>
  <si>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</si>
  <si>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</si>
  <si>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</si>
  <si>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</si>
  <si>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</si>
  <si>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</si>
  <si>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</si>
  <si>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</si>
  <si>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</si>
  <si>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</si>
  <si>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</si>
  <si>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</si>
  <si>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</si>
  <si>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</si>
  <si>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</si>
  <si>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</si>
  <si>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</si>
  <si>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</si>
  <si>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</si>
  <si>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</si>
  <si>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</si>
  <si>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</si>
  <si>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</si>
  <si>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</si>
  <si>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</si>
  <si>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</si>
  <si>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</si>
  <si>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</si>
  <si>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</si>
  <si>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</si>
  <si>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</si>
  <si>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</si>
  <si>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</si>
  <si>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</si>
  <si>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</si>
  <si>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</si>
  <si>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</si>
  <si>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</si>
  <si>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</si>
  <si>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</si>
  <si>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</si>
  <si>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</si>
  <si>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</si>
  <si>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</si>
  <si>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</si>
  <si>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</si>
  <si>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</si>
  <si>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</si>
  <si>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</si>
  <si>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</si>
  <si>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</si>
  <si>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</si>
  <si>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</si>
  <si>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</si>
  <si>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</si>
  <si>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</si>
  <si>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</si>
  <si>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</si>
  <si>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</si>
  <si>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</si>
  <si>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</si>
  <si>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</si>
  <si>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</si>
  <si>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</si>
  <si>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</si>
  <si>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</si>
  <si>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</si>
  <si>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</si>
  <si>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</si>
  <si>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</si>
  <si>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</si>
  <si>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</si>
  <si>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</si>
  <si>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</si>
  <si>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</si>
  <si>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</si>
  <si>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</si>
  <si>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</si>
  <si>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</si>
  <si>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</si>
  <si>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</si>
  <si>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</si>
  <si>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</si>
  <si>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</si>
  <si>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</si>
  <si>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</si>
  <si>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</si>
  <si>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</si>
  <si>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</si>
  <si>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</si>
  <si>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</si>
  <si>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</si>
  <si>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</si>
  <si>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</si>
  <si>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</si>
  <si>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</si>
  <si>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</si>
  <si>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</si>
  <si>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</si>
  <si>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</si>
  <si>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</si>
  <si>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</si>
  <si>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</si>
  <si>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</si>
  <si>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</si>
  <si>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</si>
  <si>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</si>
  <si>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</si>
  <si>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</si>
  <si>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</si>
  <si>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</si>
  <si>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</si>
  <si>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</si>
  <si>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</si>
  <si>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</si>
  <si>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</si>
  <si>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</si>
  <si>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</si>
  <si>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</si>
  <si>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</si>
  <si>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</si>
  <si>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</si>
  <si>
    <t>COB: Severin Schwan</t>
  </si>
  <si>
    <t>3/25/25: AGM. Dividend CHF 9.70.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</si>
</sst>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116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177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162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84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893897" y="0"/>
          <a:ext cx="0" cy="124679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C3" dT="2025-02-04T02:43:16.42" personId="{F29822AD-7CF0-4443-937D-C2B9090ACE38}" id="{66E92422-25F4-4D79-9581-4243C33214D4}">
    <text>44265</text>
  </threadedComment>
  <threadedComment ref="FC6" dT="2025-02-04T02:44:48.53" personId="{F29822AD-7CF0-4443-937D-C2B9090ACE38}" id="{FD684FC0-139D-4FC3-95C4-BDB00926A090}">
    <text>14451</text>
  </threadedComment>
  <threadedComment ref="ER68" dT="2022-07-08T05:58:42.15" personId="{F29822AD-7CF0-4443-937D-C2B9090ACE38}" id="{4F67C440-F225-48E5-8977-D72DD0D3FDD6}">
    <text>45499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3" x14ac:dyDescent="0.25">
      <c r="A1" s="39" t="s">
        <v>55</v>
      </c>
    </row>
    <row r="2" spans="1:3" x14ac:dyDescent="0.25">
      <c r="B2" s="1" t="s">
        <v>307</v>
      </c>
      <c r="C2" s="2" t="s">
        <v>453</v>
      </c>
    </row>
    <row r="3" spans="1:3" x14ac:dyDescent="0.25">
      <c r="B3" s="1" t="s">
        <v>309</v>
      </c>
      <c r="C3" s="2" t="s">
        <v>454</v>
      </c>
    </row>
    <row r="4" spans="1:3" x14ac:dyDescent="0.25">
      <c r="B4" s="1" t="s">
        <v>332</v>
      </c>
      <c r="C4" s="2" t="s">
        <v>456</v>
      </c>
    </row>
    <row r="5" spans="1:3" x14ac:dyDescent="0.25">
      <c r="B5" s="2" t="s">
        <v>444</v>
      </c>
      <c r="C5" s="2" t="s">
        <v>455</v>
      </c>
    </row>
    <row r="6" spans="1:3" x14ac:dyDescent="0.25">
      <c r="B6" s="2" t="s">
        <v>447</v>
      </c>
      <c r="C6" s="2" t="s">
        <v>506</v>
      </c>
    </row>
    <row r="7" spans="1:3" x14ac:dyDescent="0.25">
      <c r="B7" s="2" t="s">
        <v>449</v>
      </c>
      <c r="C7" s="2" t="s">
        <v>450</v>
      </c>
    </row>
    <row r="8" spans="1:3" x14ac:dyDescent="0.25">
      <c r="B8" s="2" t="s">
        <v>411</v>
      </c>
      <c r="C8" s="2" t="s">
        <v>412</v>
      </c>
    </row>
    <row r="9" spans="1:3" x14ac:dyDescent="0.25">
      <c r="B9" s="2" t="s">
        <v>445</v>
      </c>
      <c r="C9" s="2" t="s">
        <v>446</v>
      </c>
    </row>
    <row r="10" spans="1:3" x14ac:dyDescent="0.25">
      <c r="B10" s="2" t="s">
        <v>417</v>
      </c>
      <c r="C10" s="2" t="s">
        <v>420</v>
      </c>
    </row>
    <row r="11" spans="1:3" x14ac:dyDescent="0.25">
      <c r="B11" s="2" t="s">
        <v>418</v>
      </c>
      <c r="C11" s="2" t="s">
        <v>419</v>
      </c>
    </row>
    <row r="12" spans="1:3" x14ac:dyDescent="0.25">
      <c r="B12" s="2" t="s">
        <v>421</v>
      </c>
      <c r="C12" s="2" t="s">
        <v>422</v>
      </c>
    </row>
    <row r="13" spans="1:3" x14ac:dyDescent="0.25">
      <c r="B13" s="2" t="s">
        <v>451</v>
      </c>
      <c r="C13" s="2" t="s">
        <v>452</v>
      </c>
    </row>
    <row r="19" spans="2:3" x14ac:dyDescent="0.25">
      <c r="B19" s="2" t="s">
        <v>406</v>
      </c>
    </row>
    <row r="20" spans="2:3" x14ac:dyDescent="0.25">
      <c r="B20" s="2" t="s">
        <v>463</v>
      </c>
    </row>
    <row r="22" spans="2:3" ht="13" x14ac:dyDescent="0.3">
      <c r="B22" s="40" t="s">
        <v>824</v>
      </c>
    </row>
    <row r="23" spans="2:3" x14ac:dyDescent="0.25">
      <c r="B23" s="1" t="s">
        <v>308</v>
      </c>
      <c r="C23" s="2" t="s">
        <v>825</v>
      </c>
    </row>
    <row r="24" spans="2:3" x14ac:dyDescent="0.25">
      <c r="B24" s="1" t="s">
        <v>310</v>
      </c>
      <c r="C24" s="2" t="s">
        <v>826</v>
      </c>
    </row>
    <row r="25" spans="2:3" x14ac:dyDescent="0.25">
      <c r="B25" s="2" t="s">
        <v>448</v>
      </c>
      <c r="C25" s="2" t="s">
        <v>827</v>
      </c>
    </row>
    <row r="26" spans="2:3" x14ac:dyDescent="0.25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796875" defaultRowHeight="12.5" x14ac:dyDescent="0.25"/>
  <cols>
    <col min="1" max="1" width="5" style="5" bestFit="1" customWidth="1"/>
    <col min="2" max="2" width="13.1796875" style="5" customWidth="1"/>
    <col min="3" max="3" width="19.26953125" style="5" customWidth="1"/>
    <col min="4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165</v>
      </c>
    </row>
    <row r="3" spans="1:3" x14ac:dyDescent="0.25">
      <c r="B3" s="5" t="s">
        <v>51</v>
      </c>
      <c r="C3" s="5" t="s">
        <v>166</v>
      </c>
    </row>
    <row r="4" spans="1:3" x14ac:dyDescent="0.25">
      <c r="B4" s="5" t="s">
        <v>44</v>
      </c>
      <c r="C4" s="15" t="s">
        <v>305</v>
      </c>
    </row>
    <row r="5" spans="1:3" x14ac:dyDescent="0.25">
      <c r="B5" s="5" t="s">
        <v>65</v>
      </c>
      <c r="C5" s="5" t="s">
        <v>208</v>
      </c>
    </row>
    <row r="6" spans="1:3" x14ac:dyDescent="0.25">
      <c r="B6" s="5" t="s">
        <v>168</v>
      </c>
      <c r="C6" s="5" t="s">
        <v>169</v>
      </c>
    </row>
    <row r="7" spans="1:3" x14ac:dyDescent="0.25">
      <c r="B7" s="5" t="s">
        <v>106</v>
      </c>
      <c r="C7" s="5" t="s">
        <v>286</v>
      </c>
    </row>
    <row r="8" spans="1:3" x14ac:dyDescent="0.25">
      <c r="B8" s="5" t="s">
        <v>913</v>
      </c>
      <c r="C8" s="5" t="s">
        <v>914</v>
      </c>
    </row>
    <row r="9" spans="1:3" x14ac:dyDescent="0.25">
      <c r="B9" s="5" t="s">
        <v>915</v>
      </c>
      <c r="C9" s="5" t="s">
        <v>916</v>
      </c>
    </row>
    <row r="10" spans="1:3" x14ac:dyDescent="0.25">
      <c r="B10" s="5" t="s">
        <v>912</v>
      </c>
      <c r="C10" s="5" t="s">
        <v>918</v>
      </c>
    </row>
    <row r="11" spans="1:3" x14ac:dyDescent="0.25">
      <c r="B11" s="15" t="s">
        <v>9</v>
      </c>
      <c r="C11" s="3" t="s">
        <v>917</v>
      </c>
    </row>
    <row r="12" spans="1:3" x14ac:dyDescent="0.25">
      <c r="B12" s="3" t="s">
        <v>75</v>
      </c>
      <c r="C12" s="3" t="s">
        <v>485</v>
      </c>
    </row>
    <row r="13" spans="1:3" x14ac:dyDescent="0.25">
      <c r="B13" s="5" t="s">
        <v>53</v>
      </c>
    </row>
    <row r="14" spans="1:3" ht="13" x14ac:dyDescent="0.3">
      <c r="C14" s="16" t="s">
        <v>167</v>
      </c>
    </row>
    <row r="15" spans="1:3" x14ac:dyDescent="0.25">
      <c r="C15" s="5" t="s">
        <v>170</v>
      </c>
    </row>
    <row r="17" spans="3:3" ht="13" x14ac:dyDescent="0.3">
      <c r="C17" s="16" t="s">
        <v>292</v>
      </c>
    </row>
    <row r="18" spans="3:3" x14ac:dyDescent="0.25">
      <c r="C18" s="5" t="s">
        <v>171</v>
      </c>
    </row>
    <row r="20" spans="3:3" ht="13" x14ac:dyDescent="0.3">
      <c r="C20" s="16" t="s">
        <v>218</v>
      </c>
    </row>
    <row r="21" spans="3:3" x14ac:dyDescent="0.25">
      <c r="C21" s="5" t="s">
        <v>219</v>
      </c>
    </row>
    <row r="23" spans="3:3" ht="13" x14ac:dyDescent="0.3">
      <c r="C23" s="16" t="s">
        <v>220</v>
      </c>
    </row>
    <row r="25" spans="3:3" ht="13" x14ac:dyDescent="0.3">
      <c r="C25" s="16" t="s">
        <v>403</v>
      </c>
    </row>
    <row r="26" spans="3:3" x14ac:dyDescent="0.25">
      <c r="C26" s="3" t="s">
        <v>396</v>
      </c>
    </row>
    <row r="27" spans="3:3" x14ac:dyDescent="0.25">
      <c r="C27" s="3"/>
    </row>
    <row r="28" spans="3:3" ht="13" x14ac:dyDescent="0.3">
      <c r="C28" s="16" t="s">
        <v>516</v>
      </c>
    </row>
    <row r="29" spans="3:3" x14ac:dyDescent="0.25">
      <c r="C29" s="3" t="s">
        <v>517</v>
      </c>
    </row>
    <row r="30" spans="3:3" x14ac:dyDescent="0.25">
      <c r="C30" s="3"/>
    </row>
    <row r="31" spans="3:3" ht="13" x14ac:dyDescent="0.3">
      <c r="C31" s="16" t="s">
        <v>518</v>
      </c>
    </row>
    <row r="32" spans="3:3" x14ac:dyDescent="0.25">
      <c r="C32" s="3" t="s">
        <v>519</v>
      </c>
    </row>
    <row r="33" spans="3:29" x14ac:dyDescent="0.25">
      <c r="C33" s="3"/>
    </row>
    <row r="34" spans="3:29" ht="13" x14ac:dyDescent="0.3">
      <c r="C34" s="16" t="s">
        <v>513</v>
      </c>
    </row>
    <row r="35" spans="3:29" x14ac:dyDescent="0.25">
      <c r="C35" s="3" t="s">
        <v>520</v>
      </c>
    </row>
    <row r="36" spans="3:29" x14ac:dyDescent="0.25">
      <c r="C36" s="3"/>
    </row>
    <row r="37" spans="3:29" ht="13" x14ac:dyDescent="0.3">
      <c r="C37" s="16" t="s">
        <v>680</v>
      </c>
    </row>
    <row r="38" spans="3:29" x14ac:dyDescent="0.25">
      <c r="C38" s="3" t="s">
        <v>681</v>
      </c>
    </row>
    <row r="39" spans="3:29" x14ac:dyDescent="0.25">
      <c r="C39" s="3"/>
    </row>
    <row r="40" spans="3:29" ht="13" x14ac:dyDescent="0.3">
      <c r="C40" s="16" t="s">
        <v>682</v>
      </c>
    </row>
    <row r="41" spans="3:29" x14ac:dyDescent="0.25">
      <c r="C41" s="3" t="s">
        <v>683</v>
      </c>
    </row>
    <row r="43" spans="3:29" ht="13" x14ac:dyDescent="0.3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ht="13" x14ac:dyDescent="0.3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5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5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5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5">
      <c r="B50" s="3" t="s">
        <v>397</v>
      </c>
    </row>
    <row r="51" spans="2:4" x14ac:dyDescent="0.25">
      <c r="C51" s="55">
        <v>39387</v>
      </c>
      <c r="D51" s="5">
        <v>197</v>
      </c>
    </row>
    <row r="52" spans="2:4" x14ac:dyDescent="0.25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794</v>
      </c>
    </row>
    <row r="3" spans="1:3" x14ac:dyDescent="0.25">
      <c r="B3" s="2" t="s">
        <v>815</v>
      </c>
    </row>
    <row r="4" spans="1:3" x14ac:dyDescent="0.25">
      <c r="B4" s="2" t="s">
        <v>44</v>
      </c>
      <c r="C4" s="2" t="s">
        <v>821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796875" defaultRowHeight="12.5" x14ac:dyDescent="0.25"/>
  <cols>
    <col min="1" max="1" width="5" style="5" bestFit="1" customWidth="1"/>
    <col min="2" max="2" width="14.179687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A2" s="13"/>
      <c r="B2" s="5" t="s">
        <v>49</v>
      </c>
      <c r="C2" s="5" t="s">
        <v>23</v>
      </c>
    </row>
    <row r="3" spans="1:3" x14ac:dyDescent="0.25">
      <c r="A3" s="13"/>
      <c r="B3" s="5" t="s">
        <v>51</v>
      </c>
      <c r="C3" s="5" t="s">
        <v>190</v>
      </c>
    </row>
    <row r="4" spans="1:3" x14ac:dyDescent="0.25">
      <c r="A4" s="13"/>
      <c r="B4" s="5" t="s">
        <v>44</v>
      </c>
      <c r="C4" s="5" t="s">
        <v>231</v>
      </c>
    </row>
    <row r="5" spans="1:3" x14ac:dyDescent="0.25">
      <c r="A5" s="13"/>
      <c r="C5" s="3" t="s">
        <v>534</v>
      </c>
    </row>
    <row r="6" spans="1:3" x14ac:dyDescent="0.25">
      <c r="A6" s="13"/>
      <c r="B6" s="5" t="s">
        <v>191</v>
      </c>
      <c r="C6" s="5" t="s">
        <v>192</v>
      </c>
    </row>
    <row r="7" spans="1:3" x14ac:dyDescent="0.25">
      <c r="A7" s="13"/>
      <c r="C7" s="5" t="s">
        <v>193</v>
      </c>
    </row>
    <row r="8" spans="1:3" x14ac:dyDescent="0.25">
      <c r="B8" s="5" t="s">
        <v>65</v>
      </c>
      <c r="C8" s="3" t="s">
        <v>532</v>
      </c>
    </row>
    <row r="9" spans="1:3" x14ac:dyDescent="0.25">
      <c r="B9" s="5" t="s">
        <v>66</v>
      </c>
      <c r="C9" s="3" t="s">
        <v>531</v>
      </c>
    </row>
    <row r="10" spans="1:3" x14ac:dyDescent="0.25">
      <c r="B10" s="5" t="s">
        <v>81</v>
      </c>
      <c r="C10" s="5" t="s">
        <v>526</v>
      </c>
    </row>
    <row r="11" spans="1:3" x14ac:dyDescent="0.25">
      <c r="B11" s="3" t="s">
        <v>75</v>
      </c>
      <c r="C11" s="3" t="s">
        <v>561</v>
      </c>
    </row>
    <row r="12" spans="1:3" x14ac:dyDescent="0.25">
      <c r="B12" s="3" t="s">
        <v>96</v>
      </c>
      <c r="C12" s="3" t="s">
        <v>533</v>
      </c>
    </row>
    <row r="13" spans="1:3" x14ac:dyDescent="0.25">
      <c r="B13" s="3"/>
      <c r="C13" s="3" t="s">
        <v>535</v>
      </c>
    </row>
    <row r="14" spans="1:3" x14ac:dyDescent="0.25">
      <c r="B14" s="3"/>
      <c r="C14" s="3" t="s">
        <v>538</v>
      </c>
    </row>
    <row r="15" spans="1:3" x14ac:dyDescent="0.25">
      <c r="B15" s="3"/>
      <c r="C15" s="3" t="s">
        <v>545</v>
      </c>
    </row>
    <row r="16" spans="1:3" x14ac:dyDescent="0.25">
      <c r="B16" s="3"/>
      <c r="C16" s="3" t="s">
        <v>554</v>
      </c>
    </row>
    <row r="17" spans="2:3" x14ac:dyDescent="0.25">
      <c r="B17" s="3"/>
      <c r="C17" s="3" t="s">
        <v>562</v>
      </c>
    </row>
    <row r="18" spans="2:3" x14ac:dyDescent="0.25">
      <c r="B18" s="3"/>
      <c r="C18" s="3" t="s">
        <v>568</v>
      </c>
    </row>
    <row r="19" spans="2:3" x14ac:dyDescent="0.25">
      <c r="B19" s="5" t="s">
        <v>53</v>
      </c>
    </row>
    <row r="20" spans="2:3" ht="13" x14ac:dyDescent="0.3">
      <c r="C20" s="16" t="s">
        <v>430</v>
      </c>
    </row>
    <row r="21" spans="2:3" x14ac:dyDescent="0.25">
      <c r="C21" s="3" t="s">
        <v>428</v>
      </c>
    </row>
    <row r="22" spans="2:3" x14ac:dyDescent="0.25">
      <c r="C22" s="3" t="s">
        <v>429</v>
      </c>
    </row>
    <row r="23" spans="2:3" x14ac:dyDescent="0.25">
      <c r="C23" s="3"/>
    </row>
    <row r="24" spans="2:3" ht="13" x14ac:dyDescent="0.3">
      <c r="C24" s="16" t="s">
        <v>596</v>
      </c>
    </row>
    <row r="25" spans="2:3" x14ac:dyDescent="0.25">
      <c r="C25" s="3" t="s">
        <v>668</v>
      </c>
    </row>
    <row r="26" spans="2:3" ht="13" x14ac:dyDescent="0.3">
      <c r="C26" s="16"/>
    </row>
    <row r="27" spans="2:3" ht="13" x14ac:dyDescent="0.3">
      <c r="C27" s="16" t="s">
        <v>597</v>
      </c>
    </row>
    <row r="28" spans="2:3" x14ac:dyDescent="0.25">
      <c r="C28" s="3" t="s">
        <v>666</v>
      </c>
    </row>
    <row r="29" spans="2:3" x14ac:dyDescent="0.25">
      <c r="C29" s="3" t="s">
        <v>667</v>
      </c>
    </row>
    <row r="30" spans="2:3" x14ac:dyDescent="0.25">
      <c r="C30" s="3"/>
    </row>
    <row r="31" spans="2:3" ht="13" x14ac:dyDescent="0.3">
      <c r="C31" s="16"/>
    </row>
    <row r="32" spans="2:3" ht="13" x14ac:dyDescent="0.3">
      <c r="C32" s="16" t="s">
        <v>598</v>
      </c>
    </row>
    <row r="33" spans="3:3" ht="13" x14ac:dyDescent="0.3">
      <c r="C33" s="16" t="s">
        <v>669</v>
      </c>
    </row>
    <row r="34" spans="3:3" x14ac:dyDescent="0.25">
      <c r="C34" s="3"/>
    </row>
    <row r="35" spans="3:3" ht="13" x14ac:dyDescent="0.3">
      <c r="C35" s="16" t="s">
        <v>525</v>
      </c>
    </row>
    <row r="36" spans="3:3" x14ac:dyDescent="0.25">
      <c r="C36" s="3" t="s">
        <v>567</v>
      </c>
    </row>
    <row r="37" spans="3:3" x14ac:dyDescent="0.25">
      <c r="C37" s="3" t="s">
        <v>566</v>
      </c>
    </row>
    <row r="38" spans="3:3" ht="13" x14ac:dyDescent="0.3">
      <c r="C38" s="16"/>
    </row>
    <row r="39" spans="3:3" ht="13" x14ac:dyDescent="0.3">
      <c r="C39" s="16" t="s">
        <v>226</v>
      </c>
    </row>
    <row r="40" spans="3:3" x14ac:dyDescent="0.25">
      <c r="C40" s="5" t="s">
        <v>223</v>
      </c>
    </row>
    <row r="41" spans="3:3" x14ac:dyDescent="0.25">
      <c r="C41" s="5" t="s">
        <v>224</v>
      </c>
    </row>
    <row r="42" spans="3:3" x14ac:dyDescent="0.25">
      <c r="C42" s="5" t="s">
        <v>225</v>
      </c>
    </row>
    <row r="43" spans="3:3" x14ac:dyDescent="0.25">
      <c r="C43" s="3" t="s">
        <v>541</v>
      </c>
    </row>
    <row r="45" spans="3:3" ht="13" x14ac:dyDescent="0.3">
      <c r="C45" s="16" t="s">
        <v>540</v>
      </c>
    </row>
    <row r="46" spans="3:3" x14ac:dyDescent="0.25">
      <c r="C46" s="3" t="s">
        <v>539</v>
      </c>
    </row>
    <row r="47" spans="3:3" x14ac:dyDescent="0.25">
      <c r="C47" s="3" t="s">
        <v>542</v>
      </c>
    </row>
    <row r="48" spans="3:3" x14ac:dyDescent="0.25">
      <c r="C48" s="3"/>
    </row>
    <row r="49" spans="3:3" ht="13" x14ac:dyDescent="0.3">
      <c r="C49" s="16" t="s">
        <v>426</v>
      </c>
    </row>
    <row r="50" spans="3:3" x14ac:dyDescent="0.25">
      <c r="C50" s="15" t="s">
        <v>229</v>
      </c>
    </row>
    <row r="52" spans="3:3" ht="13" x14ac:dyDescent="0.3">
      <c r="C52" s="16" t="s">
        <v>227</v>
      </c>
    </row>
    <row r="53" spans="3:3" x14ac:dyDescent="0.25">
      <c r="C53" s="5" t="s">
        <v>228</v>
      </c>
    </row>
    <row r="55" spans="3:3" ht="13" x14ac:dyDescent="0.3">
      <c r="C55" s="16" t="s">
        <v>423</v>
      </c>
    </row>
    <row r="56" spans="3:3" x14ac:dyDescent="0.25">
      <c r="C56" s="3" t="s">
        <v>427</v>
      </c>
    </row>
    <row r="57" spans="3:3" ht="13" x14ac:dyDescent="0.3">
      <c r="C57" s="16"/>
    </row>
    <row r="58" spans="3:3" x14ac:dyDescent="0.25">
      <c r="C58" s="3" t="s">
        <v>424</v>
      </c>
    </row>
    <row r="59" spans="3:3" x14ac:dyDescent="0.25">
      <c r="C59" s="3" t="s">
        <v>425</v>
      </c>
    </row>
    <row r="60" spans="3:3" x14ac:dyDescent="0.25">
      <c r="C60" s="3"/>
    </row>
    <row r="61" spans="3:3" ht="13" x14ac:dyDescent="0.3">
      <c r="C61" s="16" t="s">
        <v>536</v>
      </c>
    </row>
    <row r="62" spans="3:3" x14ac:dyDescent="0.25">
      <c r="C62" s="3" t="s">
        <v>537</v>
      </c>
    </row>
    <row r="63" spans="3:3" x14ac:dyDescent="0.25">
      <c r="C63" s="5" t="s">
        <v>230</v>
      </c>
    </row>
    <row r="65" spans="3:3" ht="13" x14ac:dyDescent="0.3">
      <c r="C65" s="16" t="s">
        <v>258</v>
      </c>
    </row>
    <row r="66" spans="3:3" x14ac:dyDescent="0.25">
      <c r="C66" s="5" t="s">
        <v>259</v>
      </c>
    </row>
    <row r="68" spans="3:3" ht="13" x14ac:dyDescent="0.3">
      <c r="C68" s="16" t="s">
        <v>555</v>
      </c>
    </row>
    <row r="69" spans="3:3" x14ac:dyDescent="0.25">
      <c r="C69" s="3" t="s">
        <v>556</v>
      </c>
    </row>
    <row r="70" spans="3:3" x14ac:dyDescent="0.25">
      <c r="C70" s="3" t="s">
        <v>557</v>
      </c>
    </row>
    <row r="71" spans="3:3" x14ac:dyDescent="0.25">
      <c r="C71" s="3" t="s">
        <v>558</v>
      </c>
    </row>
    <row r="73" spans="3:3" ht="13" x14ac:dyDescent="0.3">
      <c r="C73" s="16" t="s">
        <v>439</v>
      </c>
    </row>
    <row r="74" spans="3:3" x14ac:dyDescent="0.25">
      <c r="C74" s="3" t="s">
        <v>437</v>
      </c>
    </row>
    <row r="75" spans="3:3" x14ac:dyDescent="0.25">
      <c r="C75" s="3" t="s">
        <v>440</v>
      </c>
    </row>
    <row r="76" spans="3:3" x14ac:dyDescent="0.25">
      <c r="C76" s="3" t="s">
        <v>441</v>
      </c>
    </row>
    <row r="77" spans="3:3" x14ac:dyDescent="0.25">
      <c r="C77" s="3"/>
    </row>
    <row r="78" spans="3:3" ht="13" x14ac:dyDescent="0.3">
      <c r="C78" s="16" t="s">
        <v>432</v>
      </c>
    </row>
    <row r="79" spans="3:3" x14ac:dyDescent="0.25">
      <c r="C79" s="3" t="s">
        <v>433</v>
      </c>
    </row>
    <row r="80" spans="3:3" x14ac:dyDescent="0.25">
      <c r="C80" s="3"/>
    </row>
    <row r="81" spans="3:3" ht="13" x14ac:dyDescent="0.3">
      <c r="C81" s="16" t="s">
        <v>434</v>
      </c>
    </row>
    <row r="82" spans="3:3" x14ac:dyDescent="0.25">
      <c r="C82" s="3" t="s">
        <v>435</v>
      </c>
    </row>
    <row r="83" spans="3:3" x14ac:dyDescent="0.25">
      <c r="C83" s="3"/>
    </row>
    <row r="84" spans="3:3" x14ac:dyDescent="0.25">
      <c r="C84" s="3" t="s">
        <v>415</v>
      </c>
    </row>
    <row r="85" spans="3:3" ht="13" x14ac:dyDescent="0.3">
      <c r="C85" s="16" t="s">
        <v>438</v>
      </c>
    </row>
    <row r="86" spans="3:3" ht="13" x14ac:dyDescent="0.3">
      <c r="C86" s="16"/>
    </row>
    <row r="87" spans="3:3" ht="13" x14ac:dyDescent="0.3">
      <c r="C87" s="16" t="s">
        <v>523</v>
      </c>
    </row>
    <row r="88" spans="3:3" x14ac:dyDescent="0.25">
      <c r="C88" s="3" t="s">
        <v>524</v>
      </c>
    </row>
    <row r="89" spans="3:3" x14ac:dyDescent="0.25">
      <c r="C89" s="3"/>
    </row>
    <row r="90" spans="3:3" ht="13" x14ac:dyDescent="0.3">
      <c r="C90" s="16" t="s">
        <v>546</v>
      </c>
    </row>
    <row r="91" spans="3:3" x14ac:dyDescent="0.25">
      <c r="C91" s="3" t="s">
        <v>547</v>
      </c>
    </row>
    <row r="92" spans="3:3" x14ac:dyDescent="0.25">
      <c r="C92" s="3"/>
    </row>
    <row r="93" spans="3:3" ht="13" x14ac:dyDescent="0.3">
      <c r="C93" s="16" t="s">
        <v>559</v>
      </c>
    </row>
    <row r="94" spans="3:3" x14ac:dyDescent="0.25">
      <c r="C94" s="3"/>
    </row>
    <row r="95" spans="3:3" ht="13" x14ac:dyDescent="0.3">
      <c r="C95" s="16" t="s">
        <v>560</v>
      </c>
    </row>
    <row r="96" spans="3:3" ht="13" x14ac:dyDescent="0.3">
      <c r="C96" s="16"/>
    </row>
    <row r="97" spans="2:4" ht="13" x14ac:dyDescent="0.3">
      <c r="C97" s="16" t="s">
        <v>563</v>
      </c>
    </row>
    <row r="98" spans="2:4" ht="13" x14ac:dyDescent="0.3">
      <c r="C98" s="16"/>
    </row>
    <row r="99" spans="2:4" ht="13" x14ac:dyDescent="0.3">
      <c r="C99" s="16" t="s">
        <v>564</v>
      </c>
    </row>
    <row r="100" spans="2:4" ht="13" x14ac:dyDescent="0.3">
      <c r="C100" s="16"/>
    </row>
    <row r="101" spans="2:4" ht="13" x14ac:dyDescent="0.3">
      <c r="C101" s="16" t="s">
        <v>565</v>
      </c>
    </row>
    <row r="102" spans="2:4" ht="13" x14ac:dyDescent="0.3">
      <c r="C102" s="16"/>
    </row>
    <row r="103" spans="2:4" ht="13" x14ac:dyDescent="0.3">
      <c r="C103" s="16" t="s">
        <v>569</v>
      </c>
    </row>
    <row r="104" spans="2:4" x14ac:dyDescent="0.25">
      <c r="C104" s="3" t="s">
        <v>570</v>
      </c>
    </row>
    <row r="105" spans="2:4" ht="13" x14ac:dyDescent="0.3">
      <c r="C105" s="16"/>
    </row>
    <row r="106" spans="2:4" ht="13" x14ac:dyDescent="0.3">
      <c r="C106" s="16" t="s">
        <v>571</v>
      </c>
    </row>
    <row r="107" spans="2:4" ht="13" x14ac:dyDescent="0.3">
      <c r="C107" s="16"/>
    </row>
    <row r="108" spans="2:4" ht="13" x14ac:dyDescent="0.3">
      <c r="C108" s="16"/>
    </row>
    <row r="109" spans="2:4" ht="13" x14ac:dyDescent="0.3">
      <c r="C109" s="16"/>
    </row>
    <row r="110" spans="2:4" x14ac:dyDescent="0.25">
      <c r="B110" s="3" t="s">
        <v>397</v>
      </c>
    </row>
    <row r="111" spans="2:4" x14ac:dyDescent="0.25">
      <c r="C111" s="55">
        <v>39387</v>
      </c>
      <c r="D111" s="5">
        <v>194</v>
      </c>
    </row>
    <row r="112" spans="2:4" x14ac:dyDescent="0.25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1640625" defaultRowHeight="12.5" x14ac:dyDescent="0.25"/>
  <cols>
    <col min="1" max="1" width="5" bestFit="1" customWidth="1"/>
    <col min="2" max="2" width="22.453125" customWidth="1"/>
    <col min="3" max="26" width="8.7265625" customWidth="1"/>
  </cols>
  <sheetData>
    <row r="1" spans="1:26" x14ac:dyDescent="0.25">
      <c r="A1" s="39" t="s">
        <v>55</v>
      </c>
    </row>
    <row r="3" spans="1:26" x14ac:dyDescent="0.25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5">
      <c r="B4" s="2" t="s">
        <v>543</v>
      </c>
    </row>
    <row r="5" spans="1:26" x14ac:dyDescent="0.25">
      <c r="B5" s="2" t="s">
        <v>544</v>
      </c>
    </row>
    <row r="8" spans="1:26" x14ac:dyDescent="0.25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5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5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5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5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ht="13" x14ac:dyDescent="0.3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801</v>
      </c>
    </row>
    <row r="3" spans="1:3" x14ac:dyDescent="0.25">
      <c r="B3" s="2" t="s">
        <v>815</v>
      </c>
      <c r="C3" s="2" t="s">
        <v>851</v>
      </c>
    </row>
    <row r="4" spans="1:3" x14ac:dyDescent="0.25">
      <c r="B4" s="2" t="s">
        <v>44</v>
      </c>
      <c r="C4" s="2" t="s">
        <v>857</v>
      </c>
    </row>
    <row r="5" spans="1:3" x14ac:dyDescent="0.25">
      <c r="B5" s="2" t="s">
        <v>818</v>
      </c>
      <c r="C5" s="2" t="s">
        <v>849</v>
      </c>
    </row>
    <row r="6" spans="1:3" x14ac:dyDescent="0.25">
      <c r="B6" s="2" t="s">
        <v>65</v>
      </c>
      <c r="C6" s="2" t="s">
        <v>847</v>
      </c>
    </row>
    <row r="7" spans="1:3" x14ac:dyDescent="0.25">
      <c r="B7" s="2" t="s">
        <v>53</v>
      </c>
    </row>
    <row r="8" spans="1:3" ht="13" x14ac:dyDescent="0.3">
      <c r="C8" s="40" t="s">
        <v>853</v>
      </c>
    </row>
    <row r="9" spans="1:3" x14ac:dyDescent="0.25">
      <c r="C9" s="2" t="s">
        <v>852</v>
      </c>
    </row>
    <row r="10" spans="1:3" x14ac:dyDescent="0.25">
      <c r="C10" s="2" t="s">
        <v>854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24</v>
      </c>
    </row>
    <row r="3" spans="1:3" x14ac:dyDescent="0.25">
      <c r="B3" s="5" t="s">
        <v>51</v>
      </c>
      <c r="C3" s="5" t="s">
        <v>260</v>
      </c>
    </row>
    <row r="4" spans="1:3" x14ac:dyDescent="0.25">
      <c r="B4" s="5" t="s">
        <v>44</v>
      </c>
      <c r="C4" s="5" t="s">
        <v>261</v>
      </c>
    </row>
    <row r="5" spans="1:3" x14ac:dyDescent="0.25">
      <c r="B5" s="5" t="s">
        <v>106</v>
      </c>
      <c r="C5" s="15" t="s">
        <v>286</v>
      </c>
    </row>
    <row r="6" spans="1:3" x14ac:dyDescent="0.25">
      <c r="B6" s="5" t="s">
        <v>53</v>
      </c>
    </row>
    <row r="7" spans="1:3" ht="13" x14ac:dyDescent="0.3">
      <c r="C7" s="16" t="s">
        <v>237</v>
      </c>
    </row>
    <row r="8" spans="1:3" x14ac:dyDescent="0.25">
      <c r="C8" s="5" t="s">
        <v>238</v>
      </c>
    </row>
    <row r="10" spans="1:3" ht="13" x14ac:dyDescent="0.3">
      <c r="C10" s="16" t="s">
        <v>264</v>
      </c>
    </row>
    <row r="12" spans="1:3" ht="13" x14ac:dyDescent="0.3">
      <c r="C12" s="16" t="s">
        <v>262</v>
      </c>
    </row>
    <row r="14" spans="1:3" ht="13" x14ac:dyDescent="0.3">
      <c r="C14" s="16" t="s">
        <v>263</v>
      </c>
    </row>
    <row r="16" spans="1:3" ht="13" x14ac:dyDescent="0.3">
      <c r="C16" s="16" t="s">
        <v>442</v>
      </c>
    </row>
    <row r="17" spans="2:4" x14ac:dyDescent="0.25">
      <c r="C17" s="3" t="s">
        <v>443</v>
      </c>
    </row>
    <row r="18" spans="2:4" x14ac:dyDescent="0.25">
      <c r="C18" s="15"/>
    </row>
    <row r="19" spans="2:4" ht="13" x14ac:dyDescent="0.3">
      <c r="C19" s="16" t="s">
        <v>436</v>
      </c>
    </row>
    <row r="21" spans="2:4" x14ac:dyDescent="0.25">
      <c r="B21" s="3" t="s">
        <v>397</v>
      </c>
    </row>
    <row r="22" spans="2:4" x14ac:dyDescent="0.25">
      <c r="C22" s="55">
        <v>39387</v>
      </c>
      <c r="D22" s="5">
        <v>109</v>
      </c>
    </row>
    <row r="23" spans="2:4" x14ac:dyDescent="0.25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34</v>
      </c>
    </row>
    <row r="3" spans="1:3" x14ac:dyDescent="0.25">
      <c r="B3" s="5" t="s">
        <v>51</v>
      </c>
      <c r="C3" s="5" t="s">
        <v>245</v>
      </c>
    </row>
    <row r="4" spans="1:3" x14ac:dyDescent="0.25">
      <c r="B4" s="5" t="s">
        <v>44</v>
      </c>
      <c r="C4" s="5" t="s">
        <v>246</v>
      </c>
    </row>
    <row r="5" spans="1:3" x14ac:dyDescent="0.25">
      <c r="B5" s="5" t="s">
        <v>53</v>
      </c>
    </row>
    <row r="6" spans="1:3" ht="13" x14ac:dyDescent="0.3">
      <c r="C6" s="16" t="s">
        <v>247</v>
      </c>
    </row>
    <row r="7" spans="1:3" x14ac:dyDescent="0.25">
      <c r="C7" s="5" t="s">
        <v>248</v>
      </c>
    </row>
    <row r="9" spans="1:3" ht="13" x14ac:dyDescent="0.3">
      <c r="C9" s="16" t="s">
        <v>249</v>
      </c>
    </row>
    <row r="10" spans="1:3" x14ac:dyDescent="0.25">
      <c r="C10" s="5" t="s">
        <v>250</v>
      </c>
    </row>
    <row r="12" spans="1:3" ht="13" x14ac:dyDescent="0.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  <c r="C2" s="2" t="s">
        <v>31</v>
      </c>
    </row>
    <row r="3" spans="1:3" x14ac:dyDescent="0.25">
      <c r="B3" s="2" t="s">
        <v>51</v>
      </c>
      <c r="C3" s="2" t="s">
        <v>510</v>
      </c>
    </row>
    <row r="4" spans="1:3" x14ac:dyDescent="0.25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39" t="s">
        <v>55</v>
      </c>
    </row>
    <row r="2" spans="1:3" x14ac:dyDescent="0.25">
      <c r="B2" t="s">
        <v>814</v>
      </c>
      <c r="C2" s="2" t="s">
        <v>968</v>
      </c>
    </row>
    <row r="3" spans="1:3" x14ac:dyDescent="0.25">
      <c r="B3" t="s">
        <v>815</v>
      </c>
      <c r="C3" t="s">
        <v>961</v>
      </c>
    </row>
    <row r="4" spans="1:3" x14ac:dyDescent="0.25">
      <c r="B4" t="s">
        <v>44</v>
      </c>
      <c r="C4" t="s">
        <v>962</v>
      </c>
    </row>
    <row r="5" spans="1:3" x14ac:dyDescent="0.25">
      <c r="B5" s="2" t="s">
        <v>818</v>
      </c>
      <c r="C5" s="2" t="s">
        <v>885</v>
      </c>
    </row>
    <row r="6" spans="1:3" x14ac:dyDescent="0.25">
      <c r="B6" t="s">
        <v>53</v>
      </c>
    </row>
    <row r="7" spans="1:3" ht="13" x14ac:dyDescent="0.3">
      <c r="C7" s="40" t="s">
        <v>963</v>
      </c>
    </row>
    <row r="8" spans="1:3" x14ac:dyDescent="0.25">
      <c r="C8" s="2" t="s">
        <v>965</v>
      </c>
    </row>
    <row r="12" spans="1:3" ht="13" x14ac:dyDescent="0.3">
      <c r="C12" s="40" t="s">
        <v>967</v>
      </c>
    </row>
    <row r="13" spans="1:3" x14ac:dyDescent="0.25">
      <c r="C13" s="2" t="s">
        <v>966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62</v>
      </c>
    </row>
    <row r="3" spans="1:3" x14ac:dyDescent="0.25">
      <c r="B3" s="4" t="s">
        <v>51</v>
      </c>
      <c r="C3" s="4" t="s">
        <v>210</v>
      </c>
    </row>
    <row r="4" spans="1:3" x14ac:dyDescent="0.25">
      <c r="B4" s="4" t="s">
        <v>66</v>
      </c>
      <c r="C4" s="4" t="s">
        <v>85</v>
      </c>
    </row>
    <row r="5" spans="1:3" x14ac:dyDescent="0.25">
      <c r="B5" s="4" t="s">
        <v>75</v>
      </c>
      <c r="C5" s="4" t="s">
        <v>209</v>
      </c>
    </row>
    <row r="6" spans="1:3" x14ac:dyDescent="0.25">
      <c r="B6" s="15" t="s">
        <v>191</v>
      </c>
      <c r="C6" s="15" t="s">
        <v>311</v>
      </c>
    </row>
    <row r="7" spans="1:3" x14ac:dyDescent="0.25">
      <c r="B7" s="4" t="s">
        <v>53</v>
      </c>
    </row>
    <row r="8" spans="1:3" ht="13" x14ac:dyDescent="0.3">
      <c r="C8" s="16" t="s">
        <v>217</v>
      </c>
    </row>
    <row r="9" spans="1:3" ht="13" x14ac:dyDescent="0.3">
      <c r="C9" s="17" t="s">
        <v>213</v>
      </c>
    </row>
    <row r="10" spans="1:3" x14ac:dyDescent="0.25">
      <c r="C10" s="4" t="s">
        <v>214</v>
      </c>
    </row>
    <row r="12" spans="1:3" ht="13" x14ac:dyDescent="0.3">
      <c r="C12" s="16" t="s">
        <v>212</v>
      </c>
    </row>
    <row r="13" spans="1:3" x14ac:dyDescent="0.25">
      <c r="C13" s="4" t="s">
        <v>215</v>
      </c>
    </row>
    <row r="14" spans="1:3" x14ac:dyDescent="0.25">
      <c r="C14" s="4" t="s">
        <v>216</v>
      </c>
    </row>
    <row r="16" spans="1:3" ht="13" x14ac:dyDescent="0.3">
      <c r="C16" s="16" t="s">
        <v>501</v>
      </c>
    </row>
    <row r="17" spans="3:3" x14ac:dyDescent="0.25">
      <c r="C17" s="4" t="s">
        <v>242</v>
      </c>
    </row>
    <row r="18" spans="3:3" x14ac:dyDescent="0.25">
      <c r="C18" s="3" t="s">
        <v>500</v>
      </c>
    </row>
    <row r="19" spans="3:3" x14ac:dyDescent="0.25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1640625" defaultRowHeight="12.5" x14ac:dyDescent="0.25"/>
  <cols>
    <col min="1" max="1" width="5" bestFit="1" customWidth="1"/>
    <col min="2" max="2" width="19.81640625" bestFit="1" customWidth="1"/>
    <col min="9" max="9" width="12.453125" bestFit="1" customWidth="1"/>
    <col min="15" max="15" width="10.1796875" bestFit="1" customWidth="1"/>
    <col min="17" max="17" width="10.1796875" bestFit="1" customWidth="1"/>
  </cols>
  <sheetData>
    <row r="1" spans="1:19" x14ac:dyDescent="0.25">
      <c r="A1" s="115" t="s">
        <v>55</v>
      </c>
    </row>
    <row r="2" spans="1:19" ht="13" x14ac:dyDescent="0.3">
      <c r="B2" s="40" t="s">
        <v>611</v>
      </c>
    </row>
    <row r="3" spans="1:19" x14ac:dyDescent="0.25">
      <c r="E3" s="2" t="s">
        <v>635</v>
      </c>
      <c r="F3" s="2" t="s">
        <v>636</v>
      </c>
    </row>
    <row r="4" spans="1:19" x14ac:dyDescent="0.25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5">
      <c r="C5">
        <v>2010</v>
      </c>
    </row>
    <row r="6" spans="1:19" x14ac:dyDescent="0.25">
      <c r="C6">
        <v>2011</v>
      </c>
    </row>
    <row r="7" spans="1:19" x14ac:dyDescent="0.25">
      <c r="C7">
        <v>2012</v>
      </c>
    </row>
    <row r="8" spans="1:19" x14ac:dyDescent="0.25">
      <c r="C8">
        <v>2013</v>
      </c>
    </row>
    <row r="9" spans="1:19" x14ac:dyDescent="0.25">
      <c r="C9">
        <v>2014</v>
      </c>
    </row>
    <row r="10" spans="1:19" x14ac:dyDescent="0.25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5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5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5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5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5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5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5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5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5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796875" defaultRowHeight="12.5" x14ac:dyDescent="0.25"/>
  <cols>
    <col min="1" max="1" width="5" style="57" bestFit="1" customWidth="1"/>
    <col min="2" max="2" width="11.26953125" style="57" bestFit="1" customWidth="1"/>
    <col min="3" max="16384" width="9.1796875" style="57"/>
  </cols>
  <sheetData>
    <row r="1" spans="1:4" x14ac:dyDescent="0.25">
      <c r="A1" s="56" t="s">
        <v>55</v>
      </c>
    </row>
    <row r="2" spans="1:4" x14ac:dyDescent="0.25">
      <c r="B2" s="58" t="s">
        <v>49</v>
      </c>
      <c r="C2" s="58" t="s">
        <v>29</v>
      </c>
    </row>
    <row r="3" spans="1:4" x14ac:dyDescent="0.25">
      <c r="B3" s="58" t="s">
        <v>397</v>
      </c>
    </row>
    <row r="4" spans="1:4" x14ac:dyDescent="0.25">
      <c r="C4" s="59">
        <v>39387</v>
      </c>
      <c r="D4" s="57">
        <v>69</v>
      </c>
    </row>
    <row r="5" spans="1:4" x14ac:dyDescent="0.25">
      <c r="C5" s="59">
        <v>39356</v>
      </c>
      <c r="D5" s="57">
        <v>74</v>
      </c>
    </row>
    <row r="6" spans="1:4" x14ac:dyDescent="0.25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51</v>
      </c>
      <c r="C2" s="5" t="s">
        <v>148</v>
      </c>
    </row>
    <row r="3" spans="1:3" x14ac:dyDescent="0.25">
      <c r="B3" s="5" t="s">
        <v>44</v>
      </c>
      <c r="C3" s="5" t="s">
        <v>236</v>
      </c>
    </row>
    <row r="4" spans="1:3" x14ac:dyDescent="0.25">
      <c r="B4" s="5" t="s">
        <v>66</v>
      </c>
      <c r="C4" s="5" t="s">
        <v>235</v>
      </c>
    </row>
    <row r="5" spans="1:3" x14ac:dyDescent="0.25">
      <c r="B5" s="5" t="s">
        <v>53</v>
      </c>
    </row>
    <row r="6" spans="1:3" ht="13" x14ac:dyDescent="0.3">
      <c r="C6" s="16" t="s">
        <v>234</v>
      </c>
    </row>
    <row r="8" spans="1:3" ht="13" x14ac:dyDescent="0.3">
      <c r="C8" s="16" t="s">
        <v>690</v>
      </c>
    </row>
    <row r="9" spans="1:3" x14ac:dyDescent="0.25">
      <c r="C9" s="3" t="s">
        <v>691</v>
      </c>
    </row>
    <row r="11" spans="1:3" ht="13" x14ac:dyDescent="0.3">
      <c r="C11" s="16" t="s">
        <v>232</v>
      </c>
    </row>
    <row r="12" spans="1:3" x14ac:dyDescent="0.25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796875" defaultRowHeight="12.5" x14ac:dyDescent="0.25"/>
  <cols>
    <col min="1" max="1" width="5" style="76" bestFit="1" customWidth="1"/>
    <col min="2" max="2" width="14" style="76" bestFit="1" customWidth="1"/>
    <col min="3" max="16384" width="9.1796875" style="76"/>
  </cols>
  <sheetData>
    <row r="1" spans="1:3" x14ac:dyDescent="0.25">
      <c r="A1" s="78" t="s">
        <v>55</v>
      </c>
    </row>
    <row r="2" spans="1:3" x14ac:dyDescent="0.25">
      <c r="B2" s="76" t="s">
        <v>49</v>
      </c>
      <c r="C2" s="76" t="s">
        <v>498</v>
      </c>
    </row>
    <row r="3" spans="1:3" x14ac:dyDescent="0.25">
      <c r="B3" s="76" t="s">
        <v>51</v>
      </c>
      <c r="C3" s="76" t="s">
        <v>497</v>
      </c>
    </row>
    <row r="4" spans="1:3" x14ac:dyDescent="0.25">
      <c r="B4" s="76" t="s">
        <v>44</v>
      </c>
      <c r="C4" s="76" t="s">
        <v>352</v>
      </c>
    </row>
    <row r="5" spans="1:3" x14ac:dyDescent="0.25">
      <c r="B5" s="76" t="s">
        <v>66</v>
      </c>
      <c r="C5" s="76" t="s">
        <v>496</v>
      </c>
    </row>
    <row r="6" spans="1:3" x14ac:dyDescent="0.25">
      <c r="B6" s="76" t="s">
        <v>65</v>
      </c>
      <c r="C6" s="76" t="s">
        <v>495</v>
      </c>
    </row>
    <row r="7" spans="1:3" x14ac:dyDescent="0.25">
      <c r="C7" s="76" t="s">
        <v>494</v>
      </c>
    </row>
    <row r="8" spans="1:3" x14ac:dyDescent="0.25">
      <c r="C8" s="76" t="s">
        <v>493</v>
      </c>
    </row>
    <row r="9" spans="1:3" x14ac:dyDescent="0.25">
      <c r="C9" s="76" t="s">
        <v>492</v>
      </c>
    </row>
    <row r="10" spans="1:3" x14ac:dyDescent="0.25">
      <c r="B10" s="76" t="s">
        <v>491</v>
      </c>
    </row>
    <row r="11" spans="1:3" ht="13" x14ac:dyDescent="0.3">
      <c r="C11" s="77" t="s">
        <v>490</v>
      </c>
    </row>
    <row r="12" spans="1:3" ht="13" x14ac:dyDescent="0.3">
      <c r="C12" s="77"/>
    </row>
    <row r="13" spans="1:3" ht="13" x14ac:dyDescent="0.3">
      <c r="C13" s="77" t="s">
        <v>499</v>
      </c>
    </row>
    <row r="14" spans="1:3" ht="13" x14ac:dyDescent="0.3">
      <c r="C14" s="77"/>
    </row>
    <row r="15" spans="1:3" ht="13" x14ac:dyDescent="0.3">
      <c r="C15" s="77" t="s">
        <v>489</v>
      </c>
    </row>
    <row r="17" spans="3:3" ht="13" x14ac:dyDescent="0.3">
      <c r="C17" s="77" t="s">
        <v>488</v>
      </c>
    </row>
    <row r="18" spans="3:3" x14ac:dyDescent="0.25">
      <c r="C18" s="76" t="s">
        <v>594</v>
      </c>
    </row>
    <row r="20" spans="3:3" ht="13" x14ac:dyDescent="0.3">
      <c r="C20" s="77" t="s">
        <v>487</v>
      </c>
    </row>
    <row r="21" spans="3:3" x14ac:dyDescent="0.25">
      <c r="C21" s="76" t="s">
        <v>594</v>
      </c>
    </row>
    <row r="23" spans="3:3" ht="13" x14ac:dyDescent="0.3">
      <c r="C23" s="77" t="s">
        <v>486</v>
      </c>
    </row>
    <row r="25" spans="3:3" ht="13" x14ac:dyDescent="0.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</row>
    <row r="3" spans="1:3" x14ac:dyDescent="0.25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50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104</v>
      </c>
      <c r="C4" s="5" t="s">
        <v>105</v>
      </c>
    </row>
    <row r="5" spans="1:3" x14ac:dyDescent="0.25">
      <c r="B5" s="5" t="s">
        <v>74</v>
      </c>
      <c r="C5" s="5" t="s">
        <v>175</v>
      </c>
    </row>
    <row r="6" spans="1:3" x14ac:dyDescent="0.25">
      <c r="B6" s="5" t="s">
        <v>53</v>
      </c>
    </row>
    <row r="7" spans="1:3" x14ac:dyDescent="0.25">
      <c r="C7" s="5" t="s">
        <v>54</v>
      </c>
    </row>
    <row r="9" spans="1:3" ht="13" x14ac:dyDescent="0.3">
      <c r="C9" s="16" t="s">
        <v>89</v>
      </c>
    </row>
    <row r="10" spans="1:3" x14ac:dyDescent="0.25">
      <c r="C10" s="5" t="s">
        <v>88</v>
      </c>
    </row>
    <row r="11" spans="1:3" x14ac:dyDescent="0.25">
      <c r="C11" s="5" t="s">
        <v>90</v>
      </c>
    </row>
    <row r="12" spans="1:3" x14ac:dyDescent="0.25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7.26953125" bestFit="1" customWidth="1"/>
  </cols>
  <sheetData>
    <row r="1" spans="1:4" x14ac:dyDescent="0.25">
      <c r="A1" s="39" t="s">
        <v>55</v>
      </c>
    </row>
    <row r="2" spans="1:4" x14ac:dyDescent="0.25">
      <c r="B2" s="2" t="s">
        <v>49</v>
      </c>
      <c r="C2" s="2" t="s">
        <v>25</v>
      </c>
    </row>
    <row r="3" spans="1:4" x14ac:dyDescent="0.25">
      <c r="B3" s="3" t="s">
        <v>397</v>
      </c>
      <c r="C3" s="5"/>
      <c r="D3" s="5"/>
    </row>
    <row r="4" spans="1:4" x14ac:dyDescent="0.25">
      <c r="B4" s="5"/>
      <c r="C4" s="55">
        <v>39387</v>
      </c>
      <c r="D4" s="5">
        <v>37</v>
      </c>
    </row>
    <row r="5" spans="1:4" x14ac:dyDescent="0.25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39" t="s">
        <v>55</v>
      </c>
    </row>
    <row r="3" spans="1:6" x14ac:dyDescent="0.25">
      <c r="B3" s="2" t="s">
        <v>122</v>
      </c>
      <c r="C3" s="2" t="s">
        <v>123</v>
      </c>
    </row>
    <row r="4" spans="1:6" x14ac:dyDescent="0.25">
      <c r="B4" s="2" t="s">
        <v>199</v>
      </c>
      <c r="C4" s="2" t="s">
        <v>67</v>
      </c>
      <c r="D4" s="2" t="s">
        <v>114</v>
      </c>
    </row>
    <row r="5" spans="1:6" x14ac:dyDescent="0.25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5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5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5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5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5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5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5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5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5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5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5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5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60" t="s">
        <v>55</v>
      </c>
    </row>
    <row r="2" spans="1:3" x14ac:dyDescent="0.25">
      <c r="B2" s="5" t="s">
        <v>49</v>
      </c>
      <c r="C2" s="3" t="s">
        <v>528</v>
      </c>
    </row>
    <row r="3" spans="1:3" x14ac:dyDescent="0.25">
      <c r="B3" s="5" t="s">
        <v>51</v>
      </c>
      <c r="C3" s="5" t="s">
        <v>527</v>
      </c>
    </row>
    <row r="4" spans="1:3" x14ac:dyDescent="0.25">
      <c r="B4" s="5" t="s">
        <v>44</v>
      </c>
      <c r="C4" s="5" t="s">
        <v>70</v>
      </c>
    </row>
    <row r="5" spans="1:3" x14ac:dyDescent="0.25">
      <c r="B5" s="5" t="s">
        <v>65</v>
      </c>
      <c r="C5" s="5" t="s">
        <v>77</v>
      </c>
    </row>
    <row r="6" spans="1:3" x14ac:dyDescent="0.25">
      <c r="B6" s="5" t="s">
        <v>66</v>
      </c>
      <c r="C6" s="5" t="s">
        <v>98</v>
      </c>
    </row>
    <row r="7" spans="1:3" x14ac:dyDescent="0.25">
      <c r="C7" s="5" t="s">
        <v>99</v>
      </c>
    </row>
    <row r="8" spans="1:3" x14ac:dyDescent="0.25">
      <c r="C8" s="5" t="s">
        <v>100</v>
      </c>
    </row>
    <row r="9" spans="1:3" x14ac:dyDescent="0.25">
      <c r="C9" s="5" t="s">
        <v>101</v>
      </c>
    </row>
    <row r="10" spans="1:3" x14ac:dyDescent="0.25">
      <c r="C10" s="5" t="s">
        <v>102</v>
      </c>
    </row>
    <row r="11" spans="1:3" x14ac:dyDescent="0.25">
      <c r="B11" s="5" t="s">
        <v>75</v>
      </c>
      <c r="C11" s="5" t="s">
        <v>76</v>
      </c>
    </row>
    <row r="12" spans="1:3" x14ac:dyDescent="0.25">
      <c r="B12" s="5" t="s">
        <v>96</v>
      </c>
      <c r="C12" s="5" t="s">
        <v>97</v>
      </c>
    </row>
    <row r="13" spans="1:3" x14ac:dyDescent="0.25">
      <c r="B13" s="3" t="s">
        <v>53</v>
      </c>
    </row>
    <row r="14" spans="1:3" ht="13" x14ac:dyDescent="0.3">
      <c r="C14" s="16" t="s">
        <v>521</v>
      </c>
    </row>
    <row r="15" spans="1:3" x14ac:dyDescent="0.25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1" t="s">
        <v>49</v>
      </c>
      <c r="C2" s="1" t="s">
        <v>293</v>
      </c>
    </row>
    <row r="3" spans="1:3" x14ac:dyDescent="0.25">
      <c r="B3" s="1" t="s">
        <v>51</v>
      </c>
      <c r="C3" s="1" t="s">
        <v>294</v>
      </c>
    </row>
    <row r="4" spans="1:3" x14ac:dyDescent="0.25">
      <c r="B4" s="1" t="s">
        <v>44</v>
      </c>
      <c r="C4" s="1" t="s">
        <v>295</v>
      </c>
    </row>
    <row r="5" spans="1:3" x14ac:dyDescent="0.25">
      <c r="B5" s="1" t="s">
        <v>66</v>
      </c>
      <c r="C5" s="1" t="s">
        <v>130</v>
      </c>
    </row>
    <row r="6" spans="1:3" x14ac:dyDescent="0.25">
      <c r="B6" s="1" t="s">
        <v>53</v>
      </c>
    </row>
    <row r="7" spans="1:3" ht="13" x14ac:dyDescent="0.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78</v>
      </c>
    </row>
    <row r="3" spans="1:3" x14ac:dyDescent="0.25">
      <c r="B3" s="4" t="s">
        <v>66</v>
      </c>
      <c r="C3" s="4" t="s">
        <v>252</v>
      </c>
    </row>
    <row r="4" spans="1:3" x14ac:dyDescent="0.25">
      <c r="B4" s="4" t="s">
        <v>44</v>
      </c>
      <c r="C4" s="4" t="s">
        <v>246</v>
      </c>
    </row>
    <row r="5" spans="1:3" x14ac:dyDescent="0.25">
      <c r="B5" s="4" t="s">
        <v>75</v>
      </c>
      <c r="C5" s="4" t="s">
        <v>121</v>
      </c>
    </row>
    <row r="6" spans="1:3" x14ac:dyDescent="0.25">
      <c r="B6" s="4" t="s">
        <v>53</v>
      </c>
    </row>
    <row r="7" spans="1:3" ht="13" x14ac:dyDescent="0.3">
      <c r="C7" s="16" t="s">
        <v>257</v>
      </c>
    </row>
    <row r="10" spans="1:3" ht="13" x14ac:dyDescent="0.3">
      <c r="C10" s="16" t="s">
        <v>256</v>
      </c>
    </row>
    <row r="11" spans="1:3" x14ac:dyDescent="0.25">
      <c r="C11" s="4" t="s">
        <v>255</v>
      </c>
    </row>
    <row r="13" spans="1:3" x14ac:dyDescent="0.25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ColWidth="8.81640625" defaultRowHeight="12.5" x14ac:dyDescent="0.25"/>
  <cols>
    <col min="1" max="1" width="5" bestFit="1" customWidth="1"/>
    <col min="3" max="3" width="11.453125" customWidth="1"/>
    <col min="6" max="6" width="10.1796875" customWidth="1"/>
    <col min="7" max="7" width="13.1796875" customWidth="1"/>
  </cols>
  <sheetData>
    <row r="1" spans="1:8" x14ac:dyDescent="0.25">
      <c r="A1" s="39" t="s">
        <v>55</v>
      </c>
    </row>
    <row r="2" spans="1:8" x14ac:dyDescent="0.25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 x14ac:dyDescent="0.25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 x14ac:dyDescent="0.25">
      <c r="B4" s="2" t="s">
        <v>113</v>
      </c>
      <c r="C4" s="2" t="s">
        <v>822</v>
      </c>
      <c r="D4" s="2" t="s">
        <v>206</v>
      </c>
      <c r="E4" s="101">
        <v>36959</v>
      </c>
    </row>
    <row r="6" spans="1:8" x14ac:dyDescent="0.25">
      <c r="B6" s="3" t="s">
        <v>705</v>
      </c>
    </row>
    <row r="7" spans="1:8" x14ac:dyDescent="0.25">
      <c r="B7" s="3" t="s">
        <v>732</v>
      </c>
    </row>
    <row r="8" spans="1:8" x14ac:dyDescent="0.25">
      <c r="B8" s="3" t="s">
        <v>751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3" t="s">
        <v>746</v>
      </c>
    </row>
    <row r="13" spans="1:8" x14ac:dyDescent="0.25">
      <c r="B13" s="3" t="s">
        <v>745</v>
      </c>
    </row>
    <row r="14" spans="1:8" x14ac:dyDescent="0.25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5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5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5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5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5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5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5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5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5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5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5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5">
      <c r="B26" s="53" t="s">
        <v>880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879</v>
      </c>
      <c r="H26" s="35" t="s">
        <v>253</v>
      </c>
    </row>
    <row r="27" spans="2:8" x14ac:dyDescent="0.25">
      <c r="B27" s="53" t="s">
        <v>881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5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5">
      <c r="B29" s="53" t="s">
        <v>346</v>
      </c>
      <c r="C29" s="10" t="s">
        <v>283</v>
      </c>
      <c r="D29" s="10" t="s">
        <v>80</v>
      </c>
      <c r="E29" s="41" t="s">
        <v>882</v>
      </c>
      <c r="F29" s="10" t="s">
        <v>347</v>
      </c>
      <c r="G29" s="36" t="s">
        <v>161</v>
      </c>
    </row>
    <row r="30" spans="2:8" x14ac:dyDescent="0.25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5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5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5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5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 x14ac:dyDescent="0.25">
      <c r="B35" s="53" t="s">
        <v>893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5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222</v>
      </c>
    </row>
    <row r="3" spans="1:3" x14ac:dyDescent="0.25">
      <c r="B3" s="4" t="s">
        <v>51</v>
      </c>
      <c r="C3" s="4" t="s">
        <v>199</v>
      </c>
    </row>
    <row r="4" spans="1:3" x14ac:dyDescent="0.25">
      <c r="B4" s="4" t="s">
        <v>66</v>
      </c>
      <c r="C4" s="4" t="s">
        <v>203</v>
      </c>
    </row>
    <row r="5" spans="1:3" x14ac:dyDescent="0.25">
      <c r="B5" s="4" t="s">
        <v>65</v>
      </c>
      <c r="C5" s="4" t="s">
        <v>200</v>
      </c>
    </row>
    <row r="6" spans="1:3" x14ac:dyDescent="0.25">
      <c r="B6" s="4" t="s">
        <v>9</v>
      </c>
      <c r="C6" s="4" t="s">
        <v>202</v>
      </c>
    </row>
    <row r="7" spans="1:3" x14ac:dyDescent="0.25">
      <c r="B7" s="4" t="s">
        <v>81</v>
      </c>
      <c r="C7" s="4" t="s">
        <v>201</v>
      </c>
    </row>
    <row r="8" spans="1:3" x14ac:dyDescent="0.25">
      <c r="B8" s="4" t="s">
        <v>53</v>
      </c>
    </row>
    <row r="9" spans="1:3" ht="13" x14ac:dyDescent="0.3">
      <c r="C9" s="16" t="s">
        <v>507</v>
      </c>
    </row>
    <row r="10" spans="1:3" x14ac:dyDescent="0.25">
      <c r="C10" s="3" t="s">
        <v>508</v>
      </c>
    </row>
    <row r="11" spans="1:3" x14ac:dyDescent="0.25">
      <c r="C11" s="3" t="s">
        <v>509</v>
      </c>
    </row>
    <row r="13" spans="1:3" ht="13" x14ac:dyDescent="0.3">
      <c r="C13" s="16" t="s">
        <v>204</v>
      </c>
    </row>
    <row r="14" spans="1:3" x14ac:dyDescent="0.25">
      <c r="C14" s="4" t="s">
        <v>221</v>
      </c>
    </row>
    <row r="15" spans="1:3" x14ac:dyDescent="0.25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8"/>
  <sheetViews>
    <sheetView tabSelected="1" topLeftCell="A81" zoomScale="130" zoomScaleNormal="130" workbookViewId="0">
      <selection activeCell="F103" sqref="F103"/>
    </sheetView>
  </sheetViews>
  <sheetFormatPr defaultColWidth="9.1796875" defaultRowHeight="12.5" x14ac:dyDescent="0.25"/>
  <cols>
    <col min="1" max="1" width="2.453125" style="4" customWidth="1"/>
    <col min="2" max="2" width="28.1796875" style="4" customWidth="1"/>
    <col min="3" max="3" width="32.26953125" style="11" customWidth="1"/>
    <col min="4" max="4" width="11.1796875" style="11" customWidth="1"/>
    <col min="5" max="5" width="11" style="11" bestFit="1" customWidth="1"/>
    <col min="6" max="6" width="22.1796875" style="11" customWidth="1"/>
    <col min="7" max="7" width="9.1796875" style="4"/>
    <col min="8" max="8" width="3.26953125" style="4" customWidth="1"/>
    <col min="9" max="9" width="12.7265625" style="4" customWidth="1"/>
    <col min="10" max="10" width="8.453125" style="4" customWidth="1"/>
    <col min="11" max="11" width="6.81640625" style="4" customWidth="1"/>
    <col min="12" max="12" width="8.1796875" style="4" bestFit="1" customWidth="1"/>
    <col min="13" max="13" width="7.1796875" style="4" customWidth="1"/>
    <col min="14" max="16384" width="9.1796875" style="4"/>
  </cols>
  <sheetData>
    <row r="1" spans="1:13" x14ac:dyDescent="0.25">
      <c r="A1" s="3"/>
    </row>
    <row r="2" spans="1:13" s="3" customFormat="1" x14ac:dyDescent="0.25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5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877</v>
      </c>
    </row>
    <row r="4" spans="1:13" x14ac:dyDescent="0.25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5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877</v>
      </c>
    </row>
    <row r="6" spans="1:13" x14ac:dyDescent="0.25">
      <c r="B6" s="38" t="s">
        <v>949</v>
      </c>
      <c r="C6" s="10" t="s">
        <v>821</v>
      </c>
      <c r="D6" s="118">
        <v>43055</v>
      </c>
      <c r="E6" s="10" t="s">
        <v>950</v>
      </c>
      <c r="F6" s="10"/>
      <c r="G6" s="35" t="s">
        <v>161</v>
      </c>
      <c r="I6" s="3" t="s">
        <v>577</v>
      </c>
      <c r="J6" s="21">
        <v>29209</v>
      </c>
      <c r="K6" s="54" t="s">
        <v>877</v>
      </c>
      <c r="L6" s="3"/>
      <c r="M6" s="3"/>
    </row>
    <row r="7" spans="1:13" x14ac:dyDescent="0.25">
      <c r="B7" s="38" t="s">
        <v>811</v>
      </c>
      <c r="C7" s="10" t="s">
        <v>812</v>
      </c>
      <c r="D7" s="118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246813.85500000001</v>
      </c>
      <c r="L7" s="3"/>
      <c r="M7" s="3"/>
    </row>
    <row r="8" spans="1:13" x14ac:dyDescent="0.25">
      <c r="B8" s="38" t="s">
        <v>704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5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5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5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5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5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5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5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5">
      <c r="B16" s="38" t="s">
        <v>846</v>
      </c>
      <c r="C16" s="10" t="s">
        <v>850</v>
      </c>
      <c r="E16" s="41" t="s">
        <v>847</v>
      </c>
      <c r="F16" s="10" t="s">
        <v>849</v>
      </c>
      <c r="G16" s="83" t="s">
        <v>848</v>
      </c>
    </row>
    <row r="17" spans="2:11" x14ac:dyDescent="0.25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5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5">
      <c r="B19" s="53" t="s">
        <v>909</v>
      </c>
      <c r="C19" s="10" t="s">
        <v>86</v>
      </c>
      <c r="D19" s="122">
        <v>43397</v>
      </c>
      <c r="E19" s="41">
        <v>1</v>
      </c>
      <c r="F19" s="10"/>
      <c r="G19" s="35"/>
    </row>
    <row r="20" spans="2:11" x14ac:dyDescent="0.25">
      <c r="B20" s="53" t="s">
        <v>907</v>
      </c>
      <c r="C20" s="10" t="s">
        <v>908</v>
      </c>
      <c r="D20" s="122">
        <v>44057</v>
      </c>
      <c r="E20" s="41">
        <v>1</v>
      </c>
      <c r="F20" s="10" t="s">
        <v>83</v>
      </c>
      <c r="G20" s="35" t="s">
        <v>161</v>
      </c>
      <c r="I20" s="3" t="s">
        <v>973</v>
      </c>
    </row>
    <row r="21" spans="2:11" x14ac:dyDescent="0.25">
      <c r="B21" s="53" t="s">
        <v>964</v>
      </c>
      <c r="C21" s="10" t="s">
        <v>146</v>
      </c>
      <c r="D21" s="122"/>
      <c r="E21" s="41"/>
      <c r="F21" s="10"/>
      <c r="G21" s="35"/>
    </row>
    <row r="22" spans="2:11" x14ac:dyDescent="0.25">
      <c r="B22" s="53" t="s">
        <v>903</v>
      </c>
      <c r="C22" s="10" t="s">
        <v>904</v>
      </c>
      <c r="D22" s="122">
        <v>44917</v>
      </c>
      <c r="E22" s="41">
        <v>1</v>
      </c>
      <c r="F22" s="10" t="s">
        <v>884</v>
      </c>
      <c r="G22" s="35" t="s">
        <v>891</v>
      </c>
    </row>
    <row r="23" spans="2:11" x14ac:dyDescent="0.25">
      <c r="B23" s="38" t="s">
        <v>905</v>
      </c>
      <c r="C23" s="10" t="s">
        <v>313</v>
      </c>
      <c r="D23" s="122">
        <v>44589</v>
      </c>
      <c r="E23" s="41">
        <v>1</v>
      </c>
      <c r="F23" s="10" t="s">
        <v>906</v>
      </c>
      <c r="G23" s="35" t="s">
        <v>891</v>
      </c>
    </row>
    <row r="24" spans="2:11" x14ac:dyDescent="0.25">
      <c r="B24" s="38" t="s">
        <v>995</v>
      </c>
      <c r="C24" s="10" t="s">
        <v>146</v>
      </c>
      <c r="D24" s="122">
        <v>44011</v>
      </c>
      <c r="E24" s="41" t="s">
        <v>996</v>
      </c>
      <c r="F24" s="10" t="s">
        <v>163</v>
      </c>
      <c r="G24" s="35"/>
      <c r="I24" s="3" t="s">
        <v>1001</v>
      </c>
    </row>
    <row r="25" spans="2:11" x14ac:dyDescent="0.25">
      <c r="B25" s="38" t="s">
        <v>266</v>
      </c>
      <c r="C25" s="11" t="s">
        <v>239</v>
      </c>
      <c r="D25" s="11">
        <v>1998</v>
      </c>
      <c r="E25" s="14">
        <v>1</v>
      </c>
      <c r="F25" s="10" t="s">
        <v>400</v>
      </c>
      <c r="G25" s="83" t="s">
        <v>512</v>
      </c>
      <c r="I25" s="3" t="s">
        <v>951</v>
      </c>
      <c r="K25" s="21"/>
    </row>
    <row r="26" spans="2:11" x14ac:dyDescent="0.25">
      <c r="B26" s="53" t="s">
        <v>729</v>
      </c>
      <c r="C26" s="10" t="s">
        <v>324</v>
      </c>
      <c r="D26" s="10"/>
      <c r="E26" s="37" t="s">
        <v>321</v>
      </c>
      <c r="F26" s="33" t="s">
        <v>325</v>
      </c>
      <c r="G26" s="35" t="s">
        <v>253</v>
      </c>
      <c r="I26" s="3" t="s">
        <v>952</v>
      </c>
    </row>
    <row r="27" spans="2:11" x14ac:dyDescent="0.25">
      <c r="B27" s="7" t="s">
        <v>47</v>
      </c>
      <c r="C27" s="11" t="s">
        <v>45</v>
      </c>
      <c r="D27" s="11">
        <v>2007</v>
      </c>
      <c r="E27" s="11" t="s">
        <v>73</v>
      </c>
      <c r="F27" s="11" t="s">
        <v>72</v>
      </c>
      <c r="G27" s="84" t="s">
        <v>211</v>
      </c>
      <c r="I27" s="3" t="s">
        <v>954</v>
      </c>
    </row>
    <row r="28" spans="2:11" x14ac:dyDescent="0.25">
      <c r="B28" s="6"/>
      <c r="C28" s="9"/>
      <c r="D28" s="9" t="s">
        <v>46</v>
      </c>
      <c r="E28" s="9"/>
      <c r="F28" s="9"/>
      <c r="G28" s="12"/>
      <c r="I28" s="3" t="s">
        <v>855</v>
      </c>
    </row>
    <row r="29" spans="2:11" x14ac:dyDescent="0.25">
      <c r="B29" s="119" t="s">
        <v>898</v>
      </c>
      <c r="C29" s="10" t="s">
        <v>878</v>
      </c>
      <c r="D29" s="10" t="s">
        <v>114</v>
      </c>
      <c r="E29" s="41" t="s">
        <v>899</v>
      </c>
      <c r="G29" s="36"/>
      <c r="I29" s="3" t="s">
        <v>953</v>
      </c>
    </row>
    <row r="30" spans="2:11" x14ac:dyDescent="0.25">
      <c r="B30" s="53" t="s">
        <v>883</v>
      </c>
      <c r="C30" s="10" t="s">
        <v>850</v>
      </c>
      <c r="D30" s="10" t="s">
        <v>114</v>
      </c>
      <c r="F30" s="10" t="s">
        <v>884</v>
      </c>
      <c r="G30" s="120" t="s">
        <v>891</v>
      </c>
    </row>
    <row r="31" spans="2:11" x14ac:dyDescent="0.25">
      <c r="B31" s="38" t="s">
        <v>897</v>
      </c>
      <c r="C31" s="10" t="s">
        <v>962</v>
      </c>
      <c r="D31" s="10" t="s">
        <v>114</v>
      </c>
      <c r="E31" s="14">
        <v>1</v>
      </c>
      <c r="F31" s="10" t="s">
        <v>885</v>
      </c>
      <c r="G31" s="120" t="s">
        <v>161</v>
      </c>
    </row>
    <row r="32" spans="2:11" x14ac:dyDescent="0.25">
      <c r="B32" s="53" t="s">
        <v>900</v>
      </c>
      <c r="C32" s="10" t="s">
        <v>123</v>
      </c>
      <c r="D32" s="10" t="s">
        <v>114</v>
      </c>
      <c r="F32" s="10" t="s">
        <v>901</v>
      </c>
      <c r="G32" s="120"/>
    </row>
    <row r="33" spans="2:9" x14ac:dyDescent="0.25">
      <c r="B33" s="53" t="s">
        <v>910</v>
      </c>
      <c r="C33" s="10"/>
      <c r="D33" s="10" t="s">
        <v>114</v>
      </c>
      <c r="F33" s="10" t="s">
        <v>911</v>
      </c>
      <c r="G33" s="120"/>
      <c r="I33" s="3" t="s">
        <v>679</v>
      </c>
    </row>
    <row r="34" spans="2:9" x14ac:dyDescent="0.25">
      <c r="B34" s="53" t="s">
        <v>886</v>
      </c>
      <c r="C34" s="10" t="s">
        <v>888</v>
      </c>
      <c r="F34" s="10" t="s">
        <v>887</v>
      </c>
      <c r="G34" s="120" t="s">
        <v>529</v>
      </c>
    </row>
    <row r="35" spans="2:9" x14ac:dyDescent="0.25">
      <c r="B35" s="53" t="s">
        <v>889</v>
      </c>
      <c r="C35" s="10" t="s">
        <v>892</v>
      </c>
      <c r="F35" s="10" t="s">
        <v>890</v>
      </c>
      <c r="G35" s="120" t="s">
        <v>891</v>
      </c>
    </row>
    <row r="36" spans="2:9" x14ac:dyDescent="0.25">
      <c r="B36" s="53" t="s">
        <v>895</v>
      </c>
      <c r="C36" s="10"/>
      <c r="F36" s="10" t="s">
        <v>896</v>
      </c>
      <c r="G36" s="120" t="s">
        <v>891</v>
      </c>
    </row>
    <row r="37" spans="2:9" x14ac:dyDescent="0.25">
      <c r="B37" s="53" t="s">
        <v>902</v>
      </c>
      <c r="C37" s="10" t="s">
        <v>359</v>
      </c>
      <c r="D37" s="10" t="s">
        <v>114</v>
      </c>
      <c r="E37" s="41" t="s">
        <v>360</v>
      </c>
      <c r="F37" s="10" t="s">
        <v>361</v>
      </c>
      <c r="G37" s="35" t="s">
        <v>161</v>
      </c>
    </row>
    <row r="38" spans="2:9" x14ac:dyDescent="0.25">
      <c r="B38" s="53" t="s">
        <v>969</v>
      </c>
      <c r="C38" s="10" t="s">
        <v>970</v>
      </c>
      <c r="D38" s="10" t="s">
        <v>80</v>
      </c>
      <c r="E38" s="41" t="s">
        <v>971</v>
      </c>
      <c r="F38" s="10" t="s">
        <v>972</v>
      </c>
      <c r="G38" s="35" t="s">
        <v>161</v>
      </c>
    </row>
    <row r="39" spans="2:9" x14ac:dyDescent="0.25">
      <c r="B39" s="53" t="s">
        <v>734</v>
      </c>
      <c r="C39" s="10" t="s">
        <v>359</v>
      </c>
      <c r="D39" s="10"/>
      <c r="E39" s="41"/>
      <c r="F39" s="10" t="s">
        <v>361</v>
      </c>
      <c r="G39" s="35" t="s">
        <v>161</v>
      </c>
    </row>
    <row r="40" spans="2:9" x14ac:dyDescent="0.25">
      <c r="B40" s="53" t="s">
        <v>738</v>
      </c>
      <c r="C40" s="10" t="s">
        <v>735</v>
      </c>
      <c r="D40" s="10" t="s">
        <v>110</v>
      </c>
      <c r="E40" s="41">
        <v>1</v>
      </c>
      <c r="F40" s="10" t="s">
        <v>736</v>
      </c>
      <c r="G40" s="35" t="s">
        <v>253</v>
      </c>
    </row>
    <row r="41" spans="2:9" x14ac:dyDescent="0.25">
      <c r="B41" s="53" t="s">
        <v>741</v>
      </c>
      <c r="C41" s="10" t="s">
        <v>359</v>
      </c>
      <c r="D41" s="10" t="s">
        <v>110</v>
      </c>
      <c r="E41" s="41">
        <v>1</v>
      </c>
      <c r="F41" s="10" t="s">
        <v>742</v>
      </c>
      <c r="G41" s="35"/>
    </row>
    <row r="42" spans="2:9" x14ac:dyDescent="0.25">
      <c r="B42" s="53" t="s">
        <v>737</v>
      </c>
      <c r="C42" s="10" t="s">
        <v>359</v>
      </c>
      <c r="D42" s="10" t="s">
        <v>110</v>
      </c>
      <c r="E42" s="41" t="s">
        <v>739</v>
      </c>
      <c r="F42" s="10" t="s">
        <v>740</v>
      </c>
      <c r="G42" s="35" t="s">
        <v>253</v>
      </c>
    </row>
    <row r="43" spans="2:9" x14ac:dyDescent="0.25">
      <c r="B43" s="53" t="s">
        <v>743</v>
      </c>
      <c r="C43" s="10" t="s">
        <v>268</v>
      </c>
      <c r="D43" s="10" t="s">
        <v>110</v>
      </c>
      <c r="E43" s="41">
        <v>1</v>
      </c>
      <c r="F43" s="10" t="s">
        <v>744</v>
      </c>
      <c r="G43" s="35"/>
    </row>
    <row r="44" spans="2:9" x14ac:dyDescent="0.25">
      <c r="B44" s="53" t="s">
        <v>709</v>
      </c>
      <c r="C44" s="10" t="s">
        <v>359</v>
      </c>
      <c r="D44" s="10" t="s">
        <v>110</v>
      </c>
      <c r="E44" s="41">
        <v>1</v>
      </c>
      <c r="F44" s="10" t="s">
        <v>710</v>
      </c>
      <c r="G44" s="35" t="s">
        <v>253</v>
      </c>
    </row>
    <row r="45" spans="2:9" s="17" customFormat="1" ht="13" x14ac:dyDescent="0.3">
      <c r="B45" s="53" t="s">
        <v>706</v>
      </c>
      <c r="C45" s="10" t="s">
        <v>707</v>
      </c>
      <c r="D45" s="10" t="s">
        <v>110</v>
      </c>
      <c r="E45" s="41">
        <v>1</v>
      </c>
      <c r="F45" s="10" t="s">
        <v>708</v>
      </c>
      <c r="G45" s="35" t="s">
        <v>253</v>
      </c>
    </row>
    <row r="46" spans="2:9" s="17" customFormat="1" ht="13" x14ac:dyDescent="0.3">
      <c r="B46" s="8" t="s">
        <v>278</v>
      </c>
      <c r="C46" s="11" t="s">
        <v>115</v>
      </c>
      <c r="D46" s="11" t="s">
        <v>110</v>
      </c>
      <c r="E46" s="14">
        <v>1</v>
      </c>
      <c r="F46" s="10" t="s">
        <v>383</v>
      </c>
      <c r="G46" s="35" t="s">
        <v>253</v>
      </c>
    </row>
    <row r="47" spans="2:9" x14ac:dyDescent="0.25">
      <c r="B47" s="53" t="s">
        <v>692</v>
      </c>
      <c r="C47" s="10" t="s">
        <v>115</v>
      </c>
      <c r="D47" s="10" t="s">
        <v>110</v>
      </c>
      <c r="E47" s="41">
        <v>1</v>
      </c>
      <c r="F47" s="10" t="s">
        <v>474</v>
      </c>
      <c r="G47" s="35" t="s">
        <v>161</v>
      </c>
    </row>
    <row r="48" spans="2:9" x14ac:dyDescent="0.25">
      <c r="B48" s="53" t="s">
        <v>279</v>
      </c>
      <c r="C48" s="10" t="s">
        <v>115</v>
      </c>
      <c r="D48" s="10" t="s">
        <v>110</v>
      </c>
      <c r="E48" s="41">
        <v>1</v>
      </c>
      <c r="F48" s="10" t="s">
        <v>606</v>
      </c>
      <c r="G48" s="35"/>
    </row>
    <row r="49" spans="2:9" x14ac:dyDescent="0.25">
      <c r="B49" s="53" t="s">
        <v>370</v>
      </c>
      <c r="C49" s="10" t="s">
        <v>115</v>
      </c>
      <c r="D49" s="10" t="s">
        <v>110</v>
      </c>
      <c r="E49" s="41">
        <v>1</v>
      </c>
      <c r="F49" s="10" t="s">
        <v>473</v>
      </c>
      <c r="G49" s="35" t="s">
        <v>253</v>
      </c>
    </row>
    <row r="50" spans="2:9" x14ac:dyDescent="0.25">
      <c r="B50" s="53" t="s">
        <v>384</v>
      </c>
      <c r="C50" s="10" t="s">
        <v>115</v>
      </c>
      <c r="D50" s="10" t="s">
        <v>110</v>
      </c>
      <c r="E50" s="41">
        <v>1</v>
      </c>
      <c r="F50" s="10" t="s">
        <v>385</v>
      </c>
      <c r="G50" s="35" t="s">
        <v>161</v>
      </c>
    </row>
    <row r="51" spans="2:9" x14ac:dyDescent="0.25">
      <c r="B51" s="53" t="s">
        <v>670</v>
      </c>
      <c r="C51" s="10" t="s">
        <v>115</v>
      </c>
      <c r="D51" s="10" t="s">
        <v>110</v>
      </c>
      <c r="E51" s="41">
        <v>1</v>
      </c>
      <c r="F51" s="10" t="s">
        <v>386</v>
      </c>
      <c r="G51" s="35" t="s">
        <v>253</v>
      </c>
    </row>
    <row r="52" spans="2:9" x14ac:dyDescent="0.25">
      <c r="B52" s="53" t="s">
        <v>371</v>
      </c>
      <c r="C52" s="10" t="s">
        <v>115</v>
      </c>
      <c r="D52" s="10" t="s">
        <v>110</v>
      </c>
      <c r="E52" s="41">
        <v>1</v>
      </c>
      <c r="G52" s="35" t="s">
        <v>253</v>
      </c>
    </row>
    <row r="53" spans="2:9" x14ac:dyDescent="0.25">
      <c r="B53" s="53" t="s">
        <v>368</v>
      </c>
      <c r="C53" s="11" t="s">
        <v>115</v>
      </c>
      <c r="D53" s="11" t="s">
        <v>110</v>
      </c>
      <c r="E53" s="14">
        <v>1</v>
      </c>
      <c r="F53" s="10" t="s">
        <v>369</v>
      </c>
      <c r="G53" s="35" t="s">
        <v>253</v>
      </c>
    </row>
    <row r="54" spans="2:9" x14ac:dyDescent="0.25">
      <c r="B54" s="53" t="s">
        <v>919</v>
      </c>
      <c r="C54" s="10" t="s">
        <v>920</v>
      </c>
      <c r="D54" s="10" t="s">
        <v>110</v>
      </c>
      <c r="E54" s="14">
        <v>1</v>
      </c>
      <c r="F54" s="10" t="s">
        <v>921</v>
      </c>
      <c r="G54" s="35"/>
    </row>
    <row r="55" spans="2:9" x14ac:dyDescent="0.25">
      <c r="B55" s="53" t="s">
        <v>922</v>
      </c>
      <c r="C55" s="10" t="s">
        <v>920</v>
      </c>
      <c r="D55" s="10" t="s">
        <v>110</v>
      </c>
      <c r="E55" s="14">
        <v>1</v>
      </c>
      <c r="F55" s="10" t="s">
        <v>923</v>
      </c>
      <c r="G55" s="35"/>
    </row>
    <row r="56" spans="2:9" x14ac:dyDescent="0.25">
      <c r="B56" s="53" t="s">
        <v>607</v>
      </c>
      <c r="C56" s="10" t="s">
        <v>115</v>
      </c>
      <c r="D56" s="10" t="s">
        <v>110</v>
      </c>
      <c r="E56" s="14">
        <v>1</v>
      </c>
      <c r="F56" s="10"/>
      <c r="G56" s="35" t="s">
        <v>253</v>
      </c>
    </row>
    <row r="57" spans="2:9" x14ac:dyDescent="0.25">
      <c r="B57" s="53" t="s">
        <v>574</v>
      </c>
      <c r="C57" s="10" t="s">
        <v>115</v>
      </c>
      <c r="D57" s="10" t="s">
        <v>110</v>
      </c>
      <c r="E57" s="41" t="s">
        <v>575</v>
      </c>
      <c r="F57" s="10"/>
      <c r="G57" s="35" t="s">
        <v>253</v>
      </c>
    </row>
    <row r="58" spans="2:9" x14ac:dyDescent="0.25">
      <c r="B58" s="53" t="s">
        <v>671</v>
      </c>
      <c r="C58" s="10" t="s">
        <v>605</v>
      </c>
      <c r="D58" s="10" t="s">
        <v>110</v>
      </c>
      <c r="E58" s="41">
        <v>1</v>
      </c>
      <c r="F58" s="10" t="s">
        <v>386</v>
      </c>
      <c r="G58" s="35" t="s">
        <v>253</v>
      </c>
    </row>
    <row r="59" spans="2:9" x14ac:dyDescent="0.25">
      <c r="B59" s="53" t="s">
        <v>375</v>
      </c>
      <c r="C59" s="10" t="s">
        <v>115</v>
      </c>
      <c r="D59" s="10" t="s">
        <v>110</v>
      </c>
      <c r="E59" s="41">
        <v>1</v>
      </c>
      <c r="F59" s="10" t="s">
        <v>472</v>
      </c>
      <c r="G59" s="35" t="s">
        <v>253</v>
      </c>
    </row>
    <row r="60" spans="2:9" x14ac:dyDescent="0.25">
      <c r="B60" s="53" t="s">
        <v>365</v>
      </c>
      <c r="C60" s="10" t="s">
        <v>366</v>
      </c>
      <c r="D60" s="10" t="s">
        <v>110</v>
      </c>
      <c r="E60" s="14">
        <v>1</v>
      </c>
      <c r="F60" s="10" t="s">
        <v>367</v>
      </c>
      <c r="G60" s="35" t="s">
        <v>211</v>
      </c>
    </row>
    <row r="61" spans="2:9" x14ac:dyDescent="0.25">
      <c r="B61" s="53" t="s">
        <v>590</v>
      </c>
      <c r="C61" s="10" t="s">
        <v>115</v>
      </c>
      <c r="D61" s="10" t="s">
        <v>110</v>
      </c>
      <c r="E61" s="14">
        <v>1</v>
      </c>
      <c r="F61" s="10" t="s">
        <v>591</v>
      </c>
      <c r="G61" s="35" t="s">
        <v>253</v>
      </c>
      <c r="I61" s="3" t="s">
        <v>960</v>
      </c>
    </row>
    <row r="62" spans="2:9" ht="13" x14ac:dyDescent="0.3">
      <c r="B62" s="96" t="s">
        <v>733</v>
      </c>
      <c r="C62" s="121" t="s">
        <v>349</v>
      </c>
      <c r="D62" s="121" t="s">
        <v>110</v>
      </c>
      <c r="E62" s="97">
        <v>1</v>
      </c>
      <c r="F62" s="121" t="s">
        <v>350</v>
      </c>
      <c r="G62" s="98" t="s">
        <v>161</v>
      </c>
    </row>
    <row r="63" spans="2:9" s="17" customFormat="1" ht="13" x14ac:dyDescent="0.3">
      <c r="B63" s="53" t="s">
        <v>576</v>
      </c>
      <c r="C63" s="10" t="s">
        <v>465</v>
      </c>
      <c r="D63" s="10" t="s">
        <v>80</v>
      </c>
      <c r="E63" s="14">
        <v>1</v>
      </c>
      <c r="F63" s="10" t="s">
        <v>466</v>
      </c>
      <c r="G63" s="35" t="s">
        <v>161</v>
      </c>
    </row>
    <row r="64" spans="2:9" x14ac:dyDescent="0.25">
      <c r="B64" s="53" t="s">
        <v>351</v>
      </c>
      <c r="C64" s="10" t="s">
        <v>352</v>
      </c>
      <c r="D64" s="10" t="s">
        <v>110</v>
      </c>
      <c r="E64" s="14">
        <v>1</v>
      </c>
      <c r="F64" s="10" t="s">
        <v>353</v>
      </c>
      <c r="G64" s="35" t="s">
        <v>161</v>
      </c>
    </row>
    <row r="65" spans="2:7" x14ac:dyDescent="0.25">
      <c r="B65" s="53" t="s">
        <v>372</v>
      </c>
      <c r="C65" s="10" t="s">
        <v>115</v>
      </c>
      <c r="D65" s="10" t="s">
        <v>110</v>
      </c>
      <c r="E65" s="41" t="s">
        <v>373</v>
      </c>
      <c r="F65" s="10" t="s">
        <v>374</v>
      </c>
      <c r="G65" s="35" t="s">
        <v>161</v>
      </c>
    </row>
    <row r="66" spans="2:7" x14ac:dyDescent="0.25">
      <c r="B66" s="53" t="s">
        <v>584</v>
      </c>
      <c r="C66" s="10" t="s">
        <v>413</v>
      </c>
      <c r="D66" s="10" t="s">
        <v>110</v>
      </c>
      <c r="E66" s="41" t="s">
        <v>414</v>
      </c>
      <c r="F66" s="10" t="s">
        <v>583</v>
      </c>
      <c r="G66" s="35" t="s">
        <v>253</v>
      </c>
    </row>
    <row r="67" spans="2:7" x14ac:dyDescent="0.25">
      <c r="B67" s="53"/>
      <c r="C67" s="10" t="s">
        <v>388</v>
      </c>
      <c r="D67" s="10" t="s">
        <v>110</v>
      </c>
      <c r="E67" s="41">
        <v>1</v>
      </c>
      <c r="F67" s="10" t="s">
        <v>390</v>
      </c>
      <c r="G67" s="35" t="s">
        <v>253</v>
      </c>
    </row>
    <row r="68" spans="2:7" x14ac:dyDescent="0.25">
      <c r="B68" s="53"/>
      <c r="C68" s="10" t="s">
        <v>389</v>
      </c>
      <c r="D68" s="10" t="s">
        <v>110</v>
      </c>
      <c r="E68" s="41">
        <v>1</v>
      </c>
      <c r="F68" s="10" t="s">
        <v>391</v>
      </c>
      <c r="G68" s="35" t="s">
        <v>161</v>
      </c>
    </row>
    <row r="69" spans="2:7" x14ac:dyDescent="0.25">
      <c r="B69" s="61" t="s">
        <v>343</v>
      </c>
      <c r="C69" s="62" t="s">
        <v>283</v>
      </c>
      <c r="D69" s="62" t="s">
        <v>80</v>
      </c>
      <c r="E69" s="22">
        <v>1</v>
      </c>
      <c r="F69" s="62" t="s">
        <v>344</v>
      </c>
      <c r="G69" s="63" t="s">
        <v>161</v>
      </c>
    </row>
    <row r="71" spans="2:7" ht="13" x14ac:dyDescent="0.3">
      <c r="B71" s="3"/>
      <c r="F71" s="18" t="s">
        <v>103</v>
      </c>
    </row>
    <row r="72" spans="2:7" ht="13" x14ac:dyDescent="0.3">
      <c r="B72" s="3"/>
      <c r="F72" s="18" t="s">
        <v>120</v>
      </c>
    </row>
    <row r="73" spans="2:7" ht="13" x14ac:dyDescent="0.3">
      <c r="B73" s="3"/>
      <c r="F73" s="18" t="s">
        <v>243</v>
      </c>
    </row>
    <row r="74" spans="2:7" ht="13" x14ac:dyDescent="0.3">
      <c r="F74" s="18" t="s">
        <v>241</v>
      </c>
    </row>
    <row r="75" spans="2:7" ht="13" x14ac:dyDescent="0.3">
      <c r="F75" s="18" t="s">
        <v>333</v>
      </c>
    </row>
    <row r="76" spans="2:7" ht="13" x14ac:dyDescent="0.3">
      <c r="F76" s="18" t="s">
        <v>331</v>
      </c>
    </row>
    <row r="77" spans="2:7" ht="13" x14ac:dyDescent="0.3">
      <c r="F77" s="18" t="s">
        <v>330</v>
      </c>
    </row>
    <row r="78" spans="2:7" ht="13" x14ac:dyDescent="0.3">
      <c r="F78" s="18" t="s">
        <v>306</v>
      </c>
    </row>
    <row r="79" spans="2:7" ht="13" x14ac:dyDescent="0.3">
      <c r="F79" s="18" t="s">
        <v>329</v>
      </c>
    </row>
    <row r="80" spans="2:7" ht="13" x14ac:dyDescent="0.3">
      <c r="F80" s="18" t="s">
        <v>326</v>
      </c>
    </row>
    <row r="81" spans="6:6" ht="13" x14ac:dyDescent="0.3">
      <c r="F81" s="18" t="s">
        <v>458</v>
      </c>
    </row>
    <row r="82" spans="6:6" ht="13" x14ac:dyDescent="0.3">
      <c r="F82" s="18" t="s">
        <v>398</v>
      </c>
    </row>
    <row r="83" spans="6:6" ht="13" x14ac:dyDescent="0.3">
      <c r="F83" s="18" t="s">
        <v>505</v>
      </c>
    </row>
    <row r="84" spans="6:6" ht="13" x14ac:dyDescent="0.3">
      <c r="F84" s="18" t="s">
        <v>515</v>
      </c>
    </row>
    <row r="85" spans="6:6" ht="13" x14ac:dyDescent="0.3">
      <c r="F85" s="18" t="s">
        <v>503</v>
      </c>
    </row>
    <row r="86" spans="6:6" ht="13" x14ac:dyDescent="0.3">
      <c r="F86" s="18" t="s">
        <v>431</v>
      </c>
    </row>
    <row r="87" spans="6:6" ht="13" x14ac:dyDescent="0.3">
      <c r="F87" s="18" t="s">
        <v>595</v>
      </c>
    </row>
    <row r="88" spans="6:6" ht="13" x14ac:dyDescent="0.3">
      <c r="F88" s="18" t="s">
        <v>693</v>
      </c>
    </row>
    <row r="89" spans="6:6" ht="13" x14ac:dyDescent="0.3">
      <c r="F89" s="18" t="s">
        <v>475</v>
      </c>
    </row>
    <row r="90" spans="6:6" ht="13" x14ac:dyDescent="0.3">
      <c r="F90" s="18" t="s">
        <v>711</v>
      </c>
    </row>
    <row r="92" spans="6:6" x14ac:dyDescent="0.25">
      <c r="F92" s="117" t="s">
        <v>834</v>
      </c>
    </row>
    <row r="93" spans="6:6" x14ac:dyDescent="0.25">
      <c r="F93" s="117" t="s">
        <v>835</v>
      </c>
    </row>
    <row r="94" spans="6:6" x14ac:dyDescent="0.25">
      <c r="F94" s="117"/>
    </row>
    <row r="95" spans="6:6" x14ac:dyDescent="0.25">
      <c r="F95" s="3" t="s">
        <v>856</v>
      </c>
    </row>
    <row r="96" spans="6:6" x14ac:dyDescent="0.25">
      <c r="F96" s="117" t="s">
        <v>842</v>
      </c>
    </row>
    <row r="97" spans="6:6" x14ac:dyDescent="0.25">
      <c r="F97" s="3" t="s">
        <v>947</v>
      </c>
    </row>
    <row r="98" spans="6:6" x14ac:dyDescent="0.25">
      <c r="F98" s="3" t="s">
        <v>948</v>
      </c>
    </row>
    <row r="99" spans="6:6" x14ac:dyDescent="0.25">
      <c r="F99" s="117" t="s">
        <v>924</v>
      </c>
    </row>
    <row r="100" spans="6:6" x14ac:dyDescent="0.25">
      <c r="F100" s="117" t="s">
        <v>925</v>
      </c>
    </row>
    <row r="101" spans="6:6" x14ac:dyDescent="0.25">
      <c r="F101" s="117"/>
    </row>
    <row r="102" spans="6:6" x14ac:dyDescent="0.25">
      <c r="F102" s="117" t="s">
        <v>1002</v>
      </c>
    </row>
    <row r="103" spans="6:6" x14ac:dyDescent="0.25">
      <c r="F103" s="117"/>
    </row>
    <row r="104" spans="6:6" x14ac:dyDescent="0.25">
      <c r="F104" s="117"/>
    </row>
    <row r="105" spans="6:6" x14ac:dyDescent="0.25">
      <c r="F105" s="117"/>
    </row>
    <row r="106" spans="6:6" x14ac:dyDescent="0.25">
      <c r="F106" s="117"/>
    </row>
    <row r="107" spans="6:6" x14ac:dyDescent="0.25">
      <c r="F107" s="117"/>
    </row>
    <row r="108" spans="6:6" x14ac:dyDescent="0.25">
      <c r="F108" s="117"/>
    </row>
  </sheetData>
  <phoneticPr fontId="17" type="noConversion"/>
  <hyperlinks>
    <hyperlink ref="B27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5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1" location="tiragolumab!A1" display="RG6058 (tiragolumab)" xr:uid="{1AD505D8-4B83-4C31-819B-4E2178915B14}"/>
    <hyperlink ref="B23" location="Vabysmo!A1" display="Vabysmo (faricimab)" xr:uid="{13BD768C-4C0B-4B51-93F3-17E7B55F8F81}"/>
    <hyperlink ref="B24" location="Phesgo!A1" display="Phesgo (pertuzumab/trastuzumab)" xr:uid="{020C13B7-88D5-45D0-BDE0-EE2F16A3AB57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70"/>
  <sheetViews>
    <sheetView zoomScale="115" zoomScaleNormal="115" zoomScaleSheetLayoutView="100" workbookViewId="0">
      <pane xSplit="2" ySplit="2" topLeftCell="EV75" activePane="bottomRight" state="frozen"/>
      <selection activeCell="AT9" sqref="AT9"/>
      <selection pane="topRight" activeCell="AT9" sqref="AT9"/>
      <selection pane="bottomLeft" activeCell="AT9" sqref="AT9"/>
      <selection pane="bottomRight"/>
    </sheetView>
  </sheetViews>
  <sheetFormatPr defaultColWidth="9.1796875" defaultRowHeight="12.5" x14ac:dyDescent="0.25"/>
  <cols>
    <col min="1" max="1" width="5" style="15" bestFit="1" customWidth="1"/>
    <col min="2" max="2" width="28.81640625" style="15" customWidth="1"/>
    <col min="3" max="6" width="7.81640625" style="23" customWidth="1"/>
    <col min="7" max="24" width="7.81640625" style="67" customWidth="1"/>
    <col min="25" max="25" width="7.81640625" style="25" customWidth="1"/>
    <col min="26" max="48" width="7.81640625" style="67" customWidth="1"/>
    <col min="49" max="49" width="9.1796875" style="93" customWidth="1"/>
    <col min="50" max="135" width="7.1796875" style="93" customWidth="1"/>
    <col min="136" max="136" width="1.7265625" style="5" customWidth="1"/>
    <col min="137" max="137" width="9.1796875" style="23" customWidth="1"/>
    <col min="138" max="142" width="8.26953125" style="23" bestFit="1" customWidth="1"/>
    <col min="143" max="156" width="8" style="23" customWidth="1"/>
    <col min="157" max="157" width="7.81640625" style="44" customWidth="1" collapsed="1"/>
    <col min="158" max="158" width="7.81640625" style="15" customWidth="1" collapsed="1"/>
    <col min="159" max="160" width="7.81640625" style="44" customWidth="1" collapsed="1"/>
    <col min="161" max="163" width="9.1796875" style="15" collapsed="1"/>
    <col min="164" max="16384" width="9.1796875" style="15"/>
  </cols>
  <sheetData>
    <row r="1" spans="1:167" ht="13" x14ac:dyDescent="0.3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ht="13" x14ac:dyDescent="0.3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858</v>
      </c>
      <c r="AD2" s="68" t="s">
        <v>859</v>
      </c>
      <c r="AE2" s="68" t="s">
        <v>860</v>
      </c>
      <c r="AF2" s="68" t="s">
        <v>861</v>
      </c>
      <c r="AG2" s="68" t="s">
        <v>862</v>
      </c>
      <c r="AH2" s="68" t="s">
        <v>863</v>
      </c>
      <c r="AI2" s="68" t="s">
        <v>864</v>
      </c>
      <c r="AJ2" s="68" t="s">
        <v>865</v>
      </c>
      <c r="AK2" s="68" t="s">
        <v>866</v>
      </c>
      <c r="AL2" s="68" t="s">
        <v>867</v>
      </c>
      <c r="AM2" s="68" t="s">
        <v>868</v>
      </c>
      <c r="AN2" s="68" t="s">
        <v>869</v>
      </c>
      <c r="AO2" s="68" t="s">
        <v>870</v>
      </c>
      <c r="AP2" s="68" t="s">
        <v>871</v>
      </c>
      <c r="AQ2" s="68" t="s">
        <v>872</v>
      </c>
      <c r="AR2" s="68" t="s">
        <v>873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874</v>
      </c>
      <c r="DW2" s="52" t="s">
        <v>875</v>
      </c>
      <c r="DX2" s="52" t="s">
        <v>876</v>
      </c>
      <c r="DY2" s="52" t="s">
        <v>877</v>
      </c>
      <c r="DZ2" s="52" t="s">
        <v>926</v>
      </c>
      <c r="EA2" s="52" t="s">
        <v>927</v>
      </c>
      <c r="EB2" s="52" t="s">
        <v>928</v>
      </c>
      <c r="EC2" s="52" t="s">
        <v>929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ht="13" x14ac:dyDescent="0.3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SUM(Q22:Q66)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SUM(AX22:AX66)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SUM(BL22:BL67)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SUM(BV22:BV66)</f>
        <v>5341</v>
      </c>
      <c r="BW3" s="66">
        <f t="shared" ref="BW3:CC3" si="14">SUM(BW22:BW67)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SUM(DN9:DN66)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10085</v>
      </c>
      <c r="DZ3" s="66">
        <f t="shared" si="15"/>
        <v>10921</v>
      </c>
      <c r="EA3" s="66">
        <v>11716</v>
      </c>
      <c r="EB3" s="66">
        <v>11620</v>
      </c>
      <c r="EC3" s="66">
        <v>11914</v>
      </c>
      <c r="ED3" s="66"/>
      <c r="EE3" s="66"/>
      <c r="EF3" s="5"/>
      <c r="EG3" s="66">
        <f t="shared" ref="EG3:EN3" si="16">SUM(EG22:EG66)</f>
        <v>14673</v>
      </c>
      <c r="EH3" s="66">
        <f t="shared" si="16"/>
        <v>14294</v>
      </c>
      <c r="EI3" s="66">
        <f t="shared" si="16"/>
        <v>15796</v>
      </c>
      <c r="EJ3" s="66">
        <f t="shared" si="16"/>
        <v>16647.796737766625</v>
      </c>
      <c r="EK3" s="66">
        <f t="shared" si="16"/>
        <v>20584</v>
      </c>
      <c r="EL3" s="66">
        <f t="shared" si="16"/>
        <v>22785.404389333649</v>
      </c>
      <c r="EM3" s="66">
        <f t="shared" si="16"/>
        <v>20074</v>
      </c>
      <c r="EN3" s="66">
        <f t="shared" si="16"/>
        <v>19186</v>
      </c>
      <c r="EO3" s="66">
        <f>SUM(EO22:EO67)</f>
        <v>39540</v>
      </c>
      <c r="EP3" s="66">
        <f>SUM(EP22:EP67)</f>
        <v>36911</v>
      </c>
      <c r="EQ3" s="68">
        <f t="shared" ref="EQ3:EQ8" si="17">SUM(BZ3:CC3)</f>
        <v>32794</v>
      </c>
      <c r="ER3" s="66">
        <f t="shared" ref="ER3:EY3" si="18">SUM(ER22:ER67)</f>
        <v>17131</v>
      </c>
      <c r="ES3" s="66">
        <f t="shared" si="18"/>
        <v>17584</v>
      </c>
      <c r="ET3" s="66">
        <f t="shared" si="18"/>
        <v>6406.8399999999992</v>
      </c>
      <c r="EU3" s="66">
        <f t="shared" si="18"/>
        <v>5848.4673999999995</v>
      </c>
      <c r="EV3" s="66">
        <f t="shared" si="18"/>
        <v>5613.581964</v>
      </c>
      <c r="EW3" s="66">
        <f t="shared" si="18"/>
        <v>5188.8899900900005</v>
      </c>
      <c r="EX3" s="66">
        <f t="shared" si="18"/>
        <v>4939.993442761901</v>
      </c>
      <c r="EY3" s="66">
        <f t="shared" si="18"/>
        <v>2228.9036107822703</v>
      </c>
      <c r="EZ3" s="66">
        <f>SUM(EZ9:EZ67)</f>
        <v>44532</v>
      </c>
      <c r="FA3" s="66">
        <f>SUM(FA9:FA67)</f>
        <v>45041</v>
      </c>
      <c r="FB3" s="66">
        <f>SUM(FB9:FB67)</f>
        <v>42549</v>
      </c>
      <c r="FC3" s="66">
        <f>SUM(FC9:FC67)</f>
        <v>45065</v>
      </c>
      <c r="FD3" s="66">
        <f>SUM(FD9:FD67)</f>
        <v>46171</v>
      </c>
    </row>
    <row r="4" spans="1:167" s="26" customFormat="1" ht="13" x14ac:dyDescent="0.3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9">SUM(BR4:BU4)</f>
        <v>14805</v>
      </c>
      <c r="EP4" s="27">
        <f t="shared" ref="EP4:EP52" si="20">SUM(BV4:BY4)</f>
        <v>14071</v>
      </c>
      <c r="EQ4" s="27">
        <f t="shared" si="17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54">
        <v>23259</v>
      </c>
      <c r="FD4" s="54">
        <v>24774</v>
      </c>
    </row>
    <row r="5" spans="1:167" s="26" customFormat="1" ht="13" x14ac:dyDescent="0.3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51" si="22">SUM(M5:N5)</f>
        <v>3399</v>
      </c>
      <c r="EN5" s="27">
        <f>SUM(O5:P5)</f>
        <v>3336</v>
      </c>
      <c r="EO5" s="27">
        <f t="shared" si="19"/>
        <v>4765</v>
      </c>
      <c r="EP5" s="27">
        <f t="shared" si="20"/>
        <v>4319</v>
      </c>
      <c r="EQ5" s="27">
        <f t="shared" si="17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54">
        <v>3745</v>
      </c>
      <c r="FD5" s="54">
        <v>2874</v>
      </c>
    </row>
    <row r="6" spans="1:167" s="26" customFormat="1" ht="13" x14ac:dyDescent="0.3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9"/>
        <v>10055</v>
      </c>
      <c r="EP6" s="27">
        <f t="shared" si="20"/>
        <v>10415</v>
      </c>
      <c r="EQ6" s="27">
        <f t="shared" si="17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14201</v>
      </c>
      <c r="FD6" s="54">
        <v>14324</v>
      </c>
    </row>
    <row r="7" spans="1:167" s="26" customFormat="1" ht="13" x14ac:dyDescent="0.3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9"/>
        <v>2238</v>
      </c>
      <c r="EP7" s="27">
        <f t="shared" si="20"/>
        <v>9201</v>
      </c>
      <c r="EQ7" s="27">
        <f t="shared" si="17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54">
        <v>8955</v>
      </c>
      <c r="FD7" s="54">
        <v>9691</v>
      </c>
    </row>
    <row r="8" spans="1:167" s="26" customFormat="1" ht="13" x14ac:dyDescent="0.3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7" si="23">SUM(K8:L8)</f>
        <v>20666</v>
      </c>
      <c r="EM8" s="27">
        <f t="shared" si="22"/>
        <v>22970</v>
      </c>
      <c r="EN8" s="27">
        <f>SUM(O8:P8)</f>
        <v>22164</v>
      </c>
      <c r="EO8" s="27">
        <f t="shared" si="19"/>
        <v>17188</v>
      </c>
      <c r="EP8" s="27">
        <f t="shared" si="20"/>
        <v>9467</v>
      </c>
      <c r="EQ8" s="27">
        <f t="shared" si="17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54">
        <v>8306</v>
      </c>
      <c r="FD8" s="54">
        <v>8832</v>
      </c>
    </row>
    <row r="9" spans="1:167" s="116" customFormat="1" x14ac:dyDescent="0.25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+FD9-EB9-EA9-DZ9</f>
        <v>1688</v>
      </c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62" si="24">SUM(DV9:DY9)</f>
        <v>6381</v>
      </c>
      <c r="FD9" s="54">
        <v>6744</v>
      </c>
    </row>
    <row r="10" spans="1:167" s="26" customFormat="1" ht="13" x14ac:dyDescent="0.3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6" si="25">+FD10-EB10-EA10-DZ10</f>
        <v>1223</v>
      </c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24"/>
        <v>4147</v>
      </c>
      <c r="FD10" s="54">
        <v>4503</v>
      </c>
    </row>
    <row r="11" spans="1:167" s="26" customFormat="1" ht="13" x14ac:dyDescent="0.3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25"/>
        <v>807</v>
      </c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/>
      <c r="EU11" s="25"/>
      <c r="EV11" s="25"/>
      <c r="EW11" s="25"/>
      <c r="EX11" s="25"/>
      <c r="EY11" s="25"/>
      <c r="EZ11" s="25">
        <v>3883</v>
      </c>
      <c r="FA11" s="54">
        <v>3955</v>
      </c>
      <c r="FB11" s="20">
        <f t="shared" ref="FB11:FB30" si="26">SUM(DR11:DU11)</f>
        <v>4087</v>
      </c>
      <c r="FC11" s="54">
        <f t="shared" si="24"/>
        <v>3768</v>
      </c>
      <c r="FD11" s="54">
        <v>3616</v>
      </c>
    </row>
    <row r="12" spans="1:167" s="26" customFormat="1" ht="13" x14ac:dyDescent="0.3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25"/>
        <v>937</v>
      </c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6"/>
        <v>3717</v>
      </c>
      <c r="FC12" s="54">
        <f t="shared" si="24"/>
        <v>3766</v>
      </c>
      <c r="FD12" s="54">
        <v>3640</v>
      </c>
    </row>
    <row r="13" spans="1:167" s="26" customFormat="1" ht="13" x14ac:dyDescent="0.3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25"/>
        <v>1048</v>
      </c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24"/>
        <v>2357</v>
      </c>
      <c r="FD13" s="54">
        <v>3864</v>
      </c>
    </row>
    <row r="14" spans="1:167" s="26" customFormat="1" ht="13" x14ac:dyDescent="0.3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25"/>
        <v>697</v>
      </c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/>
      <c r="EU14" s="25"/>
      <c r="EV14" s="25"/>
      <c r="EW14" s="25"/>
      <c r="EX14" s="25"/>
      <c r="EY14" s="25"/>
      <c r="EZ14" s="68">
        <v>2858</v>
      </c>
      <c r="FA14" s="54">
        <v>3562</v>
      </c>
      <c r="FB14" s="20">
        <f t="shared" si="26"/>
        <v>2701</v>
      </c>
      <c r="FC14" s="54">
        <f t="shared" si="24"/>
        <v>2630</v>
      </c>
      <c r="FD14" s="54">
        <v>2645</v>
      </c>
    </row>
    <row r="15" spans="1:167" s="26" customFormat="1" ht="13" x14ac:dyDescent="0.3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25"/>
        <v>733</v>
      </c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/>
      <c r="EU15" s="25"/>
      <c r="EV15" s="25"/>
      <c r="EW15" s="25"/>
      <c r="EX15" s="25"/>
      <c r="EY15" s="25"/>
      <c r="EZ15" s="25">
        <v>1904</v>
      </c>
      <c r="FA15" s="25">
        <v>1942</v>
      </c>
      <c r="FB15" s="20">
        <f t="shared" ref="FB15:FB21" si="29">SUM(DR15:DU15)</f>
        <v>2208</v>
      </c>
      <c r="FC15" s="54">
        <f t="shared" si="24"/>
        <v>2176</v>
      </c>
      <c r="FD15" s="54">
        <v>2470</v>
      </c>
    </row>
    <row r="16" spans="1:167" s="26" customFormat="1" ht="13" x14ac:dyDescent="0.3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25"/>
        <v>504</v>
      </c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29"/>
        <v>2080</v>
      </c>
      <c r="FC16" s="54">
        <f t="shared" si="24"/>
        <v>1966</v>
      </c>
      <c r="FD16" s="54">
        <v>1998</v>
      </c>
    </row>
    <row r="17" spans="2:160" s="26" customFormat="1" ht="13" x14ac:dyDescent="0.3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25"/>
        <v>496</v>
      </c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29"/>
        <v>740</v>
      </c>
      <c r="FC17" s="54">
        <f t="shared" si="24"/>
        <v>1120</v>
      </c>
      <c r="FD17" s="54">
        <v>1740</v>
      </c>
    </row>
    <row r="18" spans="2:160" s="26" customFormat="1" ht="13" x14ac:dyDescent="0.3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25"/>
        <v>318</v>
      </c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/>
      <c r="EU18" s="25"/>
      <c r="EV18" s="25"/>
      <c r="EW18" s="25"/>
      <c r="EX18" s="25"/>
      <c r="EY18" s="25"/>
      <c r="EZ18" s="25">
        <v>3732</v>
      </c>
      <c r="FA18" s="25">
        <v>2694</v>
      </c>
      <c r="FB18" s="20">
        <f t="shared" si="29"/>
        <v>2142</v>
      </c>
      <c r="FC18" s="54">
        <f t="shared" si="24"/>
        <v>1626</v>
      </c>
      <c r="FD18" s="54">
        <v>1381</v>
      </c>
    </row>
    <row r="19" spans="2:160" s="26" customFormat="1" ht="13" x14ac:dyDescent="0.3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25"/>
        <v>385</v>
      </c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29"/>
        <v>1119</v>
      </c>
      <c r="FC19" s="54">
        <f t="shared" si="24"/>
        <v>1419</v>
      </c>
      <c r="FD19" s="54">
        <v>1631</v>
      </c>
    </row>
    <row r="20" spans="2:160" s="26" customFormat="1" ht="13" x14ac:dyDescent="0.3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25"/>
        <v>356</v>
      </c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/>
      <c r="EU20" s="25"/>
      <c r="EV20" s="25"/>
      <c r="EW20" s="25"/>
      <c r="EX20" s="25"/>
      <c r="EY20" s="25"/>
      <c r="EZ20" s="25">
        <f>3206+1017</f>
        <v>4223</v>
      </c>
      <c r="FA20" s="25">
        <f>1999+566</f>
        <v>2565</v>
      </c>
      <c r="FB20" s="20">
        <f t="shared" si="29"/>
        <v>2075</v>
      </c>
      <c r="FC20" s="54">
        <f t="shared" si="24"/>
        <v>1630</v>
      </c>
      <c r="FD20" s="54">
        <v>1379</v>
      </c>
    </row>
    <row r="21" spans="2:160" s="26" customFormat="1" ht="13" x14ac:dyDescent="0.3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25"/>
        <v>397</v>
      </c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29"/>
        <v>1513</v>
      </c>
      <c r="FC21" s="54">
        <f t="shared" si="24"/>
        <v>1502</v>
      </c>
      <c r="FD21" s="54">
        <v>1548</v>
      </c>
    </row>
    <row r="22" spans="2:160" s="26" customFormat="1" ht="13" x14ac:dyDescent="0.3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25"/>
        <v>290</v>
      </c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23"/>
        <v>2962</v>
      </c>
      <c r="EM22" s="25">
        <f>SUM(M22:N22)</f>
        <v>4106</v>
      </c>
      <c r="EN22" s="25">
        <f t="shared" ref="EN22:EN47" si="30">SUM(BN22:BQ22)</f>
        <v>5207</v>
      </c>
      <c r="EO22" s="25">
        <f t="shared" si="19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/>
      <c r="EU22" s="25"/>
      <c r="EV22" s="25"/>
      <c r="EW22" s="25"/>
      <c r="EX22" s="25"/>
      <c r="EY22" s="25"/>
      <c r="EZ22" s="25">
        <v>4992</v>
      </c>
      <c r="FA22" s="25">
        <v>3056</v>
      </c>
      <c r="FB22" s="20">
        <f t="shared" si="26"/>
        <v>2122</v>
      </c>
      <c r="FC22" s="54">
        <f t="shared" si="24"/>
        <v>1573</v>
      </c>
      <c r="FD22" s="54">
        <v>1233</v>
      </c>
    </row>
    <row r="23" spans="2:160" s="26" customFormat="1" ht="13" x14ac:dyDescent="0.3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25"/>
        <v>0</v>
      </c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6"/>
        <v>1679</v>
      </c>
      <c r="FC23" s="54">
        <f t="shared" si="24"/>
        <v>525</v>
      </c>
      <c r="FD23" s="54">
        <v>3</v>
      </c>
    </row>
    <row r="24" spans="2:160" s="26" customFormat="1" ht="13" x14ac:dyDescent="0.3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31">+BY24+BX24</f>
        <v>761</v>
      </c>
      <c r="U24" s="25">
        <f t="shared" ref="U24:U54" si="32">SUM(BZ24:CA24)</f>
        <v>769</v>
      </c>
      <c r="V24" s="25">
        <f t="shared" ref="V24:V53" si="33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25"/>
        <v>0</v>
      </c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23"/>
        <v>478</v>
      </c>
      <c r="EM24" s="25">
        <f>SUM(M24:N24)</f>
        <v>991</v>
      </c>
      <c r="EN24" s="25">
        <f t="shared" si="30"/>
        <v>960</v>
      </c>
      <c r="EO24" s="25">
        <f>SUM(BR24:BU24)</f>
        <v>1198</v>
      </c>
      <c r="EP24" s="25">
        <f t="shared" si="20"/>
        <v>1458</v>
      </c>
      <c r="EQ24" s="25">
        <f t="shared" ref="EQ24:EQ54" si="34">SUM(BZ24:CC24)</f>
        <v>1523</v>
      </c>
      <c r="ER24" s="25">
        <f t="shared" ref="ER24:ER64" si="35">SUM(CD24:CG24)</f>
        <v>1481</v>
      </c>
      <c r="ES24" s="25">
        <f t="shared" ref="ES24:ES64" si="36">SUM(CH24:CK24)</f>
        <v>1689</v>
      </c>
      <c r="ET24" s="25"/>
      <c r="EU24" s="25"/>
      <c r="EV24" s="25"/>
      <c r="EW24" s="25"/>
      <c r="EX24" s="25"/>
      <c r="EY24" s="25"/>
      <c r="EZ24" s="25">
        <v>1444</v>
      </c>
      <c r="FA24" s="25">
        <v>1353</v>
      </c>
      <c r="FB24" s="20">
        <f t="shared" si="26"/>
        <v>1012</v>
      </c>
      <c r="FC24" s="54">
        <f t="shared" si="24"/>
        <v>460</v>
      </c>
      <c r="FD24" s="46"/>
    </row>
    <row r="25" spans="2:160" s="26" customFormat="1" ht="13" x14ac:dyDescent="0.3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25"/>
        <v>307</v>
      </c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/>
      <c r="EU25" s="25"/>
      <c r="EV25" s="25"/>
      <c r="EW25" s="25"/>
      <c r="EX25" s="25"/>
      <c r="EY25" s="25"/>
      <c r="EZ25" s="25">
        <v>1321</v>
      </c>
      <c r="FA25" s="25">
        <v>1312</v>
      </c>
      <c r="FB25" s="20">
        <f t="shared" si="26"/>
        <v>1177</v>
      </c>
      <c r="FC25" s="54">
        <f t="shared" si="24"/>
        <v>1173</v>
      </c>
      <c r="FD25" s="54">
        <v>1202</v>
      </c>
    </row>
    <row r="26" spans="2:160" s="26" customFormat="1" ht="13" x14ac:dyDescent="0.3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25"/>
        <v>240</v>
      </c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24"/>
        <v>811</v>
      </c>
      <c r="FD26" s="54">
        <v>910</v>
      </c>
    </row>
    <row r="27" spans="2:160" s="26" customFormat="1" ht="13" x14ac:dyDescent="0.3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25"/>
        <v>126</v>
      </c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/>
      <c r="EU27" s="25"/>
      <c r="EV27" s="25"/>
      <c r="EW27" s="25"/>
      <c r="EX27" s="25"/>
      <c r="EY27" s="25"/>
      <c r="EZ27" s="25">
        <v>642</v>
      </c>
      <c r="FA27" s="25">
        <v>566</v>
      </c>
      <c r="FB27" s="20">
        <f>SUM(DR27:DU27)</f>
        <v>543</v>
      </c>
      <c r="FC27" s="54">
        <f t="shared" si="24"/>
        <v>452</v>
      </c>
      <c r="FD27" s="54">
        <v>455</v>
      </c>
    </row>
    <row r="28" spans="2:160" s="26" customFormat="1" ht="13" x14ac:dyDescent="0.3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25"/>
        <v>116</v>
      </c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/>
      <c r="EU28" s="25"/>
      <c r="EV28" s="25"/>
      <c r="EW28" s="25"/>
      <c r="EX28" s="25"/>
      <c r="EY28" s="25"/>
      <c r="EZ28" s="25">
        <v>606</v>
      </c>
      <c r="FA28" s="25">
        <v>592</v>
      </c>
      <c r="FB28" s="20">
        <f>SUM(DR28:DU28)</f>
        <v>386</v>
      </c>
      <c r="FC28" s="54">
        <v>393</v>
      </c>
      <c r="FD28" s="54">
        <v>399</v>
      </c>
    </row>
    <row r="29" spans="2:160" s="26" customFormat="1" ht="13" x14ac:dyDescent="0.3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25"/>
        <v>304</v>
      </c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24"/>
        <v>837</v>
      </c>
      <c r="FD29" s="54">
        <v>1121</v>
      </c>
    </row>
    <row r="30" spans="2:160" s="26" customFormat="1" ht="13" x14ac:dyDescent="0.3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25"/>
        <v>0</v>
      </c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6"/>
        <v>590</v>
      </c>
      <c r="FC30" s="54">
        <v>202</v>
      </c>
      <c r="FD30" s="46"/>
    </row>
    <row r="31" spans="2:160" s="26" customFormat="1" ht="13" x14ac:dyDescent="0.3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25"/>
        <v>0</v>
      </c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ht="13" x14ac:dyDescent="0.3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25"/>
        <v>88</v>
      </c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54">
        <v>311</v>
      </c>
    </row>
    <row r="33" spans="2:160" s="26" customFormat="1" ht="13" x14ac:dyDescent="0.3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25"/>
        <v>36</v>
      </c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54">
        <v>134</v>
      </c>
    </row>
    <row r="34" spans="2:160" s="26" customFormat="1" ht="13" x14ac:dyDescent="0.3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25"/>
        <v>11</v>
      </c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54">
        <v>41</v>
      </c>
    </row>
    <row r="35" spans="2:160" s="26" customFormat="1" ht="13" x14ac:dyDescent="0.3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25"/>
        <v>0</v>
      </c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ht="13" x14ac:dyDescent="0.3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25"/>
        <v>84</v>
      </c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>
        <f>99-FB36-FA36</f>
        <v>99</v>
      </c>
      <c r="FD36" s="54">
        <v>152</v>
      </c>
    </row>
    <row r="37" spans="2:160" s="26" customFormat="1" ht="13" x14ac:dyDescent="0.3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25"/>
        <v>1</v>
      </c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54">
        <v>4</v>
      </c>
    </row>
    <row r="38" spans="2:160" s="26" customFormat="1" ht="13" x14ac:dyDescent="0.3">
      <c r="B38" s="3" t="s">
        <v>956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25"/>
        <v>17</v>
      </c>
      <c r="ED38" s="66"/>
      <c r="EE38" s="66"/>
      <c r="EF38" s="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46"/>
      <c r="FB38" s="16"/>
      <c r="FC38" s="54"/>
      <c r="FD38" s="54">
        <v>71</v>
      </c>
    </row>
    <row r="39" spans="2:160" s="26" customFormat="1" ht="13" x14ac:dyDescent="0.3">
      <c r="B39" s="3" t="s">
        <v>957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25"/>
        <v>56</v>
      </c>
      <c r="ED39" s="66"/>
      <c r="EE39" s="66"/>
      <c r="EF39" s="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46"/>
      <c r="FB39" s="16"/>
      <c r="FC39" s="54"/>
      <c r="FD39" s="54">
        <v>172</v>
      </c>
    </row>
    <row r="40" spans="2:160" s="26" customFormat="1" ht="13" x14ac:dyDescent="0.3">
      <c r="B40" s="3" t="s">
        <v>958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25"/>
        <v>52</v>
      </c>
      <c r="ED40" s="66"/>
      <c r="EE40" s="66"/>
      <c r="EF40" s="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46"/>
      <c r="FB40" s="16"/>
      <c r="FC40" s="54"/>
      <c r="FD40" s="54">
        <v>189</v>
      </c>
    </row>
    <row r="41" spans="2:160" s="26" customFormat="1" ht="13" x14ac:dyDescent="0.3">
      <c r="B41" s="3" t="s">
        <v>959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25"/>
        <v>8</v>
      </c>
      <c r="ED41" s="66"/>
      <c r="EE41" s="66"/>
      <c r="EF41" s="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46"/>
      <c r="FB41" s="16"/>
      <c r="FC41" s="54"/>
      <c r="FD41" s="54">
        <v>16</v>
      </c>
    </row>
    <row r="42" spans="2:160" s="26" customFormat="1" ht="13" x14ac:dyDescent="0.3">
      <c r="B42" s="3" t="s">
        <v>974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25"/>
        <v>8</v>
      </c>
      <c r="ED42" s="66"/>
      <c r="EE42" s="66"/>
      <c r="EF42" s="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54">
        <v>8</v>
      </c>
    </row>
    <row r="43" spans="2:160" s="26" customFormat="1" ht="13" x14ac:dyDescent="0.3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37">SUM(BP43:BQ43)</f>
        <v>882</v>
      </c>
      <c r="Q43" s="25">
        <f t="shared" ref="Q43:Q53" si="38">SUM(BR43:BS43)</f>
        <v>789</v>
      </c>
      <c r="R43" s="25">
        <f t="shared" ref="R43:R53" si="39">BT43+BU43</f>
        <v>771</v>
      </c>
      <c r="S43" s="25">
        <v>677</v>
      </c>
      <c r="T43" s="25">
        <f t="shared" si="31"/>
        <v>608</v>
      </c>
      <c r="U43" s="25">
        <f t="shared" si="32"/>
        <v>493</v>
      </c>
      <c r="V43" s="25">
        <f t="shared" si="33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40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25"/>
        <v>0</v>
      </c>
      <c r="ED43" s="66"/>
      <c r="EE43" s="66"/>
      <c r="EF43" s="5"/>
      <c r="EG43" s="25">
        <v>746</v>
      </c>
      <c r="EH43" s="25">
        <v>1192</v>
      </c>
      <c r="EI43" s="25">
        <v>2051</v>
      </c>
      <c r="EJ43" s="25">
        <f t="shared" ref="EJ43:EJ52" si="41">SUM(AX43:BA43)</f>
        <v>2082</v>
      </c>
      <c r="EK43" s="25">
        <f t="shared" ref="EK43:EK52" si="42">SUM(BB43:BE43)</f>
        <v>2252</v>
      </c>
      <c r="EL43" s="25">
        <f t="shared" si="23"/>
        <v>2227</v>
      </c>
      <c r="EM43" s="25">
        <f t="shared" si="22"/>
        <v>2094</v>
      </c>
      <c r="EN43" s="25">
        <f t="shared" si="30"/>
        <v>1774</v>
      </c>
      <c r="EO43" s="25">
        <f t="shared" ref="EO43:EO53" si="43">SUM(BR43:BU43)</f>
        <v>1560</v>
      </c>
      <c r="EP43" s="25">
        <f t="shared" si="20"/>
        <v>1285</v>
      </c>
      <c r="EQ43" s="25">
        <f t="shared" si="34"/>
        <v>896</v>
      </c>
      <c r="ER43" s="25">
        <f t="shared" si="35"/>
        <v>674</v>
      </c>
      <c r="ES43" s="25">
        <f t="shared" si="36"/>
        <v>520</v>
      </c>
      <c r="ET43" s="25">
        <f t="shared" ref="ET43:EY43" si="44">ES43*0.99</f>
        <v>514.79999999999995</v>
      </c>
      <c r="EU43" s="25">
        <f t="shared" si="44"/>
        <v>509.65199999999993</v>
      </c>
      <c r="EV43" s="25">
        <f t="shared" si="44"/>
        <v>504.55547999999993</v>
      </c>
      <c r="EW43" s="25">
        <f t="shared" si="44"/>
        <v>499.50992519999994</v>
      </c>
      <c r="EX43" s="25">
        <f t="shared" si="44"/>
        <v>494.51482594799995</v>
      </c>
      <c r="EY43" s="25">
        <f t="shared" si="44"/>
        <v>489.56967768851996</v>
      </c>
      <c r="EZ43" s="25"/>
      <c r="FA43" s="46"/>
      <c r="FB43" s="16"/>
      <c r="FC43" s="54"/>
      <c r="FD43" s="46"/>
    </row>
    <row r="44" spans="2:160" s="26" customFormat="1" ht="13" x14ac:dyDescent="0.3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38"/>
        <v>842</v>
      </c>
      <c r="R44" s="25">
        <f t="shared" si="39"/>
        <v>813</v>
      </c>
      <c r="S44" s="25">
        <v>869</v>
      </c>
      <c r="T44" s="25">
        <f t="shared" si="31"/>
        <v>776</v>
      </c>
      <c r="U44" s="25">
        <f t="shared" si="32"/>
        <v>695</v>
      </c>
      <c r="V44" s="25">
        <f t="shared" si="33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40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25"/>
        <v>0</v>
      </c>
      <c r="ED44" s="66"/>
      <c r="EE44" s="66"/>
      <c r="EF44" s="5"/>
      <c r="EG44" s="25">
        <v>0</v>
      </c>
      <c r="EH44" s="25">
        <v>94</v>
      </c>
      <c r="EI44" s="25">
        <v>719</v>
      </c>
      <c r="EJ44" s="25">
        <f t="shared" si="41"/>
        <v>1179</v>
      </c>
      <c r="EK44" s="25">
        <f t="shared" si="42"/>
        <v>1403</v>
      </c>
      <c r="EL44" s="25">
        <f t="shared" si="23"/>
        <v>1467</v>
      </c>
      <c r="EM44" s="25">
        <f>SUM(M44:N44)</f>
        <v>1637</v>
      </c>
      <c r="EN44" s="25">
        <f t="shared" si="30"/>
        <v>1635</v>
      </c>
      <c r="EO44" s="25">
        <f t="shared" si="43"/>
        <v>1655</v>
      </c>
      <c r="EP44" s="25">
        <f t="shared" si="20"/>
        <v>1645</v>
      </c>
      <c r="EQ44" s="25">
        <f t="shared" si="34"/>
        <v>1438</v>
      </c>
      <c r="ER44" s="25">
        <f t="shared" si="35"/>
        <v>1649</v>
      </c>
      <c r="ES44" s="25">
        <f t="shared" si="36"/>
        <v>1312</v>
      </c>
      <c r="ET44" s="25">
        <f>ES44*0.8</f>
        <v>1049.6000000000001</v>
      </c>
      <c r="EU44" s="25">
        <f>ET44*0.8</f>
        <v>839.68000000000018</v>
      </c>
      <c r="EV44" s="25">
        <f t="shared" ref="EV44:EY44" si="45">EU44*0.8</f>
        <v>671.74400000000014</v>
      </c>
      <c r="EW44" s="25">
        <f t="shared" si="45"/>
        <v>537.39520000000016</v>
      </c>
      <c r="EX44" s="25">
        <f t="shared" si="45"/>
        <v>429.91616000000016</v>
      </c>
      <c r="EY44" s="25">
        <f t="shared" si="45"/>
        <v>343.93292800000017</v>
      </c>
      <c r="EZ44" s="25"/>
      <c r="FA44" s="46"/>
      <c r="FB44" s="16"/>
      <c r="FC44" s="54"/>
      <c r="FD44" s="46"/>
    </row>
    <row r="45" spans="2:160" s="26" customFormat="1" ht="13" x14ac:dyDescent="0.3">
      <c r="B45" s="3" t="s">
        <v>955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25"/>
        <v>3</v>
      </c>
      <c r="ED45" s="66"/>
      <c r="EE45" s="66"/>
      <c r="EF45" s="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46"/>
      <c r="FB45" s="16"/>
      <c r="FC45" s="54"/>
      <c r="FD45" s="54">
        <v>18</v>
      </c>
    </row>
    <row r="46" spans="2:160" s="26" customFormat="1" ht="13" x14ac:dyDescent="0.3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37"/>
        <v>638</v>
      </c>
      <c r="Q46" s="25">
        <f t="shared" si="38"/>
        <v>626</v>
      </c>
      <c r="R46" s="25">
        <f t="shared" si="39"/>
        <v>634</v>
      </c>
      <c r="S46" s="25">
        <v>732</v>
      </c>
      <c r="T46" s="25">
        <f t="shared" si="31"/>
        <v>694</v>
      </c>
      <c r="U46" s="25">
        <f t="shared" si="32"/>
        <v>668</v>
      </c>
      <c r="V46" s="25">
        <f t="shared" si="33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40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25"/>
        <v>0</v>
      </c>
      <c r="ED46" s="66"/>
      <c r="EE46" s="66"/>
      <c r="EF46" s="5"/>
      <c r="EG46" s="25">
        <v>260</v>
      </c>
      <c r="EH46" s="25">
        <v>444</v>
      </c>
      <c r="EI46" s="25">
        <v>515</v>
      </c>
      <c r="EJ46" s="25">
        <f t="shared" si="41"/>
        <v>534</v>
      </c>
      <c r="EK46" s="25">
        <f t="shared" si="42"/>
        <v>796</v>
      </c>
      <c r="EL46" s="25">
        <f t="shared" si="23"/>
        <v>971</v>
      </c>
      <c r="EM46" s="25">
        <f t="shared" si="22"/>
        <v>1151</v>
      </c>
      <c r="EN46" s="25">
        <f t="shared" si="30"/>
        <v>1211</v>
      </c>
      <c r="EO46" s="25">
        <f t="shared" si="43"/>
        <v>1260</v>
      </c>
      <c r="EP46" s="25">
        <f t="shared" si="20"/>
        <v>1426</v>
      </c>
      <c r="EQ46" s="25">
        <f t="shared" si="34"/>
        <v>1354</v>
      </c>
      <c r="ER46" s="25">
        <f t="shared" si="35"/>
        <v>1523</v>
      </c>
      <c r="ES46" s="25">
        <f t="shared" si="36"/>
        <v>1509</v>
      </c>
      <c r="ET46" s="25">
        <f>ES46*0.5</f>
        <v>754.5</v>
      </c>
      <c r="EU46" s="25">
        <f t="shared" ref="EU46:EY46" si="46">ET46*0.5</f>
        <v>377.25</v>
      </c>
      <c r="EV46" s="25">
        <f t="shared" si="46"/>
        <v>188.625</v>
      </c>
      <c r="EW46" s="25">
        <f t="shared" si="46"/>
        <v>94.3125</v>
      </c>
      <c r="EX46" s="25">
        <f t="shared" si="46"/>
        <v>47.15625</v>
      </c>
      <c r="EY46" s="25">
        <f t="shared" si="46"/>
        <v>23.578125</v>
      </c>
      <c r="EZ46" s="25">
        <v>301</v>
      </c>
      <c r="FA46" s="25">
        <v>194</v>
      </c>
      <c r="FB46" s="16"/>
      <c r="FC46" s="54"/>
      <c r="FD46" s="46"/>
    </row>
    <row r="47" spans="2:160" s="26" customFormat="1" ht="13" x14ac:dyDescent="0.3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37"/>
        <v>628</v>
      </c>
      <c r="Q47" s="25">
        <f t="shared" si="38"/>
        <v>643</v>
      </c>
      <c r="R47" s="25">
        <f t="shared" si="39"/>
        <v>661</v>
      </c>
      <c r="S47" s="25">
        <v>674</v>
      </c>
      <c r="T47" s="25">
        <f t="shared" si="31"/>
        <v>651</v>
      </c>
      <c r="U47" s="25">
        <f t="shared" si="32"/>
        <v>614</v>
      </c>
      <c r="V47" s="25">
        <f t="shared" si="33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40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25"/>
        <v>0</v>
      </c>
      <c r="ED47" s="66"/>
      <c r="EE47" s="66"/>
      <c r="EF47" s="5"/>
      <c r="EG47" s="25">
        <v>0</v>
      </c>
      <c r="EH47" s="25">
        <v>0</v>
      </c>
      <c r="EI47" s="25">
        <v>0</v>
      </c>
      <c r="EJ47" s="25">
        <f t="shared" si="41"/>
        <v>17</v>
      </c>
      <c r="EK47" s="25">
        <f t="shared" si="42"/>
        <v>387</v>
      </c>
      <c r="EL47" s="25">
        <f t="shared" si="23"/>
        <v>813</v>
      </c>
      <c r="EM47" s="25">
        <f t="shared" si="22"/>
        <v>1062</v>
      </c>
      <c r="EN47" s="25">
        <f t="shared" si="30"/>
        <v>1215</v>
      </c>
      <c r="EO47" s="25">
        <f t="shared" si="43"/>
        <v>1304</v>
      </c>
      <c r="EP47" s="25">
        <f t="shared" si="20"/>
        <v>1325</v>
      </c>
      <c r="EQ47" s="25">
        <f t="shared" si="34"/>
        <v>1251</v>
      </c>
      <c r="ER47" s="25">
        <f t="shared" si="35"/>
        <v>1314</v>
      </c>
      <c r="ES47" s="25">
        <f t="shared" si="36"/>
        <v>1339</v>
      </c>
      <c r="ET47" s="25">
        <f t="shared" ref="ET47:EX47" si="47">ES47*1.01</f>
        <v>1352.39</v>
      </c>
      <c r="EU47" s="25">
        <f t="shared" si="47"/>
        <v>1365.9139</v>
      </c>
      <c r="EV47" s="25">
        <f t="shared" si="47"/>
        <v>1379.5730390000001</v>
      </c>
      <c r="EW47" s="25">
        <f t="shared" si="47"/>
        <v>1393.3687693900001</v>
      </c>
      <c r="EX47" s="25">
        <f t="shared" si="47"/>
        <v>1407.3024570839002</v>
      </c>
      <c r="EY47" s="25"/>
      <c r="EZ47" s="25"/>
      <c r="FA47" s="46"/>
      <c r="FB47" s="16"/>
      <c r="FC47" s="54"/>
      <c r="FD47" s="46"/>
    </row>
    <row r="48" spans="2:160" s="26" customFormat="1" ht="13" x14ac:dyDescent="0.3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38"/>
        <v>525</v>
      </c>
      <c r="R48" s="25">
        <f t="shared" si="39"/>
        <v>533</v>
      </c>
      <c r="S48" s="25">
        <v>544</v>
      </c>
      <c r="T48" s="25">
        <f t="shared" si="31"/>
        <v>469</v>
      </c>
      <c r="U48" s="25">
        <f t="shared" si="32"/>
        <v>394</v>
      </c>
      <c r="V48" s="25">
        <f t="shared" si="33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40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25"/>
        <v>0</v>
      </c>
      <c r="ED48" s="66"/>
      <c r="EE48" s="66"/>
      <c r="EF48" s="5"/>
      <c r="EG48" s="25">
        <v>0</v>
      </c>
      <c r="EH48" s="25">
        <v>0</v>
      </c>
      <c r="EI48" s="25">
        <v>0</v>
      </c>
      <c r="EJ48" s="25">
        <f t="shared" si="41"/>
        <v>0</v>
      </c>
      <c r="EK48" s="25">
        <f t="shared" si="42"/>
        <v>86</v>
      </c>
      <c r="EL48" s="25">
        <f t="shared" ref="EL48:EL52" si="48">SUM(K48:L48)</f>
        <v>488</v>
      </c>
      <c r="EM48" s="25">
        <f>SUM(M48:N48)</f>
        <v>887</v>
      </c>
      <c r="EN48" s="25">
        <f t="shared" ref="EN48:EN53" si="49">SUM(BN48:BQ48)</f>
        <v>1108</v>
      </c>
      <c r="EO48" s="25">
        <f t="shared" si="43"/>
        <v>1058</v>
      </c>
      <c r="EP48" s="25">
        <f t="shared" si="20"/>
        <v>1013</v>
      </c>
      <c r="EQ48" s="25">
        <f t="shared" si="34"/>
        <v>696</v>
      </c>
      <c r="ER48" s="25"/>
      <c r="ES48" s="25"/>
      <c r="ET48" s="25"/>
      <c r="EU48" s="25"/>
      <c r="EV48" s="25"/>
      <c r="EW48" s="25"/>
      <c r="EX48" s="25"/>
      <c r="EY48" s="25"/>
      <c r="EZ48" s="25"/>
      <c r="FA48" s="46"/>
      <c r="FB48" s="16"/>
      <c r="FC48" s="54"/>
      <c r="FD48" s="46"/>
    </row>
    <row r="49" spans="2:169" s="26" customFormat="1" ht="13" x14ac:dyDescent="0.3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38"/>
        <v>1010</v>
      </c>
      <c r="R49" s="25">
        <f t="shared" si="39"/>
        <v>2190</v>
      </c>
      <c r="S49" s="25">
        <v>710</v>
      </c>
      <c r="T49" s="25">
        <f t="shared" si="31"/>
        <v>163</v>
      </c>
      <c r="U49" s="25">
        <f t="shared" si="32"/>
        <v>262</v>
      </c>
      <c r="V49" s="25">
        <f t="shared" si="33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40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25"/>
        <v>0</v>
      </c>
      <c r="ED49" s="66"/>
      <c r="EE49" s="66"/>
      <c r="EF49" s="5"/>
      <c r="EG49" s="25">
        <v>110</v>
      </c>
      <c r="EH49" s="25">
        <v>175</v>
      </c>
      <c r="EI49" s="25">
        <v>431</v>
      </c>
      <c r="EJ49" s="25">
        <f t="shared" si="41"/>
        <v>330</v>
      </c>
      <c r="EK49" s="25">
        <f t="shared" si="42"/>
        <v>1558</v>
      </c>
      <c r="EL49" s="25">
        <f t="shared" si="48"/>
        <v>2627</v>
      </c>
      <c r="EM49" s="25">
        <f>SUM(M49:N49)</f>
        <v>2085</v>
      </c>
      <c r="EN49" s="25">
        <f t="shared" si="49"/>
        <v>609</v>
      </c>
      <c r="EO49" s="25">
        <f t="shared" si="43"/>
        <v>3200</v>
      </c>
      <c r="EP49" s="25">
        <f t="shared" si="20"/>
        <v>873</v>
      </c>
      <c r="EQ49" s="25">
        <f t="shared" si="34"/>
        <v>359</v>
      </c>
      <c r="ER49" s="25">
        <f t="shared" si="35"/>
        <v>560</v>
      </c>
      <c r="ES49" s="25">
        <f t="shared" si="36"/>
        <v>635</v>
      </c>
      <c r="ET49" s="25">
        <f>ES49*1.03</f>
        <v>654.05000000000007</v>
      </c>
      <c r="EU49" s="25">
        <f>ET49*1.03</f>
        <v>673.67150000000004</v>
      </c>
      <c r="EV49" s="25">
        <f>EU49*1.03</f>
        <v>693.88164500000005</v>
      </c>
      <c r="EW49" s="25">
        <f>EV49*0.5</f>
        <v>346.94082250000002</v>
      </c>
      <c r="EX49" s="25">
        <f>EW49*0.5</f>
        <v>173.47041125000001</v>
      </c>
      <c r="EY49" s="25">
        <f>EX49*0.5</f>
        <v>86.735205625000006</v>
      </c>
      <c r="EZ49" s="25">
        <v>272</v>
      </c>
      <c r="FA49" s="25">
        <v>58</v>
      </c>
      <c r="FB49" s="16"/>
      <c r="FC49" s="54"/>
      <c r="FD49" s="46"/>
    </row>
    <row r="50" spans="2:169" s="26" customFormat="1" ht="13" x14ac:dyDescent="0.3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37"/>
        <v>292</v>
      </c>
      <c r="Q50" s="25">
        <f t="shared" si="38"/>
        <v>274</v>
      </c>
      <c r="R50" s="25">
        <f t="shared" si="39"/>
        <v>290</v>
      </c>
      <c r="S50" s="25">
        <v>296</v>
      </c>
      <c r="T50" s="25">
        <f t="shared" si="31"/>
        <v>309</v>
      </c>
      <c r="U50" s="25">
        <f t="shared" si="32"/>
        <v>282</v>
      </c>
      <c r="V50" s="25">
        <f t="shared" si="33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40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25"/>
        <v>0</v>
      </c>
      <c r="ED50" s="66"/>
      <c r="EE50" s="66"/>
      <c r="EF50" s="5"/>
      <c r="EG50" s="25">
        <v>292</v>
      </c>
      <c r="EH50" s="25">
        <v>296</v>
      </c>
      <c r="EI50" s="25">
        <v>281</v>
      </c>
      <c r="EJ50" s="25">
        <f t="shared" si="41"/>
        <v>329</v>
      </c>
      <c r="EK50" s="25">
        <f t="shared" si="42"/>
        <v>394</v>
      </c>
      <c r="EL50" s="25">
        <f t="shared" si="48"/>
        <v>488</v>
      </c>
      <c r="EM50" s="25">
        <f t="shared" si="22"/>
        <v>542</v>
      </c>
      <c r="EN50" s="25">
        <f t="shared" si="49"/>
        <v>556</v>
      </c>
      <c r="EO50" s="25">
        <f t="shared" si="43"/>
        <v>564</v>
      </c>
      <c r="EP50" s="25">
        <f t="shared" si="20"/>
        <v>605</v>
      </c>
      <c r="EQ50" s="25">
        <f t="shared" si="34"/>
        <v>569</v>
      </c>
      <c r="ER50" s="25">
        <f t="shared" si="35"/>
        <v>638</v>
      </c>
      <c r="ES50" s="25">
        <f t="shared" si="36"/>
        <v>693</v>
      </c>
      <c r="ET50" s="25">
        <f>+ES50*0.5</f>
        <v>346.5</v>
      </c>
      <c r="EU50" s="25">
        <f t="shared" ref="EU50:EY50" si="50">+ET50*0.5</f>
        <v>173.25</v>
      </c>
      <c r="EV50" s="25">
        <f t="shared" si="50"/>
        <v>86.625</v>
      </c>
      <c r="EW50" s="25">
        <f t="shared" si="50"/>
        <v>43.3125</v>
      </c>
      <c r="EX50" s="25">
        <f t="shared" si="50"/>
        <v>21.65625</v>
      </c>
      <c r="EY50" s="25">
        <f t="shared" si="50"/>
        <v>10.828125</v>
      </c>
      <c r="EZ50" s="25"/>
      <c r="FA50" s="46"/>
      <c r="FB50" s="16"/>
      <c r="FC50" s="54"/>
      <c r="FD50" s="46"/>
    </row>
    <row r="51" spans="2:169" s="26" customFormat="1" ht="13" x14ac:dyDescent="0.3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37"/>
        <v>218</v>
      </c>
      <c r="Q51" s="25">
        <f t="shared" si="38"/>
        <v>211</v>
      </c>
      <c r="R51" s="25">
        <f t="shared" si="39"/>
        <v>189</v>
      </c>
      <c r="S51" s="25">
        <v>193</v>
      </c>
      <c r="T51" s="25">
        <f t="shared" si="31"/>
        <v>212</v>
      </c>
      <c r="U51" s="25">
        <f t="shared" si="32"/>
        <v>169</v>
      </c>
      <c r="V51" s="25">
        <f t="shared" si="33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40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25"/>
        <v>0</v>
      </c>
      <c r="ED51" s="66"/>
      <c r="EE51" s="66"/>
      <c r="EF51" s="5"/>
      <c r="EG51" s="25">
        <v>435</v>
      </c>
      <c r="EH51" s="25">
        <v>477</v>
      </c>
      <c r="EI51" s="25">
        <v>442</v>
      </c>
      <c r="EJ51" s="25">
        <f t="shared" si="41"/>
        <v>449</v>
      </c>
      <c r="EK51" s="25">
        <f t="shared" si="42"/>
        <v>476</v>
      </c>
      <c r="EL51" s="25">
        <f t="shared" si="48"/>
        <v>494</v>
      </c>
      <c r="EM51" s="25">
        <f t="shared" si="22"/>
        <v>470</v>
      </c>
      <c r="EN51" s="25">
        <f t="shared" si="49"/>
        <v>413</v>
      </c>
      <c r="EO51" s="25">
        <f t="shared" si="43"/>
        <v>400</v>
      </c>
      <c r="EP51" s="25">
        <f t="shared" si="20"/>
        <v>405</v>
      </c>
      <c r="EQ51" s="25">
        <f t="shared" si="34"/>
        <v>317</v>
      </c>
      <c r="ER51" s="25">
        <f t="shared" si="35"/>
        <v>304</v>
      </c>
      <c r="ES51" s="25">
        <f t="shared" si="36"/>
        <v>274</v>
      </c>
      <c r="ET51" s="25">
        <f t="shared" ref="ET51:ET53" si="51">ES51*1.05</f>
        <v>287.7</v>
      </c>
      <c r="EU51" s="25">
        <f t="shared" ref="EU51:EX51" si="52">ET51*1.05</f>
        <v>302.08499999999998</v>
      </c>
      <c r="EV51" s="25">
        <f t="shared" si="52"/>
        <v>317.18925000000002</v>
      </c>
      <c r="EW51" s="25">
        <f t="shared" si="52"/>
        <v>333.04871250000002</v>
      </c>
      <c r="EX51" s="25">
        <f t="shared" si="52"/>
        <v>349.70114812500003</v>
      </c>
      <c r="EY51" s="25">
        <f>+EX51*0.9</f>
        <v>314.73103331250002</v>
      </c>
      <c r="EZ51" s="25"/>
      <c r="FA51" s="46"/>
      <c r="FB51" s="16"/>
      <c r="FC51" s="54"/>
      <c r="FD51" s="46"/>
    </row>
    <row r="52" spans="2:169" s="26" customFormat="1" ht="13" x14ac:dyDescent="0.3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38"/>
        <v>188</v>
      </c>
      <c r="R52" s="25">
        <f t="shared" si="39"/>
        <v>197</v>
      </c>
      <c r="S52" s="25">
        <v>167</v>
      </c>
      <c r="T52" s="25">
        <f t="shared" si="31"/>
        <v>164</v>
      </c>
      <c r="U52" s="25">
        <f t="shared" si="32"/>
        <v>135</v>
      </c>
      <c r="V52" s="25">
        <f t="shared" si="33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40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25"/>
        <v>0</v>
      </c>
      <c r="ED52" s="66"/>
      <c r="EE52" s="66"/>
      <c r="EF52" s="5"/>
      <c r="EG52" s="25">
        <v>0</v>
      </c>
      <c r="EH52" s="25">
        <v>0</v>
      </c>
      <c r="EI52" s="25">
        <v>315</v>
      </c>
      <c r="EJ52" s="25">
        <f t="shared" si="41"/>
        <v>325</v>
      </c>
      <c r="EK52" s="25">
        <f t="shared" si="42"/>
        <v>364</v>
      </c>
      <c r="EL52" s="25">
        <f t="shared" si="48"/>
        <v>379</v>
      </c>
      <c r="EM52" s="25">
        <f>SUM(M52:N52)</f>
        <v>405</v>
      </c>
      <c r="EN52" s="25">
        <f t="shared" si="49"/>
        <v>404</v>
      </c>
      <c r="EO52" s="25">
        <f t="shared" si="43"/>
        <v>385</v>
      </c>
      <c r="EP52" s="25">
        <f t="shared" si="20"/>
        <v>331</v>
      </c>
      <c r="EQ52" s="25">
        <f t="shared" si="34"/>
        <v>278</v>
      </c>
      <c r="ER52" s="25"/>
      <c r="ES52" s="25"/>
      <c r="ET52" s="25"/>
      <c r="EU52" s="25"/>
      <c r="EV52" s="25"/>
      <c r="EW52" s="25"/>
      <c r="EX52" s="25"/>
      <c r="EY52" s="25"/>
      <c r="EZ52" s="25"/>
      <c r="FA52" s="46"/>
      <c r="FB52" s="16"/>
      <c r="FC52" s="54"/>
      <c r="FD52" s="46"/>
    </row>
    <row r="53" spans="2:169" s="26" customFormat="1" ht="13" x14ac:dyDescent="0.3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38"/>
        <v>140</v>
      </c>
      <c r="R53" s="25">
        <f t="shared" si="39"/>
        <v>146</v>
      </c>
      <c r="S53" s="25">
        <v>0</v>
      </c>
      <c r="T53" s="25">
        <f t="shared" si="31"/>
        <v>77</v>
      </c>
      <c r="U53" s="25">
        <f t="shared" si="32"/>
        <v>150</v>
      </c>
      <c r="V53" s="25">
        <f t="shared" si="33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25"/>
        <v>0</v>
      </c>
      <c r="ED53" s="66"/>
      <c r="EE53" s="66"/>
      <c r="EF53" s="5"/>
      <c r="EG53" s="25"/>
      <c r="EH53" s="25"/>
      <c r="EI53" s="25"/>
      <c r="EJ53" s="25"/>
      <c r="EK53" s="25"/>
      <c r="EL53" s="25"/>
      <c r="EM53" s="25">
        <f>SUM(BJ53:BM53)</f>
        <v>311</v>
      </c>
      <c r="EN53" s="25">
        <f t="shared" si="49"/>
        <v>311</v>
      </c>
      <c r="EO53" s="25">
        <f t="shared" si="43"/>
        <v>286</v>
      </c>
      <c r="EP53" s="25"/>
      <c r="EQ53" s="25">
        <f t="shared" si="34"/>
        <v>294</v>
      </c>
      <c r="ER53" s="25">
        <f t="shared" si="35"/>
        <v>310</v>
      </c>
      <c r="ES53" s="25">
        <f t="shared" si="36"/>
        <v>313</v>
      </c>
      <c r="ET53" s="25">
        <f t="shared" si="51"/>
        <v>328.65000000000003</v>
      </c>
      <c r="EU53" s="25">
        <f t="shared" ref="EU53:EX53" si="53">ET53*1.05</f>
        <v>345.08250000000004</v>
      </c>
      <c r="EV53" s="25">
        <f t="shared" si="53"/>
        <v>362.33662500000008</v>
      </c>
      <c r="EW53" s="25">
        <f t="shared" si="53"/>
        <v>380.4534562500001</v>
      </c>
      <c r="EX53" s="25">
        <f t="shared" si="53"/>
        <v>399.47612906250015</v>
      </c>
      <c r="EY53" s="25">
        <f>+EX53*0.9</f>
        <v>359.52851615625013</v>
      </c>
      <c r="EZ53" s="25">
        <v>361</v>
      </c>
      <c r="FA53" s="25">
        <v>394</v>
      </c>
      <c r="FB53" s="25">
        <v>379</v>
      </c>
      <c r="FC53" s="54">
        <v>355</v>
      </c>
      <c r="FD53" s="54"/>
    </row>
    <row r="54" spans="2:169" s="26" customFormat="1" ht="13" x14ac:dyDescent="0.3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32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25"/>
        <v>93</v>
      </c>
      <c r="ED54" s="66"/>
      <c r="EE54" s="66"/>
      <c r="EF54" s="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>
        <f t="shared" si="34"/>
        <v>344</v>
      </c>
      <c r="ER54" s="25">
        <f t="shared" si="35"/>
        <v>384</v>
      </c>
      <c r="ES54" s="25">
        <f t="shared" si="36"/>
        <v>425</v>
      </c>
      <c r="ET54" s="25">
        <f>+ES54*1.01</f>
        <v>429.25</v>
      </c>
      <c r="EU54" s="25">
        <f t="shared" ref="EU54:EX54" si="54">+ET54*1.01</f>
        <v>433.54250000000002</v>
      </c>
      <c r="EV54" s="25">
        <f t="shared" si="54"/>
        <v>437.877925</v>
      </c>
      <c r="EW54" s="25">
        <f t="shared" si="54"/>
        <v>442.25670424999998</v>
      </c>
      <c r="EX54" s="25">
        <f t="shared" si="54"/>
        <v>446.6792712925</v>
      </c>
      <c r="EY54" s="25"/>
      <c r="EZ54" s="25">
        <v>470</v>
      </c>
      <c r="FA54" s="25">
        <v>435</v>
      </c>
      <c r="FB54" s="3">
        <v>408</v>
      </c>
      <c r="FC54" s="54">
        <v>426</v>
      </c>
      <c r="FD54" s="54">
        <v>397</v>
      </c>
    </row>
    <row r="55" spans="2:169" s="26" customFormat="1" ht="13" hidden="1" x14ac:dyDescent="0.3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25"/>
        <v>0</v>
      </c>
      <c r="ED55" s="66"/>
      <c r="EE55" s="66"/>
      <c r="EF55" s="5"/>
      <c r="EG55" s="25">
        <v>963</v>
      </c>
      <c r="EH55" s="25">
        <v>763</v>
      </c>
      <c r="EI55" s="25">
        <v>618</v>
      </c>
      <c r="EJ55" s="25">
        <f>SUM(AX55:BA55)</f>
        <v>593</v>
      </c>
      <c r="EK55" s="25">
        <f>SUM(BB55:BE55)</f>
        <v>635</v>
      </c>
      <c r="EL55" s="25">
        <f>SUM(K55:L55)</f>
        <v>693</v>
      </c>
      <c r="EM55" s="25">
        <f>SUM(M55:N55)</f>
        <v>632</v>
      </c>
      <c r="EN55" s="25">
        <f>SUM(BN55:BQ55)</f>
        <v>502</v>
      </c>
      <c r="EO55" s="25">
        <f>SUM(BR55:BU55)</f>
        <v>397</v>
      </c>
      <c r="EP55" s="25">
        <f>SUM(BV55:BY55)</f>
        <v>337</v>
      </c>
      <c r="EQ55" s="25">
        <f t="shared" ref="EQ55:EQ62" si="55">SUM(BZ55:CC55)</f>
        <v>0</v>
      </c>
      <c r="ER55" s="25">
        <f t="shared" si="35"/>
        <v>0</v>
      </c>
      <c r="ES55" s="25">
        <f t="shared" si="36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24"/>
        <v>0</v>
      </c>
      <c r="FD55" s="46"/>
    </row>
    <row r="56" spans="2:169" s="26" customFormat="1" ht="13" hidden="1" x14ac:dyDescent="0.3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25"/>
        <v>0</v>
      </c>
      <c r="ED56" s="66"/>
      <c r="EE56" s="66"/>
      <c r="EF56" s="5"/>
      <c r="EG56" s="25">
        <v>437</v>
      </c>
      <c r="EH56" s="25">
        <v>451</v>
      </c>
      <c r="EI56" s="25">
        <v>437</v>
      </c>
      <c r="EJ56" s="25">
        <f t="shared" ref="EJ56:EJ62" si="56">SUM(AX56:BA56)</f>
        <v>457</v>
      </c>
      <c r="EK56" s="25">
        <f t="shared" ref="EK56:EK62" si="57">SUM(BB56:BE56)</f>
        <v>500</v>
      </c>
      <c r="EL56" s="25">
        <f>SUM(K56:L56)</f>
        <v>498</v>
      </c>
      <c r="EM56" s="25">
        <f>SUM(M56:N56)</f>
        <v>425</v>
      </c>
      <c r="EN56" s="25"/>
      <c r="EO56" s="25"/>
      <c r="EQ56" s="25">
        <f t="shared" si="55"/>
        <v>0</v>
      </c>
      <c r="ER56" s="25">
        <f t="shared" si="35"/>
        <v>0</v>
      </c>
      <c r="ES56" s="25">
        <f t="shared" si="36"/>
        <v>0</v>
      </c>
      <c r="FA56" s="46"/>
      <c r="FB56" s="111"/>
      <c r="FC56" s="54">
        <f t="shared" si="24"/>
        <v>0</v>
      </c>
      <c r="FD56" s="25"/>
      <c r="FE56" s="25"/>
      <c r="FF56" s="25"/>
      <c r="FG56" s="25"/>
      <c r="FH56" s="25"/>
      <c r="FI56" s="25"/>
      <c r="FJ56" s="25"/>
      <c r="FK56" s="25"/>
      <c r="FL56" s="25"/>
      <c r="FM56" s="25"/>
    </row>
    <row r="57" spans="2:169" s="26" customFormat="1" ht="13" hidden="1" x14ac:dyDescent="0.3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25"/>
        <v>0</v>
      </c>
      <c r="ED57" s="66"/>
      <c r="EE57" s="66"/>
      <c r="EF57" s="5"/>
      <c r="EG57" s="25">
        <v>0</v>
      </c>
      <c r="EH57" s="25">
        <v>0</v>
      </c>
      <c r="EI57" s="25">
        <v>49</v>
      </c>
      <c r="EJ57" s="25">
        <f t="shared" si="56"/>
        <v>168</v>
      </c>
      <c r="EK57" s="25">
        <f t="shared" si="57"/>
        <v>259</v>
      </c>
      <c r="EL57" s="25"/>
      <c r="EM57" s="25"/>
      <c r="EN57" s="25"/>
      <c r="EO57" s="25"/>
      <c r="EP57" s="25"/>
      <c r="EQ57" s="25">
        <f t="shared" si="55"/>
        <v>0</v>
      </c>
      <c r="ER57" s="25">
        <f t="shared" si="35"/>
        <v>0</v>
      </c>
      <c r="ES57" s="25">
        <f t="shared" si="36"/>
        <v>0</v>
      </c>
      <c r="ET57" s="25"/>
      <c r="EU57" s="25"/>
      <c r="EV57" s="25"/>
      <c r="EW57" s="25"/>
      <c r="EX57" s="25"/>
      <c r="EY57" s="25"/>
      <c r="EZ57" s="25"/>
      <c r="FA57" s="46"/>
      <c r="FB57" s="112"/>
      <c r="FC57" s="54">
        <f t="shared" si="24"/>
        <v>0</v>
      </c>
      <c r="FD57" s="99"/>
      <c r="FE57" s="99"/>
      <c r="FF57" s="99"/>
      <c r="FG57" s="99"/>
      <c r="FH57" s="99"/>
      <c r="FI57" s="99"/>
      <c r="FJ57" s="99"/>
      <c r="FK57" s="99"/>
      <c r="FL57" s="99"/>
      <c r="FM57" s="99"/>
    </row>
    <row r="58" spans="2:169" s="26" customFormat="1" ht="13" hidden="1" x14ac:dyDescent="0.3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25"/>
        <v>0</v>
      </c>
      <c r="ED58" s="66"/>
      <c r="EE58" s="66"/>
      <c r="EF58" s="5"/>
      <c r="EG58" s="25">
        <v>0</v>
      </c>
      <c r="EH58" s="25">
        <v>0</v>
      </c>
      <c r="EI58" s="25">
        <v>3</v>
      </c>
      <c r="EJ58" s="25">
        <f t="shared" si="56"/>
        <v>70</v>
      </c>
      <c r="EK58" s="25">
        <f t="shared" si="57"/>
        <v>117</v>
      </c>
      <c r="EL58" s="25"/>
      <c r="EM58" s="25"/>
      <c r="EN58" s="25"/>
      <c r="EO58" s="25"/>
      <c r="EP58" s="25"/>
      <c r="EQ58" s="25">
        <f t="shared" si="55"/>
        <v>0</v>
      </c>
      <c r="ER58" s="25">
        <f t="shared" si="35"/>
        <v>0</v>
      </c>
      <c r="ES58" s="25">
        <f t="shared" si="36"/>
        <v>0</v>
      </c>
      <c r="ET58" s="25"/>
      <c r="EU58" s="25"/>
      <c r="EV58" s="25"/>
      <c r="EW58" s="25"/>
      <c r="EX58" s="25"/>
      <c r="EY58" s="25"/>
      <c r="EZ58" s="25"/>
      <c r="FA58" s="46"/>
      <c r="FB58" s="16"/>
      <c r="FC58" s="54">
        <f t="shared" si="24"/>
        <v>0</v>
      </c>
      <c r="FD58" s="46"/>
    </row>
    <row r="59" spans="2:169" s="26" customFormat="1" ht="13" hidden="1" x14ac:dyDescent="0.3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25"/>
        <v>0</v>
      </c>
      <c r="ED59" s="66"/>
      <c r="EE59" s="66"/>
      <c r="EF59" s="5"/>
      <c r="EG59" s="25">
        <v>289</v>
      </c>
      <c r="EH59" s="25">
        <v>329</v>
      </c>
      <c r="EI59" s="25">
        <v>392</v>
      </c>
      <c r="EJ59" s="25">
        <f t="shared" si="56"/>
        <v>361</v>
      </c>
      <c r="EK59" s="25">
        <f t="shared" si="57"/>
        <v>326</v>
      </c>
      <c r="EL59" s="25"/>
      <c r="EM59" s="25"/>
      <c r="EN59" s="25"/>
      <c r="EO59" s="25"/>
      <c r="EP59" s="25"/>
      <c r="EQ59" s="25">
        <f t="shared" si="55"/>
        <v>0</v>
      </c>
      <c r="ER59" s="25">
        <f t="shared" si="35"/>
        <v>0</v>
      </c>
      <c r="ES59" s="25">
        <f t="shared" si="36"/>
        <v>0</v>
      </c>
      <c r="ET59" s="25"/>
      <c r="EU59" s="25"/>
      <c r="EV59" s="25"/>
      <c r="EW59" s="25"/>
      <c r="EX59" s="25"/>
      <c r="EY59" s="25"/>
      <c r="EZ59" s="25"/>
      <c r="FA59" s="46"/>
      <c r="FB59" s="16"/>
      <c r="FC59" s="54">
        <f t="shared" si="24"/>
        <v>0</v>
      </c>
      <c r="FD59" s="46"/>
    </row>
    <row r="60" spans="2:169" s="26" customFormat="1" ht="13" hidden="1" x14ac:dyDescent="0.3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25"/>
        <v>0</v>
      </c>
      <c r="ED60" s="66"/>
      <c r="EE60" s="66"/>
      <c r="EF60" s="5"/>
      <c r="EG60" s="25">
        <v>0</v>
      </c>
      <c r="EH60" s="25">
        <v>0</v>
      </c>
      <c r="EI60" s="25">
        <v>0</v>
      </c>
      <c r="EJ60" s="25">
        <f t="shared" si="56"/>
        <v>38</v>
      </c>
      <c r="EK60" s="25">
        <f t="shared" si="57"/>
        <v>104</v>
      </c>
      <c r="EL60" s="25"/>
      <c r="EM60" s="25"/>
      <c r="EN60" s="25"/>
      <c r="EO60" s="25"/>
      <c r="EP60" s="25"/>
      <c r="EQ60" s="25">
        <f t="shared" si="55"/>
        <v>0</v>
      </c>
      <c r="ER60" s="25">
        <f t="shared" si="35"/>
        <v>0</v>
      </c>
      <c r="ES60" s="25">
        <f t="shared" si="36"/>
        <v>0</v>
      </c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f t="shared" si="24"/>
        <v>0</v>
      </c>
      <c r="FD60" s="46"/>
    </row>
    <row r="61" spans="2:169" s="26" customFormat="1" ht="13" hidden="1" x14ac:dyDescent="0.3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25"/>
        <v>0</v>
      </c>
      <c r="ED61" s="66"/>
      <c r="EE61" s="66"/>
      <c r="EF61" s="5"/>
      <c r="EG61" s="25">
        <v>0</v>
      </c>
      <c r="EH61" s="25">
        <v>0</v>
      </c>
      <c r="EI61" s="25">
        <v>0</v>
      </c>
      <c r="EJ61" s="25">
        <f t="shared" si="56"/>
        <v>45</v>
      </c>
      <c r="EK61" s="25">
        <f t="shared" si="57"/>
        <v>57</v>
      </c>
      <c r="EL61" s="25"/>
      <c r="EM61" s="25"/>
      <c r="EN61" s="25"/>
      <c r="EO61" s="25"/>
      <c r="EP61" s="25"/>
      <c r="EQ61" s="25">
        <f t="shared" si="55"/>
        <v>0</v>
      </c>
      <c r="ER61" s="25">
        <f t="shared" si="35"/>
        <v>0</v>
      </c>
      <c r="ES61" s="25">
        <f t="shared" si="36"/>
        <v>0</v>
      </c>
      <c r="ET61" s="25"/>
      <c r="EU61" s="25"/>
      <c r="EV61" s="25"/>
      <c r="EW61" s="25"/>
      <c r="EX61" s="25"/>
      <c r="EY61" s="25"/>
      <c r="EZ61" s="25"/>
      <c r="FA61" s="46"/>
      <c r="FB61" s="16"/>
      <c r="FC61" s="54">
        <f t="shared" si="24"/>
        <v>0</v>
      </c>
      <c r="FD61" s="46"/>
    </row>
    <row r="62" spans="2:169" s="26" customFormat="1" ht="13" hidden="1" x14ac:dyDescent="0.3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25"/>
        <v>0</v>
      </c>
      <c r="ED62" s="66"/>
      <c r="EE62" s="66"/>
      <c r="EF62" s="5"/>
      <c r="EG62" s="25">
        <v>0</v>
      </c>
      <c r="EH62" s="25">
        <v>0</v>
      </c>
      <c r="EI62" s="25">
        <v>223</v>
      </c>
      <c r="EJ62" s="25">
        <f t="shared" si="56"/>
        <v>383</v>
      </c>
      <c r="EK62" s="25">
        <f t="shared" si="57"/>
        <v>407</v>
      </c>
      <c r="EL62" s="25"/>
      <c r="EM62" s="25"/>
      <c r="EN62" s="25"/>
      <c r="EO62" s="25"/>
      <c r="EP62" s="25"/>
      <c r="EQ62" s="25">
        <f t="shared" si="55"/>
        <v>0</v>
      </c>
      <c r="ER62" s="25">
        <f t="shared" si="35"/>
        <v>0</v>
      </c>
      <c r="ES62" s="25">
        <f t="shared" si="36"/>
        <v>0</v>
      </c>
      <c r="ET62" s="25"/>
      <c r="EU62" s="25"/>
      <c r="EV62" s="25"/>
      <c r="EW62" s="25"/>
      <c r="EX62" s="25"/>
      <c r="EY62" s="25"/>
      <c r="EZ62" s="25"/>
      <c r="FA62" s="46"/>
      <c r="FB62" s="16"/>
      <c r="FC62" s="54">
        <f t="shared" si="24"/>
        <v>0</v>
      </c>
      <c r="FD62" s="46"/>
    </row>
    <row r="63" spans="2:169" s="26" customFormat="1" ht="13" x14ac:dyDescent="0.3">
      <c r="B63" s="3" t="s">
        <v>720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25"/>
        <v>0</v>
      </c>
      <c r="ED63" s="66"/>
      <c r="EE63" s="66"/>
      <c r="EF63" s="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>
        <f t="shared" si="35"/>
        <v>234</v>
      </c>
      <c r="ES63" s="25">
        <f t="shared" si="36"/>
        <v>354</v>
      </c>
      <c r="ET63" s="25">
        <f>+ES63*1.1</f>
        <v>389.40000000000003</v>
      </c>
      <c r="EU63" s="25">
        <f t="shared" ref="EU63:EX63" si="58">+ET63*1.1</f>
        <v>428.34000000000009</v>
      </c>
      <c r="EV63" s="25">
        <f t="shared" si="58"/>
        <v>471.17400000000015</v>
      </c>
      <c r="EW63" s="25">
        <f t="shared" si="58"/>
        <v>518.29140000000018</v>
      </c>
      <c r="EX63" s="25">
        <f t="shared" si="58"/>
        <v>570.12054000000023</v>
      </c>
      <c r="EY63" s="25"/>
      <c r="EZ63" s="25"/>
      <c r="FA63" s="46"/>
      <c r="FB63" s="16"/>
      <c r="FC63" s="54"/>
      <c r="FD63" s="46"/>
    </row>
    <row r="64" spans="2:169" s="26" customFormat="1" ht="13" x14ac:dyDescent="0.3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25"/>
        <v>0</v>
      </c>
      <c r="ED64" s="66"/>
      <c r="EE64" s="66"/>
      <c r="EF64" s="5"/>
      <c r="EG64" s="25">
        <v>1755</v>
      </c>
      <c r="EH64" s="25">
        <v>1548</v>
      </c>
      <c r="EI64" s="25">
        <v>1375</v>
      </c>
      <c r="EJ64" s="25">
        <f>SUM(AX64:BA64)</f>
        <v>1302</v>
      </c>
      <c r="EK64" s="25">
        <f>SUM(BB64:BE64)</f>
        <v>927</v>
      </c>
      <c r="EL64" s="25">
        <f>SUM(K64:L64)</f>
        <v>416</v>
      </c>
      <c r="EM64" s="25">
        <f>SUM(M64:N64)</f>
        <v>399</v>
      </c>
      <c r="EN64" s="25">
        <f>SUM(BN64:BQ64)</f>
        <v>344</v>
      </c>
      <c r="EO64" s="25">
        <f>SUM(BR64:BU64)</f>
        <v>307</v>
      </c>
      <c r="EP64" s="25">
        <f>SUM(BV64:BY64)</f>
        <v>311</v>
      </c>
      <c r="EQ64" s="25"/>
      <c r="ER64" s="25">
        <f t="shared" si="35"/>
        <v>266</v>
      </c>
      <c r="ES64" s="25">
        <f t="shared" si="36"/>
        <v>138</v>
      </c>
      <c r="ET64" s="25"/>
      <c r="EU64" s="25"/>
      <c r="EV64" s="25"/>
      <c r="EW64" s="25"/>
      <c r="EX64" s="25"/>
      <c r="EY64" s="25"/>
      <c r="EZ64" s="25">
        <v>252</v>
      </c>
      <c r="FA64" s="25">
        <v>244</v>
      </c>
      <c r="FB64" s="16"/>
      <c r="FC64" s="54"/>
      <c r="FD64" s="46"/>
    </row>
    <row r="65" spans="2:162" s="26" customFormat="1" ht="13" x14ac:dyDescent="0.3">
      <c r="B65" s="3"/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>
        <f t="shared" si="25"/>
        <v>0</v>
      </c>
      <c r="ED65" s="66"/>
      <c r="EE65" s="66"/>
      <c r="EF65" s="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>
        <v>300</v>
      </c>
      <c r="EU65" s="25">
        <v>400</v>
      </c>
      <c r="EV65" s="25">
        <v>500</v>
      </c>
      <c r="EW65" s="25">
        <v>600</v>
      </c>
      <c r="EX65" s="25">
        <v>600</v>
      </c>
      <c r="EY65" s="25">
        <v>600</v>
      </c>
      <c r="EZ65" s="25"/>
      <c r="FA65" s="46"/>
      <c r="FB65" s="16"/>
      <c r="FC65" s="54"/>
      <c r="FD65" s="46"/>
    </row>
    <row r="66" spans="2:162" s="26" customFormat="1" ht="13" x14ac:dyDescent="0.3">
      <c r="B66" s="3" t="s">
        <v>339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68">
        <f>Q8+Q4+Q5-SUM(Q22:Q53)</f>
        <v>8792</v>
      </c>
      <c r="R66" s="68">
        <f>R8+R4+R5-SUM(R22:R53)</f>
        <v>6342</v>
      </c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93"/>
      <c r="AX66" s="66">
        <v>1354</v>
      </c>
      <c r="AY66" s="66">
        <v>1389</v>
      </c>
      <c r="AZ66" s="66">
        <v>1247</v>
      </c>
      <c r="BA66" s="66">
        <v>1287</v>
      </c>
      <c r="BB66" s="66">
        <v>1332</v>
      </c>
      <c r="BC66" s="66">
        <v>1387.7282626022334</v>
      </c>
      <c r="BD66" s="66">
        <v>1301.2717373977657</v>
      </c>
      <c r="BE66" s="66">
        <v>1442</v>
      </c>
      <c r="BF66" s="66">
        <v>1278</v>
      </c>
      <c r="BG66" s="66">
        <v>1338</v>
      </c>
      <c r="BH66" s="66">
        <v>1286.2578675886843</v>
      </c>
      <c r="BI66" s="66">
        <v>1242.1465217449652</v>
      </c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25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>
        <v>787</v>
      </c>
      <c r="DS66" s="66"/>
      <c r="DT66" s="66"/>
      <c r="DU66" s="66"/>
      <c r="DV66" s="66"/>
      <c r="DW66" s="66"/>
      <c r="DX66" s="66"/>
      <c r="DY66" s="66"/>
      <c r="DZ66" s="66">
        <v>779</v>
      </c>
      <c r="EA66" s="66"/>
      <c r="EB66" s="66"/>
      <c r="EC66" s="54">
        <f t="shared" si="25"/>
        <v>1397</v>
      </c>
      <c r="ED66" s="66"/>
      <c r="EE66" s="66"/>
      <c r="EF66" s="5"/>
      <c r="EG66" s="25">
        <v>7640</v>
      </c>
      <c r="EH66" s="25">
        <v>6710</v>
      </c>
      <c r="EI66" s="25">
        <v>6004</v>
      </c>
      <c r="EJ66" s="25">
        <f>SUM(AX66:BA66)</f>
        <v>5277</v>
      </c>
      <c r="EK66" s="25">
        <f>SUM(BB66:BE66)</f>
        <v>5462.9999999999991</v>
      </c>
      <c r="EL66" s="25">
        <f>SUM(BF66:BI66)</f>
        <v>5144.4043893336493</v>
      </c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46"/>
      <c r="FB66" s="16"/>
      <c r="FC66" s="54">
        <v>2770</v>
      </c>
      <c r="FD66" s="54">
        <v>2176</v>
      </c>
    </row>
    <row r="67" spans="2:162" s="26" customFormat="1" ht="13" x14ac:dyDescent="0.3">
      <c r="B67" s="3" t="s">
        <v>18</v>
      </c>
      <c r="C67" s="23"/>
      <c r="D67" s="23"/>
      <c r="E67" s="23"/>
      <c r="F67" s="23"/>
      <c r="G67" s="23"/>
      <c r="H67" s="23"/>
      <c r="I67" s="27">
        <f t="shared" ref="I67:P67" si="59">I8+I4+I5-SUM(I22:I53)</f>
        <v>7606</v>
      </c>
      <c r="J67" s="27">
        <f t="shared" si="59"/>
        <v>7873</v>
      </c>
      <c r="K67" s="27">
        <f t="shared" si="59"/>
        <v>8448</v>
      </c>
      <c r="L67" s="27">
        <f t="shared" si="59"/>
        <v>8812</v>
      </c>
      <c r="M67" s="27">
        <f t="shared" si="59"/>
        <v>9113</v>
      </c>
      <c r="N67" s="27">
        <f t="shared" si="59"/>
        <v>9363</v>
      </c>
      <c r="O67" s="27">
        <f t="shared" si="59"/>
        <v>8582</v>
      </c>
      <c r="P67" s="27">
        <f t="shared" si="59"/>
        <v>9042</v>
      </c>
      <c r="Q67" s="46"/>
      <c r="R67" s="27"/>
      <c r="S67" s="27">
        <f>+BV67+BW67</f>
        <v>8893</v>
      </c>
      <c r="T67" s="27">
        <f>+BY67+BX67</f>
        <v>8280</v>
      </c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25">
        <f t="shared" ref="BH67:BT67" si="60">BH4+BH5+BH8-SUM(BH22:BH53)</f>
        <v>4080.910722056241</v>
      </c>
      <c r="BI67" s="25">
        <f t="shared" si="60"/>
        <v>4365.2622756988276</v>
      </c>
      <c r="BJ67" s="25">
        <f t="shared" si="60"/>
        <v>4394</v>
      </c>
      <c r="BK67" s="25">
        <f t="shared" si="60"/>
        <v>4567</v>
      </c>
      <c r="BL67" s="25">
        <f t="shared" si="60"/>
        <v>4474</v>
      </c>
      <c r="BM67" s="25">
        <f t="shared" si="60"/>
        <v>4730</v>
      </c>
      <c r="BN67" s="25">
        <f t="shared" si="60"/>
        <v>4244</v>
      </c>
      <c r="BO67" s="25">
        <f t="shared" si="60"/>
        <v>4335</v>
      </c>
      <c r="BP67" s="25">
        <f t="shared" si="60"/>
        <v>4395</v>
      </c>
      <c r="BQ67" s="25">
        <f t="shared" si="60"/>
        <v>4647</v>
      </c>
      <c r="BR67" s="25">
        <f t="shared" si="60"/>
        <v>4259</v>
      </c>
      <c r="BS67" s="25">
        <f t="shared" si="60"/>
        <v>4533</v>
      </c>
      <c r="BT67" s="25">
        <f t="shared" si="60"/>
        <v>4303</v>
      </c>
      <c r="BU67" s="25">
        <f t="shared" ref="BU67:CC67" si="61">BU4+BU5+BU7+BU8-SUM(BU22:BU66)</f>
        <v>4117</v>
      </c>
      <c r="BV67" s="25">
        <f t="shared" si="61"/>
        <v>4386</v>
      </c>
      <c r="BW67" s="25">
        <f t="shared" si="61"/>
        <v>4507</v>
      </c>
      <c r="BX67" s="25">
        <f t="shared" si="61"/>
        <v>4237</v>
      </c>
      <c r="BY67" s="25">
        <f t="shared" si="61"/>
        <v>4043</v>
      </c>
      <c r="BZ67" s="25">
        <f t="shared" si="61"/>
        <v>4217</v>
      </c>
      <c r="CA67" s="25">
        <f t="shared" si="61"/>
        <v>4087</v>
      </c>
      <c r="CB67" s="25">
        <f t="shared" si="61"/>
        <v>3723</v>
      </c>
      <c r="CC67" s="25">
        <f t="shared" si="61"/>
        <v>4220</v>
      </c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5"/>
      <c r="EG67" s="25"/>
      <c r="EH67" s="25"/>
      <c r="EI67" s="25"/>
      <c r="EJ67" s="25"/>
      <c r="EK67" s="25"/>
      <c r="EL67" s="25">
        <f>SUM(K67:L67)</f>
        <v>17260</v>
      </c>
      <c r="EM67" s="25">
        <f>SUM(M67:N67)</f>
        <v>18476</v>
      </c>
      <c r="EN67" s="25">
        <f>SUM(BN67:BQ67)</f>
        <v>17621</v>
      </c>
      <c r="EO67" s="25">
        <f>SUM(BR67:BU67)</f>
        <v>17212</v>
      </c>
      <c r="EP67" s="25">
        <f>SUM(BV67:BY67)</f>
        <v>17173</v>
      </c>
      <c r="EQ67" s="25">
        <f>SUM(BZ67:CC67)</f>
        <v>16247</v>
      </c>
      <c r="ER67" s="25"/>
      <c r="ES67" s="25"/>
      <c r="ET67" s="25">
        <f t="shared" ref="ET67:EY67" si="62">ES67*0.9</f>
        <v>0</v>
      </c>
      <c r="EU67" s="25">
        <f t="shared" si="62"/>
        <v>0</v>
      </c>
      <c r="EV67" s="25">
        <f t="shared" si="62"/>
        <v>0</v>
      </c>
      <c r="EW67" s="25">
        <f t="shared" si="62"/>
        <v>0</v>
      </c>
      <c r="EX67" s="25">
        <f t="shared" si="62"/>
        <v>0</v>
      </c>
      <c r="EY67" s="25">
        <f t="shared" si="62"/>
        <v>0</v>
      </c>
      <c r="EZ67" s="25">
        <f>464+93+195+337+1758</f>
        <v>2847</v>
      </c>
      <c r="FA67" s="25">
        <f>1576+2+294+224+106+382</f>
        <v>2584</v>
      </c>
      <c r="FB67" s="20"/>
      <c r="FC67" s="54"/>
      <c r="FD67" s="46"/>
      <c r="FF67" s="97"/>
    </row>
    <row r="68" spans="2:162" s="17" customFormat="1" ht="13" x14ac:dyDescent="0.3">
      <c r="B68" s="17" t="s">
        <v>63</v>
      </c>
      <c r="C68" s="69">
        <v>12810</v>
      </c>
      <c r="D68" s="69">
        <v>14380</v>
      </c>
      <c r="E68" s="27">
        <v>14526</v>
      </c>
      <c r="F68" s="27">
        <v>14996</v>
      </c>
      <c r="G68" s="27"/>
      <c r="H68" s="27"/>
      <c r="I68" s="27">
        <f t="shared" ref="I68:Q68" si="63">+I4+I5+I6+I8</f>
        <v>16622</v>
      </c>
      <c r="J68" s="27">
        <f t="shared" si="63"/>
        <v>18889</v>
      </c>
      <c r="K68" s="27">
        <f t="shared" si="63"/>
        <v>19849</v>
      </c>
      <c r="L68" s="27">
        <f t="shared" si="63"/>
        <v>22192</v>
      </c>
      <c r="M68" s="27">
        <f t="shared" si="63"/>
        <v>22827</v>
      </c>
      <c r="N68" s="27">
        <f t="shared" si="63"/>
        <v>23306</v>
      </c>
      <c r="O68" s="27">
        <f t="shared" si="63"/>
        <v>22004</v>
      </c>
      <c r="P68" s="27">
        <f t="shared" si="63"/>
        <v>23613</v>
      </c>
      <c r="Q68" s="27">
        <f t="shared" si="63"/>
        <v>24006</v>
      </c>
      <c r="R68" s="27">
        <f>R6+R3</f>
        <v>25216</v>
      </c>
      <c r="S68" s="27">
        <f>SUM(S22:S67)+S6</f>
        <v>24636</v>
      </c>
      <c r="T68" s="27">
        <f>SUM(T22:T67)+T6</f>
        <v>22767</v>
      </c>
      <c r="U68" s="27">
        <f>SUM(U22:U67)+U6</f>
        <v>13367</v>
      </c>
      <c r="V68" s="27">
        <f>SUM(V22:V67)+V6</f>
        <v>12948</v>
      </c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8"/>
      <c r="AX68" s="48"/>
      <c r="AY68" s="24"/>
      <c r="AZ68" s="24"/>
      <c r="BA68" s="24"/>
      <c r="BB68" s="24"/>
      <c r="BC68" s="24"/>
      <c r="BD68" s="24"/>
      <c r="BE68" s="24"/>
      <c r="BF68" s="24"/>
      <c r="BG68" s="24"/>
      <c r="BH68" s="27">
        <f t="shared" ref="BH68:BU68" si="64">SUM(BH22:BH67)+BH6</f>
        <v>12262.168589644925</v>
      </c>
      <c r="BI68" s="27">
        <f t="shared" si="64"/>
        <v>13158.408797443793</v>
      </c>
      <c r="BJ68" s="27">
        <f t="shared" si="64"/>
        <v>11726</v>
      </c>
      <c r="BK68" s="27">
        <f t="shared" si="64"/>
        <v>11849</v>
      </c>
      <c r="BL68" s="27">
        <f t="shared" si="64"/>
        <v>11476</v>
      </c>
      <c r="BM68" s="27">
        <f t="shared" si="64"/>
        <v>12538</v>
      </c>
      <c r="BN68" s="27">
        <f t="shared" si="64"/>
        <v>11082</v>
      </c>
      <c r="BO68" s="27">
        <f t="shared" si="64"/>
        <v>11362</v>
      </c>
      <c r="BP68" s="27">
        <f t="shared" si="64"/>
        <v>11503</v>
      </c>
      <c r="BQ68" s="27">
        <f t="shared" si="64"/>
        <v>12516</v>
      </c>
      <c r="BR68" s="27">
        <f t="shared" si="64"/>
        <v>11757</v>
      </c>
      <c r="BS68" s="27">
        <f t="shared" si="64"/>
        <v>12622</v>
      </c>
      <c r="BT68" s="27">
        <f t="shared" si="64"/>
        <v>12564</v>
      </c>
      <c r="BU68" s="27">
        <f t="shared" si="64"/>
        <v>12652</v>
      </c>
      <c r="BV68" s="27">
        <f>SUM(BV22:BV66)+BV6</f>
        <v>7859</v>
      </c>
      <c r="BW68" s="27">
        <f t="shared" ref="BW68:CC68" si="65">SUM(BW22:BW67)+BW6</f>
        <v>12391</v>
      </c>
      <c r="BX68" s="27">
        <f t="shared" si="65"/>
        <v>11491</v>
      </c>
      <c r="BY68" s="27">
        <f t="shared" si="65"/>
        <v>11346</v>
      </c>
      <c r="BZ68" s="27">
        <f t="shared" si="65"/>
        <v>11120</v>
      </c>
      <c r="CA68" s="27">
        <f t="shared" si="65"/>
        <v>10551</v>
      </c>
      <c r="CB68" s="27">
        <f t="shared" si="65"/>
        <v>9821</v>
      </c>
      <c r="CC68" s="27">
        <f t="shared" si="65"/>
        <v>11039</v>
      </c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>
        <f>SUM(DY6:DY67)</f>
        <v>13855</v>
      </c>
      <c r="DZ68" s="27">
        <f>SUM(DZ6:DZ67)</f>
        <v>14399</v>
      </c>
      <c r="EA68" s="27">
        <f>SUM(EA6:EA67)</f>
        <v>15079</v>
      </c>
      <c r="EB68" s="27">
        <f>SUM(EB6:EB67)</f>
        <v>14594</v>
      </c>
      <c r="EC68" s="27">
        <f>SUM(EC6:EC67)</f>
        <v>16423</v>
      </c>
      <c r="ED68" s="27"/>
      <c r="EE68" s="27"/>
      <c r="EG68" s="27"/>
      <c r="EH68" s="27">
        <v>26066</v>
      </c>
      <c r="EI68" s="27">
        <v>27190</v>
      </c>
      <c r="EJ68" s="27">
        <v>29522</v>
      </c>
      <c r="EK68" s="27">
        <f>I68+J68</f>
        <v>35511</v>
      </c>
      <c r="EL68" s="27">
        <f>L68+K68</f>
        <v>42041</v>
      </c>
      <c r="EM68" s="27">
        <f>N68+M68</f>
        <v>46133</v>
      </c>
      <c r="EN68" s="27">
        <f>SUM(EN22:EN67,EN6)</f>
        <v>46463</v>
      </c>
      <c r="EO68" s="27">
        <f>SUM(EO22:EO67,EO6)</f>
        <v>49595</v>
      </c>
      <c r="EP68" s="27">
        <f>SUM(EP22:EP67)+EP6</f>
        <v>47326</v>
      </c>
      <c r="EQ68" s="27">
        <f>EQ3+EQ6</f>
        <v>42531</v>
      </c>
      <c r="ER68" s="27">
        <f>SUM(ER22:ER67)+ER6</f>
        <v>17131</v>
      </c>
      <c r="ES68" s="27">
        <v>46780</v>
      </c>
      <c r="ET68" s="27">
        <v>47462</v>
      </c>
      <c r="EU68" s="27">
        <v>47581</v>
      </c>
      <c r="EV68" s="27">
        <v>48149</v>
      </c>
      <c r="EW68" s="27">
        <v>45104</v>
      </c>
      <c r="EX68" s="27">
        <v>46273</v>
      </c>
      <c r="EY68" s="27">
        <v>51837</v>
      </c>
      <c r="EZ68" s="27">
        <f>SUM(EZ9:EZ67)+EZ6</f>
        <v>58323</v>
      </c>
      <c r="FA68" s="27">
        <f>SUM(FA9:FA67)+FA6</f>
        <v>62801</v>
      </c>
      <c r="FB68" s="27">
        <f>SUM(FB9:FB67)+FB6</f>
        <v>60279</v>
      </c>
      <c r="FC68" s="27">
        <f>SUM(FC9:FC67)+FC6</f>
        <v>59266</v>
      </c>
      <c r="FD68" s="27">
        <f>SUM(FD9:FD67)+FD6</f>
        <v>60495</v>
      </c>
    </row>
    <row r="69" spans="2:162" x14ac:dyDescent="0.25">
      <c r="B69" s="15" t="s">
        <v>64</v>
      </c>
      <c r="C69" s="70"/>
      <c r="D69" s="70"/>
      <c r="E69" s="25">
        <v>790</v>
      </c>
      <c r="F69" s="25">
        <v>860</v>
      </c>
      <c r="G69" s="70">
        <v>710</v>
      </c>
      <c r="H69" s="25"/>
      <c r="I69" s="25">
        <v>710</v>
      </c>
      <c r="J69" s="25">
        <f>1447-I69</f>
        <v>737</v>
      </c>
      <c r="K69" s="25">
        <v>727</v>
      </c>
      <c r="L69" s="25">
        <f>1466-K69</f>
        <v>739</v>
      </c>
      <c r="M69" s="25">
        <f>1191-492-74-22-2</f>
        <v>601</v>
      </c>
      <c r="N69" s="25">
        <f>2243-M69-259-722-55-5</f>
        <v>601</v>
      </c>
      <c r="O69" s="25">
        <v>1136</v>
      </c>
      <c r="P69" s="25">
        <f>+O69+15</f>
        <v>1151</v>
      </c>
      <c r="Q69" s="25">
        <v>1116</v>
      </c>
      <c r="R69" s="25">
        <f>2100-Q69</f>
        <v>984</v>
      </c>
      <c r="S69" s="25">
        <v>878</v>
      </c>
      <c r="T69" s="25">
        <f>1694-S69</f>
        <v>816</v>
      </c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>
        <v>1570</v>
      </c>
      <c r="EK69" s="25">
        <f>I69+J69</f>
        <v>1447</v>
      </c>
      <c r="EL69" s="25">
        <f>L69+K69</f>
        <v>1466</v>
      </c>
      <c r="EM69" s="25">
        <f>N69+M69</f>
        <v>1202</v>
      </c>
      <c r="EN69" s="25">
        <f>SUM(O69:P69)</f>
        <v>2287</v>
      </c>
      <c r="EO69" s="25">
        <f>SUM(Q69:R69)</f>
        <v>2100</v>
      </c>
      <c r="EP69" s="25">
        <f>T69+S69</f>
        <v>1694</v>
      </c>
      <c r="EQ69" s="25">
        <v>1582</v>
      </c>
      <c r="ER69" s="25">
        <f t="shared" ref="ER69:EY69" si="66">EQ69</f>
        <v>1582</v>
      </c>
      <c r="ES69" s="25">
        <f t="shared" si="66"/>
        <v>1582</v>
      </c>
      <c r="ET69" s="25">
        <f t="shared" si="66"/>
        <v>1582</v>
      </c>
      <c r="EU69" s="25">
        <f t="shared" si="66"/>
        <v>1582</v>
      </c>
      <c r="EV69" s="25">
        <f t="shared" si="66"/>
        <v>1582</v>
      </c>
      <c r="EW69" s="25">
        <f t="shared" si="66"/>
        <v>1582</v>
      </c>
      <c r="EX69" s="25">
        <f t="shared" si="66"/>
        <v>1582</v>
      </c>
      <c r="EY69" s="25">
        <f t="shared" si="66"/>
        <v>1582</v>
      </c>
      <c r="EZ69" s="25">
        <v>2020</v>
      </c>
      <c r="FA69" s="23">
        <v>3049</v>
      </c>
      <c r="FC69" s="23">
        <v>1725</v>
      </c>
    </row>
    <row r="70" spans="2:162" s="17" customFormat="1" ht="13" x14ac:dyDescent="0.3">
      <c r="B70" s="15" t="s">
        <v>13</v>
      </c>
      <c r="C70" s="25">
        <v>2895</v>
      </c>
      <c r="D70" s="25">
        <v>3202</v>
      </c>
      <c r="E70" s="25">
        <v>3193</v>
      </c>
      <c r="F70" s="25">
        <v>3363</v>
      </c>
      <c r="G70" s="25">
        <v>3760</v>
      </c>
      <c r="H70" s="25">
        <v>3958</v>
      </c>
      <c r="I70" s="25">
        <v>4348</v>
      </c>
      <c r="J70" s="25">
        <f>9304-I70</f>
        <v>4956</v>
      </c>
      <c r="K70" s="25">
        <v>4934</v>
      </c>
      <c r="L70" s="25">
        <f>10616-K70</f>
        <v>5682</v>
      </c>
      <c r="M70" s="25">
        <v>5629</v>
      </c>
      <c r="N70" s="71">
        <f>13743-M70</f>
        <v>8114</v>
      </c>
      <c r="O70" s="25">
        <v>6532</v>
      </c>
      <c r="P70" s="25">
        <f>O70+597</f>
        <v>7129</v>
      </c>
      <c r="Q70" s="25">
        <v>7100</v>
      </c>
      <c r="R70" s="25">
        <f>14615-Q70</f>
        <v>7515</v>
      </c>
      <c r="S70" s="25">
        <v>6870</v>
      </c>
      <c r="T70" s="25">
        <f>13293-S70</f>
        <v>6423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4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5"/>
      <c r="EG70" s="25"/>
      <c r="EH70" s="25">
        <v>5984</v>
      </c>
      <c r="EI70" s="25">
        <v>6097</v>
      </c>
      <c r="EJ70" s="25">
        <v>7718</v>
      </c>
      <c r="EK70" s="25">
        <f>I70+J70</f>
        <v>9304</v>
      </c>
      <c r="EL70" s="25">
        <f>L70+K70</f>
        <v>10616</v>
      </c>
      <c r="EM70" s="25">
        <f>N70+M70</f>
        <v>13743</v>
      </c>
      <c r="EN70" s="25">
        <f>SUM(O70:P70)</f>
        <v>13661</v>
      </c>
      <c r="EO70" s="25">
        <f>SUM(Q70:R70)</f>
        <v>14615</v>
      </c>
      <c r="EP70" s="25">
        <f>T70+S70</f>
        <v>13293</v>
      </c>
      <c r="EQ70" s="25">
        <v>11942</v>
      </c>
      <c r="ER70" s="25">
        <f t="shared" ref="ER70:EY70" si="67">ER68-ER71+ER69</f>
        <v>18713</v>
      </c>
      <c r="ES70" s="25">
        <f t="shared" si="67"/>
        <v>48362</v>
      </c>
      <c r="ET70" s="25">
        <f t="shared" si="67"/>
        <v>49044</v>
      </c>
      <c r="EU70" s="25">
        <f t="shared" si="67"/>
        <v>49163</v>
      </c>
      <c r="EV70" s="25">
        <f t="shared" si="67"/>
        <v>49731</v>
      </c>
      <c r="EW70" s="25">
        <f t="shared" si="67"/>
        <v>46686</v>
      </c>
      <c r="EX70" s="25">
        <f t="shared" si="67"/>
        <v>47855</v>
      </c>
      <c r="EY70" s="25">
        <f t="shared" si="67"/>
        <v>53419</v>
      </c>
      <c r="EZ70" s="25">
        <v>14567</v>
      </c>
      <c r="FA70" s="25">
        <v>18138</v>
      </c>
      <c r="FC70" s="25">
        <v>15251</v>
      </c>
      <c r="FD70" s="48"/>
    </row>
    <row r="71" spans="2:162" s="17" customFormat="1" ht="13" x14ac:dyDescent="0.3">
      <c r="B71" s="15" t="s">
        <v>0</v>
      </c>
      <c r="C71" s="25">
        <v>9915</v>
      </c>
      <c r="D71" s="25">
        <v>11178</v>
      </c>
      <c r="E71" s="25">
        <v>11333</v>
      </c>
      <c r="F71" s="25">
        <v>11633</v>
      </c>
      <c r="G71" s="25">
        <v>10766</v>
      </c>
      <c r="H71" s="25">
        <v>11038</v>
      </c>
      <c r="I71" s="25">
        <f t="shared" ref="I71:N71" si="68">I68-I70+I69</f>
        <v>12984</v>
      </c>
      <c r="J71" s="25">
        <f t="shared" si="68"/>
        <v>14670</v>
      </c>
      <c r="K71" s="25">
        <f t="shared" si="68"/>
        <v>15642</v>
      </c>
      <c r="L71" s="25">
        <f t="shared" si="68"/>
        <v>17249</v>
      </c>
      <c r="M71" s="25">
        <f>M68-M70+M69</f>
        <v>17799</v>
      </c>
      <c r="N71" s="25">
        <f t="shared" si="68"/>
        <v>15793</v>
      </c>
      <c r="O71" s="25">
        <f t="shared" ref="O71:T71" si="69">O68-O70+O69</f>
        <v>16608</v>
      </c>
      <c r="P71" s="25">
        <f t="shared" si="69"/>
        <v>17635</v>
      </c>
      <c r="Q71" s="25">
        <f t="shared" si="69"/>
        <v>18022</v>
      </c>
      <c r="R71" s="25">
        <f t="shared" si="69"/>
        <v>18685</v>
      </c>
      <c r="S71" s="25">
        <f t="shared" si="69"/>
        <v>18644</v>
      </c>
      <c r="T71" s="25">
        <f t="shared" si="69"/>
        <v>17160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5"/>
      <c r="EH71" s="25">
        <v>20082</v>
      </c>
      <c r="EI71" s="25">
        <v>21093</v>
      </c>
      <c r="EJ71" s="25">
        <v>21804</v>
      </c>
      <c r="EK71" s="25">
        <f t="shared" ref="EK71:EL71" si="70">EK68+EK69-EK70</f>
        <v>27654</v>
      </c>
      <c r="EL71" s="25">
        <f t="shared" si="70"/>
        <v>32891</v>
      </c>
      <c r="EM71" s="25">
        <f>EM68+EM69-EM70</f>
        <v>33592</v>
      </c>
      <c r="EN71" s="25">
        <f>EN68+EN69-EN70</f>
        <v>35089</v>
      </c>
      <c r="EO71" s="25">
        <f>SUM(Q71:R71)</f>
        <v>36707</v>
      </c>
      <c r="EP71" s="25">
        <f>EP68+EP69-EP70</f>
        <v>35727</v>
      </c>
      <c r="EQ71" s="25">
        <f>EQ68+EQ69-EQ70</f>
        <v>32171</v>
      </c>
      <c r="ER71" s="25">
        <f t="shared" ref="ER71:EY71" si="71">ER68*ER90</f>
        <v>0</v>
      </c>
      <c r="ES71" s="25">
        <f t="shared" si="71"/>
        <v>0</v>
      </c>
      <c r="ET71" s="25">
        <f t="shared" si="71"/>
        <v>0</v>
      </c>
      <c r="EU71" s="25">
        <f t="shared" si="71"/>
        <v>0</v>
      </c>
      <c r="EV71" s="25">
        <f t="shared" si="71"/>
        <v>0</v>
      </c>
      <c r="EW71" s="25">
        <f t="shared" si="71"/>
        <v>0</v>
      </c>
      <c r="EX71" s="25">
        <f t="shared" si="71"/>
        <v>0</v>
      </c>
      <c r="EY71" s="25">
        <f t="shared" si="71"/>
        <v>0</v>
      </c>
      <c r="EZ71" s="25">
        <f>EZ68+EZ69-EZ70</f>
        <v>45776</v>
      </c>
      <c r="FA71" s="25">
        <f>FA68+FA69-FA70</f>
        <v>47712</v>
      </c>
      <c r="FC71" s="25">
        <f>FC68+FC69-FC70</f>
        <v>45740</v>
      </c>
      <c r="FD71" s="48"/>
    </row>
    <row r="72" spans="2:162" x14ac:dyDescent="0.25">
      <c r="B72" s="15" t="s">
        <v>186</v>
      </c>
      <c r="C72" s="25">
        <v>3658</v>
      </c>
      <c r="D72" s="25">
        <v>4159</v>
      </c>
      <c r="E72" s="25">
        <v>3983</v>
      </c>
      <c r="F72" s="25">
        <v>4292</v>
      </c>
      <c r="G72" s="25">
        <v>4000</v>
      </c>
      <c r="H72" s="25">
        <v>4338</v>
      </c>
      <c r="I72" s="25">
        <v>4409</v>
      </c>
      <c r="J72" s="25">
        <f>9625-I72</f>
        <v>5216</v>
      </c>
      <c r="K72" s="25">
        <v>5208</v>
      </c>
      <c r="L72" s="25">
        <f>10856-K72</f>
        <v>5648</v>
      </c>
      <c r="M72" s="25">
        <v>5552</v>
      </c>
      <c r="N72" s="71">
        <f>9327-M72</f>
        <v>3775</v>
      </c>
      <c r="O72" s="25">
        <v>4371</v>
      </c>
      <c r="P72" s="25">
        <f>O72+428</f>
        <v>4799</v>
      </c>
      <c r="Q72" s="25">
        <v>4567</v>
      </c>
      <c r="R72" s="25">
        <f>9475-Q72</f>
        <v>4908</v>
      </c>
      <c r="S72" s="25">
        <v>4546</v>
      </c>
      <c r="T72" s="25">
        <f>9488-S72</f>
        <v>4942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G72" s="25"/>
      <c r="EH72" s="25">
        <v>7859</v>
      </c>
      <c r="EI72" s="25">
        <v>7817</v>
      </c>
      <c r="EJ72" s="25">
        <v>8338</v>
      </c>
      <c r="EK72" s="25">
        <v>9507</v>
      </c>
      <c r="EL72" s="25">
        <f>SUM(K72:L72)</f>
        <v>10856</v>
      </c>
      <c r="EM72" s="25">
        <f>N72+M72</f>
        <v>9327</v>
      </c>
      <c r="EN72" s="25">
        <f>SUM(O72:P72)</f>
        <v>9170</v>
      </c>
      <c r="EO72" s="25">
        <f t="shared" ref="EO72" si="72">SUM(Q72:R72)</f>
        <v>9475</v>
      </c>
      <c r="EP72" s="25">
        <f>T72+S72</f>
        <v>9488</v>
      </c>
      <c r="EQ72" s="25">
        <v>8049</v>
      </c>
      <c r="ER72" s="25">
        <f t="shared" ref="ER72:EY72" si="73">EQ72*0.99</f>
        <v>7968.51</v>
      </c>
      <c r="ES72" s="25">
        <f t="shared" si="73"/>
        <v>7888.8249000000005</v>
      </c>
      <c r="ET72" s="25">
        <f t="shared" si="73"/>
        <v>7809.9366510000009</v>
      </c>
      <c r="EU72" s="25">
        <f t="shared" si="73"/>
        <v>7731.8372844900005</v>
      </c>
      <c r="EV72" s="25">
        <f t="shared" si="73"/>
        <v>7654.5189116451002</v>
      </c>
      <c r="EW72" s="25">
        <f t="shared" si="73"/>
        <v>7577.973722528649</v>
      </c>
      <c r="EX72" s="25">
        <f t="shared" si="73"/>
        <v>7502.1939853033628</v>
      </c>
      <c r="EY72" s="25">
        <f t="shared" si="73"/>
        <v>7427.1720454503293</v>
      </c>
      <c r="EZ72" s="25">
        <v>9361</v>
      </c>
      <c r="FA72" s="25">
        <v>9444</v>
      </c>
      <c r="FC72" s="25"/>
    </row>
    <row r="73" spans="2:162" s="17" customFormat="1" ht="13" x14ac:dyDescent="0.3">
      <c r="B73" s="15" t="s">
        <v>185</v>
      </c>
      <c r="C73" s="25">
        <v>633</v>
      </c>
      <c r="D73" s="25">
        <v>727</v>
      </c>
      <c r="E73" s="25">
        <v>677</v>
      </c>
      <c r="F73" s="25">
        <v>721</v>
      </c>
      <c r="G73" s="25">
        <v>1059</v>
      </c>
      <c r="H73" s="25">
        <v>1026</v>
      </c>
      <c r="I73" s="25">
        <v>1145</v>
      </c>
      <c r="J73" s="25">
        <f>2288-I73</f>
        <v>1143</v>
      </c>
      <c r="K73" s="25">
        <v>1072</v>
      </c>
      <c r="L73" s="25">
        <f>2542-K73</f>
        <v>1470</v>
      </c>
      <c r="M73" s="25">
        <v>1237</v>
      </c>
      <c r="N73" s="25">
        <f>2453-M73</f>
        <v>1216</v>
      </c>
      <c r="O73" s="25">
        <v>1089</v>
      </c>
      <c r="P73" s="25">
        <f>O73+154</f>
        <v>1243</v>
      </c>
      <c r="Q73" s="25">
        <v>967</v>
      </c>
      <c r="R73" s="25">
        <f>2175-Q73</f>
        <v>1208</v>
      </c>
      <c r="S73" s="25">
        <v>871</v>
      </c>
      <c r="T73" s="25">
        <f>2874-S73</f>
        <v>2003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5"/>
      <c r="EG73" s="25"/>
      <c r="EH73" s="25">
        <v>1193</v>
      </c>
      <c r="EI73" s="25">
        <v>1360</v>
      </c>
      <c r="EJ73" s="25">
        <v>2085</v>
      </c>
      <c r="EK73" s="25">
        <v>2309</v>
      </c>
      <c r="EL73" s="25">
        <f>SUM(K73:L73)</f>
        <v>2542</v>
      </c>
      <c r="EM73" s="25">
        <f>N73+M73</f>
        <v>2453</v>
      </c>
      <c r="EN73" s="25">
        <f>SUM(O73:P73)</f>
        <v>2332</v>
      </c>
      <c r="EO73" s="25">
        <f t="shared" ref="EO73" si="74">SUM(Q73:R73)</f>
        <v>2175</v>
      </c>
      <c r="EP73" s="25">
        <f>T73+S73</f>
        <v>2874</v>
      </c>
      <c r="EQ73" s="25">
        <v>2342</v>
      </c>
      <c r="ER73" s="25">
        <f t="shared" ref="ER73:EY73" si="75">EQ73*0.99</f>
        <v>2318.58</v>
      </c>
      <c r="ES73" s="25">
        <f t="shared" si="75"/>
        <v>2295.3941999999997</v>
      </c>
      <c r="ET73" s="25">
        <f t="shared" si="75"/>
        <v>2272.4402579999996</v>
      </c>
      <c r="EU73" s="25">
        <f t="shared" si="75"/>
        <v>2249.7158554199996</v>
      </c>
      <c r="EV73" s="25">
        <f t="shared" si="75"/>
        <v>2227.2186968657998</v>
      </c>
      <c r="EW73" s="25">
        <f t="shared" si="75"/>
        <v>2204.9465098971418</v>
      </c>
      <c r="EX73" s="25">
        <f t="shared" si="75"/>
        <v>2182.8970447981706</v>
      </c>
      <c r="EY73" s="25">
        <f t="shared" si="75"/>
        <v>2161.0680743501889</v>
      </c>
      <c r="EZ73" s="25">
        <v>2726</v>
      </c>
      <c r="FA73" s="25">
        <v>2663</v>
      </c>
      <c r="FC73" s="25">
        <v>13518</v>
      </c>
      <c r="FD73" s="48"/>
    </row>
    <row r="74" spans="2:162" x14ac:dyDescent="0.25">
      <c r="B74" s="15" t="s">
        <v>1</v>
      </c>
      <c r="C74" s="25">
        <v>2173</v>
      </c>
      <c r="D74" s="25">
        <v>2451</v>
      </c>
      <c r="E74" s="25">
        <v>2333</v>
      </c>
      <c r="F74" s="25">
        <v>2720</v>
      </c>
      <c r="G74" s="25">
        <v>2361</v>
      </c>
      <c r="H74" s="25">
        <v>2793</v>
      </c>
      <c r="I74" s="25">
        <v>2559</v>
      </c>
      <c r="J74" s="25">
        <f>5705-I74</f>
        <v>3146</v>
      </c>
      <c r="K74" s="72">
        <v>3063</v>
      </c>
      <c r="L74" s="72">
        <f>6589-K74</f>
        <v>3526</v>
      </c>
      <c r="M74" s="25">
        <v>3635</v>
      </c>
      <c r="N74" s="25">
        <f>8385-M74</f>
        <v>4750</v>
      </c>
      <c r="O74" s="25">
        <v>4107</v>
      </c>
      <c r="P74" s="25">
        <f>8845-O74</f>
        <v>4738</v>
      </c>
      <c r="Q74" s="25">
        <v>4518</v>
      </c>
      <c r="R74" s="25">
        <f>9874-Q74</f>
        <v>5356</v>
      </c>
      <c r="S74" s="25">
        <v>4471</v>
      </c>
      <c r="T74" s="25">
        <f>10026-S74</f>
        <v>5555</v>
      </c>
      <c r="U74" s="25"/>
      <c r="V74" s="25"/>
      <c r="W74" s="25"/>
      <c r="X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EG74" s="25"/>
      <c r="EH74" s="25">
        <v>4132</v>
      </c>
      <c r="EI74" s="25">
        <v>4624</v>
      </c>
      <c r="EJ74" s="25">
        <v>5154</v>
      </c>
      <c r="EK74" s="25">
        <f>I74+J74</f>
        <v>5705</v>
      </c>
      <c r="EL74" s="25">
        <f>L74+K74</f>
        <v>6589</v>
      </c>
      <c r="EM74" s="25">
        <f>N74+M74</f>
        <v>8385</v>
      </c>
      <c r="EN74" s="25">
        <f>SUM(O74:P74)</f>
        <v>8845</v>
      </c>
      <c r="EO74" s="25">
        <f t="shared" ref="EO74" si="76">SUM(Q74:R74)</f>
        <v>9874</v>
      </c>
      <c r="EP74" s="25">
        <f>T74+S74</f>
        <v>10026</v>
      </c>
      <c r="EQ74" s="25">
        <v>8326</v>
      </c>
      <c r="ER74" s="25"/>
      <c r="ES74" s="25"/>
      <c r="ET74" s="25"/>
      <c r="EU74" s="25"/>
      <c r="EV74" s="25"/>
      <c r="EW74" s="25"/>
      <c r="EX74" s="25"/>
      <c r="EY74" s="25"/>
      <c r="EZ74" s="25">
        <v>12153</v>
      </c>
      <c r="FA74" s="23">
        <v>13708</v>
      </c>
      <c r="FC74" s="23">
        <v>15251</v>
      </c>
    </row>
    <row r="75" spans="2:162" x14ac:dyDescent="0.25">
      <c r="B75" s="15" t="s">
        <v>183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>
        <f>736+472+2</f>
        <v>1210</v>
      </c>
      <c r="N75" s="25">
        <f>1560+976+6+58-M75</f>
        <v>1390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/>
      <c r="EI75" s="25"/>
      <c r="EJ75" s="25"/>
      <c r="EK75" s="25"/>
      <c r="EL75" s="25">
        <f>M75+L75</f>
        <v>1210</v>
      </c>
      <c r="EM75" s="25">
        <f>N75+M75</f>
        <v>2600</v>
      </c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</row>
    <row r="76" spans="2:162" x14ac:dyDescent="0.25">
      <c r="B76" s="3" t="s">
        <v>580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>
        <f t="shared" ref="M76:Q76" si="77">SUM(M72:M74)-M75</f>
        <v>9214</v>
      </c>
      <c r="N76" s="25">
        <f t="shared" si="77"/>
        <v>8351</v>
      </c>
      <c r="O76" s="25">
        <f t="shared" si="77"/>
        <v>9567</v>
      </c>
      <c r="P76" s="25">
        <f t="shared" si="77"/>
        <v>10780</v>
      </c>
      <c r="Q76" s="25">
        <f t="shared" si="77"/>
        <v>10052</v>
      </c>
      <c r="R76" s="25">
        <f>SUM(R72:R74)-R75</f>
        <v>11472</v>
      </c>
      <c r="S76" s="25">
        <f>SUM(S72:S74)-S75</f>
        <v>9888</v>
      </c>
      <c r="T76" s="25">
        <f>SUM(T72:T74)-T75</f>
        <v>12500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/>
      <c r="EI76" s="25"/>
      <c r="EJ76" s="25"/>
      <c r="EK76" s="25"/>
      <c r="EL76" s="25">
        <f t="shared" ref="EL76:EQ76" si="78">SUM(EL72:EL74)-EL75</f>
        <v>18777</v>
      </c>
      <c r="EM76" s="25">
        <f t="shared" si="78"/>
        <v>17565</v>
      </c>
      <c r="EN76" s="25">
        <f t="shared" si="78"/>
        <v>20347</v>
      </c>
      <c r="EO76" s="25">
        <f t="shared" si="78"/>
        <v>21524</v>
      </c>
      <c r="EP76" s="25">
        <f t="shared" si="78"/>
        <v>22388</v>
      </c>
      <c r="EQ76" s="25">
        <f t="shared" si="78"/>
        <v>18717</v>
      </c>
      <c r="ER76" s="25">
        <f t="shared" ref="ER76:EY76" si="79">SUM(ER72:ER74)-ER75</f>
        <v>10287.09</v>
      </c>
      <c r="ES76" s="25">
        <f t="shared" si="79"/>
        <v>10184.2191</v>
      </c>
      <c r="ET76" s="25">
        <f t="shared" si="79"/>
        <v>10082.376909000001</v>
      </c>
      <c r="EU76" s="25">
        <f t="shared" si="79"/>
        <v>9981.55313991</v>
      </c>
      <c r="EV76" s="25">
        <f t="shared" si="79"/>
        <v>9881.737608510899</v>
      </c>
      <c r="EW76" s="25">
        <f t="shared" si="79"/>
        <v>9782.9202324257913</v>
      </c>
      <c r="EX76" s="25">
        <f t="shared" si="79"/>
        <v>9685.0910301015338</v>
      </c>
      <c r="EY76" s="25">
        <f t="shared" si="79"/>
        <v>9588.2401198005173</v>
      </c>
      <c r="EZ76" s="23">
        <f>SUM(EZ72:EZ74)</f>
        <v>24240</v>
      </c>
      <c r="FA76" s="23">
        <f>SUM(FA72:FA74)</f>
        <v>25815</v>
      </c>
      <c r="FC76" s="23">
        <f>SUM(FC72:FC74)</f>
        <v>28769</v>
      </c>
    </row>
    <row r="77" spans="2:162" s="17" customFormat="1" ht="13" x14ac:dyDescent="0.3">
      <c r="B77" s="17" t="s">
        <v>149</v>
      </c>
      <c r="C77" s="27">
        <v>2833</v>
      </c>
      <c r="D77" s="27">
        <v>2960</v>
      </c>
      <c r="E77" s="27">
        <v>3701</v>
      </c>
      <c r="F77" s="27">
        <v>3249</v>
      </c>
      <c r="G77" s="27">
        <v>3527</v>
      </c>
      <c r="H77" s="27">
        <v>3239</v>
      </c>
      <c r="I77" s="27">
        <f>I71-I72-I73-I74</f>
        <v>4871</v>
      </c>
      <c r="J77" s="27">
        <f>J71-J72-J73-J74</f>
        <v>5165</v>
      </c>
      <c r="K77" s="27">
        <f>K71-K72-K73-K74</f>
        <v>6299</v>
      </c>
      <c r="L77" s="27">
        <f>L71-L72-L73-L74</f>
        <v>6605</v>
      </c>
      <c r="M77" s="27">
        <f t="shared" ref="M77:Q77" si="80">M71-M76</f>
        <v>8585</v>
      </c>
      <c r="N77" s="27">
        <f t="shared" si="80"/>
        <v>7442</v>
      </c>
      <c r="O77" s="27">
        <f t="shared" si="80"/>
        <v>7041</v>
      </c>
      <c r="P77" s="27">
        <f t="shared" si="80"/>
        <v>6855</v>
      </c>
      <c r="Q77" s="27">
        <f t="shared" si="80"/>
        <v>7970</v>
      </c>
      <c r="R77" s="27">
        <f>R71-R76</f>
        <v>7213</v>
      </c>
      <c r="S77" s="27">
        <f>S71-S76</f>
        <v>8756</v>
      </c>
      <c r="T77" s="27">
        <f>T71-T76</f>
        <v>4660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5"/>
      <c r="EG77" s="27"/>
      <c r="EH77" s="27">
        <v>5223</v>
      </c>
      <c r="EI77" s="27">
        <v>5793</v>
      </c>
      <c r="EJ77" s="27">
        <v>6766</v>
      </c>
      <c r="EK77" s="27">
        <f>EK71-EK72-EK73-EK74</f>
        <v>10133</v>
      </c>
      <c r="EL77" s="27">
        <f t="shared" ref="EL77:EQ77" si="81">EL71-EL76</f>
        <v>14114</v>
      </c>
      <c r="EM77" s="27">
        <f t="shared" si="81"/>
        <v>16027</v>
      </c>
      <c r="EN77" s="27">
        <f t="shared" si="81"/>
        <v>14742</v>
      </c>
      <c r="EO77" s="27">
        <f t="shared" si="81"/>
        <v>15183</v>
      </c>
      <c r="EP77" s="27">
        <f t="shared" si="81"/>
        <v>13339</v>
      </c>
      <c r="EQ77" s="27">
        <f t="shared" si="81"/>
        <v>13454</v>
      </c>
      <c r="ER77" s="27">
        <f t="shared" ref="ER77:EZ77" si="82">ER71-ER76</f>
        <v>-10287.09</v>
      </c>
      <c r="ES77" s="27">
        <f t="shared" si="82"/>
        <v>-10184.2191</v>
      </c>
      <c r="ET77" s="27">
        <f t="shared" si="82"/>
        <v>-10082.376909000001</v>
      </c>
      <c r="EU77" s="27">
        <f t="shared" si="82"/>
        <v>-9981.55313991</v>
      </c>
      <c r="EV77" s="27">
        <f t="shared" si="82"/>
        <v>-9881.737608510899</v>
      </c>
      <c r="EW77" s="27">
        <f t="shared" si="82"/>
        <v>-9782.9202324257913</v>
      </c>
      <c r="EX77" s="27">
        <f t="shared" si="82"/>
        <v>-9685.0910301015338</v>
      </c>
      <c r="EY77" s="27">
        <f t="shared" si="82"/>
        <v>-9588.2401198005173</v>
      </c>
      <c r="EZ77" s="27">
        <f t="shared" si="82"/>
        <v>21536</v>
      </c>
      <c r="FA77" s="24">
        <f>FA71-FA76</f>
        <v>21897</v>
      </c>
      <c r="FC77" s="24">
        <f>FC71-FC76</f>
        <v>16971</v>
      </c>
      <c r="FD77" s="48"/>
    </row>
    <row r="78" spans="2:162" x14ac:dyDescent="0.25">
      <c r="B78" s="15" t="s">
        <v>2</v>
      </c>
      <c r="C78" s="23">
        <v>-75</v>
      </c>
      <c r="D78" s="23">
        <v>122</v>
      </c>
      <c r="E78" s="23">
        <v>131</v>
      </c>
      <c r="F78" s="23">
        <v>106</v>
      </c>
      <c r="G78" s="67">
        <v>213</v>
      </c>
      <c r="H78" s="67">
        <v>156</v>
      </c>
      <c r="I78" s="67">
        <v>241</v>
      </c>
      <c r="J78" s="67">
        <f>678-I78</f>
        <v>437</v>
      </c>
      <c r="K78" s="67">
        <v>902</v>
      </c>
      <c r="L78" s="67">
        <f>1829-K78</f>
        <v>927</v>
      </c>
      <c r="M78" s="67">
        <v>979</v>
      </c>
      <c r="N78" s="67">
        <f>1805-M78</f>
        <v>826</v>
      </c>
      <c r="O78" s="67">
        <v>684</v>
      </c>
      <c r="P78" s="67">
        <f>O78</f>
        <v>684</v>
      </c>
      <c r="Q78" s="67">
        <v>484</v>
      </c>
      <c r="R78" s="67">
        <f>792-Q78</f>
        <v>308</v>
      </c>
      <c r="S78" s="67">
        <v>302</v>
      </c>
      <c r="T78" s="67">
        <f>-3+557-S78</f>
        <v>252</v>
      </c>
      <c r="EG78" s="25"/>
      <c r="EH78" s="25">
        <v>2000</v>
      </c>
      <c r="EI78" s="25">
        <v>47</v>
      </c>
      <c r="EJ78" s="25">
        <v>369</v>
      </c>
      <c r="EK78" s="25">
        <v>1313</v>
      </c>
      <c r="EL78" s="25">
        <f>SUM(K78:L78)</f>
        <v>1829</v>
      </c>
      <c r="EM78" s="25">
        <f>N78+M78</f>
        <v>1805</v>
      </c>
      <c r="EN78" s="25">
        <v>1123</v>
      </c>
      <c r="EO78" s="25">
        <f t="shared" ref="EO78:EO79" si="83">SUM(Q78:R78)</f>
        <v>792</v>
      </c>
      <c r="EP78" s="25">
        <f>T78+S78</f>
        <v>554</v>
      </c>
      <c r="EQ78" s="25">
        <f>-2228+647+12</f>
        <v>-1569</v>
      </c>
      <c r="ER78" s="25">
        <f t="shared" ref="ER78:EY78" si="84">ER88*$FJ$90</f>
        <v>-66.900000000000006</v>
      </c>
      <c r="ES78" s="25">
        <f t="shared" si="84"/>
        <v>-460.35162000000003</v>
      </c>
      <c r="ET78" s="25">
        <f t="shared" si="84"/>
        <v>-864.84530735999999</v>
      </c>
      <c r="EU78" s="25">
        <f t="shared" si="84"/>
        <v>-1280.83975158168</v>
      </c>
      <c r="EV78" s="25">
        <f t="shared" si="84"/>
        <v>-1708.8106814583641</v>
      </c>
      <c r="EW78" s="25">
        <f t="shared" si="84"/>
        <v>-2149.2515164771962</v>
      </c>
      <c r="EX78" s="25">
        <f t="shared" si="84"/>
        <v>-2602.67404293551</v>
      </c>
      <c r="EY78" s="25">
        <f t="shared" si="84"/>
        <v>-3069.6091157109176</v>
      </c>
      <c r="EZ78" s="25">
        <f>-539-25</f>
        <v>-564</v>
      </c>
      <c r="FA78" s="44">
        <f>-412-339</f>
        <v>-751</v>
      </c>
      <c r="FC78" s="44">
        <f>805-980-320</f>
        <v>-495</v>
      </c>
    </row>
    <row r="79" spans="2:162" s="17" customFormat="1" ht="13" x14ac:dyDescent="0.3">
      <c r="B79" s="15" t="s">
        <v>3</v>
      </c>
      <c r="C79" s="25">
        <v>-276</v>
      </c>
      <c r="D79" s="25">
        <v>-401</v>
      </c>
      <c r="E79" s="25">
        <v>-370</v>
      </c>
      <c r="F79" s="25">
        <v>-206</v>
      </c>
      <c r="G79" s="25">
        <v>-383</v>
      </c>
      <c r="H79" s="25">
        <v>-244</v>
      </c>
      <c r="I79" s="25">
        <v>-187</v>
      </c>
      <c r="J79" s="25">
        <f>-382-I79</f>
        <v>-195</v>
      </c>
      <c r="K79" s="25">
        <v>478</v>
      </c>
      <c r="L79" s="25">
        <f>974-K79</f>
        <v>496</v>
      </c>
      <c r="M79" s="25">
        <v>479</v>
      </c>
      <c r="N79" s="25">
        <f>971-M79</f>
        <v>492</v>
      </c>
      <c r="O79" s="67">
        <v>447</v>
      </c>
      <c r="P79" s="67">
        <f>O79</f>
        <v>447</v>
      </c>
      <c r="Q79" s="67">
        <v>1035</v>
      </c>
      <c r="R79" s="67">
        <f>2460-Q79</f>
        <v>1425</v>
      </c>
      <c r="S79" s="67">
        <v>1508</v>
      </c>
      <c r="T79" s="67">
        <f>2829-S79</f>
        <v>1321</v>
      </c>
      <c r="U79" s="67"/>
      <c r="V79" s="67"/>
      <c r="W79" s="67"/>
      <c r="X79" s="67"/>
      <c r="Y79" s="25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15"/>
      <c r="EG79" s="25"/>
      <c r="EH79" s="25">
        <v>-1165.1611044776121</v>
      </c>
      <c r="EI79" s="25">
        <v>-677</v>
      </c>
      <c r="EJ79" s="25">
        <v>-627</v>
      </c>
      <c r="EK79" s="25">
        <v>985</v>
      </c>
      <c r="EL79" s="25">
        <f>SUM(K79:L79)</f>
        <v>974</v>
      </c>
      <c r="EM79" s="25">
        <f>N79+M79</f>
        <v>971</v>
      </c>
      <c r="EN79" s="25">
        <v>887</v>
      </c>
      <c r="EO79" s="25">
        <f t="shared" si="83"/>
        <v>2460</v>
      </c>
      <c r="EP79" s="25">
        <f>T79+S79</f>
        <v>2829</v>
      </c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48"/>
      <c r="FC79" s="48"/>
      <c r="FD79" s="48"/>
    </row>
    <row r="80" spans="2:162" s="17" customFormat="1" ht="13" x14ac:dyDescent="0.3">
      <c r="B80" s="17" t="s">
        <v>15</v>
      </c>
      <c r="C80" s="27">
        <v>2464</v>
      </c>
      <c r="D80" s="27">
        <v>2655</v>
      </c>
      <c r="E80" s="27">
        <v>3435</v>
      </c>
      <c r="F80" s="27">
        <v>3133</v>
      </c>
      <c r="G80" s="27">
        <v>3330</v>
      </c>
      <c r="H80" s="27">
        <v>3135</v>
      </c>
      <c r="I80" s="27">
        <f t="shared" ref="I80:S80" si="85">I77+I78-I79</f>
        <v>5299</v>
      </c>
      <c r="J80" s="27">
        <f t="shared" si="85"/>
        <v>5797</v>
      </c>
      <c r="K80" s="27">
        <f t="shared" si="85"/>
        <v>6723</v>
      </c>
      <c r="L80" s="27">
        <f t="shared" si="85"/>
        <v>7036</v>
      </c>
      <c r="M80" s="27">
        <f t="shared" si="85"/>
        <v>9085</v>
      </c>
      <c r="N80" s="27">
        <f t="shared" si="85"/>
        <v>7776</v>
      </c>
      <c r="O80" s="27">
        <f t="shared" si="85"/>
        <v>7278</v>
      </c>
      <c r="P80" s="27">
        <f t="shared" si="85"/>
        <v>7092</v>
      </c>
      <c r="Q80" s="27">
        <f t="shared" si="85"/>
        <v>7419</v>
      </c>
      <c r="R80" s="27">
        <f t="shared" si="85"/>
        <v>6096</v>
      </c>
      <c r="S80" s="27">
        <f t="shared" si="85"/>
        <v>7550</v>
      </c>
      <c r="T80" s="27">
        <f>T77+T78-T79</f>
        <v>3591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7"/>
      <c r="EH80" s="27">
        <v>6020.8388955223882</v>
      </c>
      <c r="EI80" s="27">
        <v>5119</v>
      </c>
      <c r="EJ80" s="27">
        <v>6465</v>
      </c>
      <c r="EK80" s="27">
        <f t="shared" ref="EK80:EZ80" si="86">EK77+EK78-EK79</f>
        <v>10461</v>
      </c>
      <c r="EL80" s="27">
        <f t="shared" si="86"/>
        <v>14969</v>
      </c>
      <c r="EM80" s="27">
        <f t="shared" si="86"/>
        <v>16861</v>
      </c>
      <c r="EN80" s="27">
        <f t="shared" si="86"/>
        <v>14978</v>
      </c>
      <c r="EO80" s="27">
        <f t="shared" si="86"/>
        <v>13515</v>
      </c>
      <c r="EP80" s="27">
        <f>EP77+EP78-EP79</f>
        <v>11064</v>
      </c>
      <c r="EQ80" s="27">
        <f t="shared" si="86"/>
        <v>11885</v>
      </c>
      <c r="ER80" s="27">
        <f t="shared" si="86"/>
        <v>-10353.99</v>
      </c>
      <c r="ES80" s="27">
        <f t="shared" si="86"/>
        <v>-10644.57072</v>
      </c>
      <c r="ET80" s="27">
        <f t="shared" si="86"/>
        <v>-10947.22221636</v>
      </c>
      <c r="EU80" s="27">
        <f t="shared" si="86"/>
        <v>-11262.39289149168</v>
      </c>
      <c r="EV80" s="27">
        <f t="shared" si="86"/>
        <v>-11590.548289969263</v>
      </c>
      <c r="EW80" s="27">
        <f t="shared" si="86"/>
        <v>-11932.171748902987</v>
      </c>
      <c r="EX80" s="27">
        <f t="shared" si="86"/>
        <v>-12287.765073037044</v>
      </c>
      <c r="EY80" s="27">
        <f t="shared" si="86"/>
        <v>-12657.849235511436</v>
      </c>
      <c r="EZ80" s="27">
        <f t="shared" si="86"/>
        <v>20972</v>
      </c>
      <c r="FA80" s="24">
        <f>FA77+FA78</f>
        <v>21146</v>
      </c>
      <c r="FB80" s="24">
        <f>FB77+FB78</f>
        <v>0</v>
      </c>
      <c r="FC80" s="24">
        <f>FC77+FC78</f>
        <v>16476</v>
      </c>
      <c r="FD80" s="48"/>
    </row>
    <row r="81" spans="2:233" x14ac:dyDescent="0.25">
      <c r="B81" s="15" t="s">
        <v>5</v>
      </c>
      <c r="C81" s="25">
        <v>-658</v>
      </c>
      <c r="D81" s="25">
        <v>-661</v>
      </c>
      <c r="E81" s="25">
        <v>-835</v>
      </c>
      <c r="F81" s="25">
        <v>-810</v>
      </c>
      <c r="G81" s="25">
        <v>-806</v>
      </c>
      <c r="H81" s="25">
        <v>-799</v>
      </c>
      <c r="I81" s="25">
        <v>1095</v>
      </c>
      <c r="J81" s="25">
        <f>2224-I81</f>
        <v>1129</v>
      </c>
      <c r="K81" s="25">
        <v>1701</v>
      </c>
      <c r="L81" s="25">
        <f>3436-K81</f>
        <v>1735</v>
      </c>
      <c r="M81" s="25">
        <v>2115</v>
      </c>
      <c r="N81" s="25">
        <f>3867-M81</f>
        <v>1752</v>
      </c>
      <c r="O81" s="25">
        <v>1861</v>
      </c>
      <c r="P81" s="25"/>
      <c r="Q81" s="25">
        <v>1678</v>
      </c>
      <c r="R81" s="25">
        <f>2870-Q81</f>
        <v>1192</v>
      </c>
      <c r="S81" s="25">
        <v>1800</v>
      </c>
      <c r="T81" s="25">
        <f>2320-S81</f>
        <v>520</v>
      </c>
      <c r="U81" s="25"/>
      <c r="V81" s="25"/>
      <c r="W81" s="25"/>
      <c r="X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EG81" s="25"/>
      <c r="EH81" s="25">
        <v>-1595</v>
      </c>
      <c r="EI81" s="25">
        <v>-1319</v>
      </c>
      <c r="EJ81" s="25">
        <v>-1605</v>
      </c>
      <c r="EK81" s="25">
        <v>2284</v>
      </c>
      <c r="EL81" s="25">
        <f>SUM(K81:L81)</f>
        <v>3436</v>
      </c>
      <c r="EM81" s="25">
        <f>N81+M81</f>
        <v>3867</v>
      </c>
      <c r="EN81" s="25">
        <v>3317</v>
      </c>
      <c r="EO81" s="25">
        <f>SUM(Q81:R81)</f>
        <v>2870</v>
      </c>
      <c r="EP81" s="25">
        <f>T81+S81</f>
        <v>2320</v>
      </c>
      <c r="EQ81" s="25">
        <v>2341</v>
      </c>
      <c r="ER81" s="25">
        <f t="shared" ref="ER81:EY81" si="87">ER80*0.24</f>
        <v>-2484.9575999999997</v>
      </c>
      <c r="ES81" s="25">
        <f t="shared" si="87"/>
        <v>-2554.6969727999999</v>
      </c>
      <c r="ET81" s="25">
        <f t="shared" si="87"/>
        <v>-2627.3333319263998</v>
      </c>
      <c r="EU81" s="25">
        <f t="shared" si="87"/>
        <v>-2702.9742939580028</v>
      </c>
      <c r="EV81" s="25">
        <f t="shared" si="87"/>
        <v>-2781.7315895926231</v>
      </c>
      <c r="EW81" s="25">
        <f t="shared" si="87"/>
        <v>-2863.7212197367166</v>
      </c>
      <c r="EX81" s="25">
        <f t="shared" si="87"/>
        <v>-2949.0636175288905</v>
      </c>
      <c r="EY81" s="25">
        <f t="shared" si="87"/>
        <v>-3037.8838165227444</v>
      </c>
      <c r="EZ81" s="25">
        <v>3594</v>
      </c>
      <c r="FA81" s="23">
        <v>3075</v>
      </c>
      <c r="FB81" s="23"/>
      <c r="FC81" s="23">
        <v>2136</v>
      </c>
    </row>
    <row r="82" spans="2:233" x14ac:dyDescent="0.25">
      <c r="B82" s="15" t="s">
        <v>6</v>
      </c>
      <c r="C82" s="25">
        <v>1806</v>
      </c>
      <c r="D82" s="25">
        <v>1994</v>
      </c>
      <c r="E82" s="25">
        <v>2600</v>
      </c>
      <c r="F82" s="25">
        <v>2323</v>
      </c>
      <c r="G82" s="25">
        <v>2524</v>
      </c>
      <c r="H82" s="25">
        <v>2336</v>
      </c>
      <c r="I82" s="25">
        <f t="shared" ref="I82:N82" si="88">I80-I81</f>
        <v>4204</v>
      </c>
      <c r="J82" s="25">
        <f t="shared" si="88"/>
        <v>4668</v>
      </c>
      <c r="K82" s="25">
        <f t="shared" si="88"/>
        <v>5022</v>
      </c>
      <c r="L82" s="25">
        <f t="shared" si="88"/>
        <v>5301</v>
      </c>
      <c r="M82" s="25">
        <f t="shared" si="88"/>
        <v>6970</v>
      </c>
      <c r="N82" s="25">
        <f t="shared" si="88"/>
        <v>6024</v>
      </c>
      <c r="O82" s="25">
        <f t="shared" ref="O82:T82" si="89">O80-O81</f>
        <v>5417</v>
      </c>
      <c r="P82" s="25">
        <f t="shared" si="89"/>
        <v>7092</v>
      </c>
      <c r="Q82" s="25">
        <f t="shared" si="89"/>
        <v>5741</v>
      </c>
      <c r="R82" s="25">
        <f t="shared" si="89"/>
        <v>4904</v>
      </c>
      <c r="S82" s="25">
        <f t="shared" si="89"/>
        <v>5750</v>
      </c>
      <c r="T82" s="25">
        <f t="shared" si="89"/>
        <v>3071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EG82" s="25"/>
      <c r="EH82" s="25">
        <v>4425.8388955223882</v>
      </c>
      <c r="EI82" s="25">
        <v>3800</v>
      </c>
      <c r="EJ82" s="25">
        <v>4860</v>
      </c>
      <c r="EK82" s="25">
        <f t="shared" ref="EK82:ET82" si="90">EK80-EK81</f>
        <v>8177</v>
      </c>
      <c r="EL82" s="25">
        <f t="shared" si="90"/>
        <v>11533</v>
      </c>
      <c r="EM82" s="25">
        <f t="shared" si="90"/>
        <v>12994</v>
      </c>
      <c r="EN82" s="25">
        <f t="shared" si="90"/>
        <v>11661</v>
      </c>
      <c r="EO82" s="25">
        <f>EO80-EO81</f>
        <v>10645</v>
      </c>
      <c r="EP82" s="25">
        <f>EP80-EP81</f>
        <v>8744</v>
      </c>
      <c r="EQ82" s="25">
        <f t="shared" si="90"/>
        <v>9544</v>
      </c>
      <c r="ER82" s="25">
        <f t="shared" si="90"/>
        <v>-7869.0324000000001</v>
      </c>
      <c r="ES82" s="25">
        <f t="shared" si="90"/>
        <v>-8089.8737471999993</v>
      </c>
      <c r="ET82" s="25">
        <f t="shared" si="90"/>
        <v>-8319.8888844335997</v>
      </c>
      <c r="EU82" s="25">
        <f t="shared" ref="EU82:EY82" si="91">EU80-EU81</f>
        <v>-8559.4185975336768</v>
      </c>
      <c r="EV82" s="25">
        <f t="shared" si="91"/>
        <v>-8808.8167003766393</v>
      </c>
      <c r="EW82" s="25">
        <f t="shared" si="91"/>
        <v>-9068.4505291662699</v>
      </c>
      <c r="EX82" s="25">
        <f t="shared" si="91"/>
        <v>-9338.7014555081532</v>
      </c>
      <c r="EY82" s="25">
        <f t="shared" si="91"/>
        <v>-9619.9654189886915</v>
      </c>
      <c r="EZ82" s="25">
        <f>EZ80-EZ81</f>
        <v>17378</v>
      </c>
      <c r="FA82" s="23">
        <f>FA80-FA81</f>
        <v>18071</v>
      </c>
      <c r="FB82" s="23"/>
      <c r="FC82" s="23">
        <f>FC80-FC81</f>
        <v>14340</v>
      </c>
    </row>
    <row r="83" spans="2:233" x14ac:dyDescent="0.25">
      <c r="B83" s="15" t="s">
        <v>4</v>
      </c>
      <c r="C83" s="25">
        <v>-185.5</v>
      </c>
      <c r="D83" s="25">
        <v>-243.5</v>
      </c>
      <c r="E83" s="25">
        <v>-274</v>
      </c>
      <c r="F83" s="25">
        <v>-306</v>
      </c>
      <c r="G83" s="25">
        <v>-262</v>
      </c>
      <c r="H83" s="25">
        <v>-276</v>
      </c>
      <c r="I83" s="25">
        <v>444</v>
      </c>
      <c r="J83" s="25">
        <f>943-I83</f>
        <v>499</v>
      </c>
      <c r="K83" s="25">
        <v>572</v>
      </c>
      <c r="L83" s="25">
        <f>1291-K83</f>
        <v>719</v>
      </c>
      <c r="M83" s="25">
        <v>943</v>
      </c>
      <c r="N83" s="25">
        <f>1676-M83</f>
        <v>733</v>
      </c>
      <c r="O83" s="25">
        <v>912</v>
      </c>
      <c r="P83" s="25">
        <f>O83</f>
        <v>912</v>
      </c>
      <c r="Q83" s="25">
        <v>578</v>
      </c>
      <c r="R83" s="25">
        <f>726-Q83</f>
        <v>148</v>
      </c>
      <c r="S83" s="25">
        <v>97</v>
      </c>
      <c r="T83" s="25">
        <f>225-S83</f>
        <v>128</v>
      </c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15"/>
      <c r="EG83" s="25"/>
      <c r="EH83" s="25">
        <v>34</v>
      </c>
      <c r="EI83" s="25">
        <v>-429</v>
      </c>
      <c r="EJ83" s="25">
        <v>-538</v>
      </c>
      <c r="EK83" s="25">
        <v>943</v>
      </c>
      <c r="EL83" s="25">
        <f>SUM(K83:L83)</f>
        <v>1291</v>
      </c>
      <c r="EM83" s="25">
        <f>N83+M83</f>
        <v>1676</v>
      </c>
      <c r="EN83" s="25">
        <v>1875</v>
      </c>
      <c r="EO83" s="25">
        <f>SUM(Q83:R83)</f>
        <v>726</v>
      </c>
      <c r="EP83" s="25">
        <f>T83+S83</f>
        <v>225</v>
      </c>
      <c r="EQ83" s="25">
        <v>201</v>
      </c>
      <c r="ER83" s="25"/>
      <c r="ES83" s="25"/>
      <c r="ET83" s="25"/>
      <c r="EU83" s="25"/>
      <c r="EV83" s="25"/>
      <c r="EW83" s="25"/>
      <c r="EX83" s="25"/>
      <c r="EY83" s="25"/>
      <c r="EZ83" s="25">
        <v>801</v>
      </c>
      <c r="FA83" s="23">
        <v>1033</v>
      </c>
      <c r="FB83" s="23"/>
      <c r="FC83" s="23">
        <v>877</v>
      </c>
    </row>
    <row r="84" spans="2:233" x14ac:dyDescent="0.25">
      <c r="B84" s="15" t="s">
        <v>20</v>
      </c>
      <c r="C84" s="25">
        <v>1620.5</v>
      </c>
      <c r="D84" s="25">
        <v>1750.5</v>
      </c>
      <c r="E84" s="25">
        <v>2326</v>
      </c>
      <c r="F84" s="25">
        <v>2017</v>
      </c>
      <c r="G84" s="25">
        <v>2262</v>
      </c>
      <c r="H84" s="25">
        <v>2060</v>
      </c>
      <c r="I84" s="25">
        <f t="shared" ref="I84:N84" si="92">I82-I83</f>
        <v>3760</v>
      </c>
      <c r="J84" s="25">
        <f t="shared" si="92"/>
        <v>4169</v>
      </c>
      <c r="K84" s="25">
        <f t="shared" si="92"/>
        <v>4450</v>
      </c>
      <c r="L84" s="25">
        <f t="shared" si="92"/>
        <v>4582</v>
      </c>
      <c r="M84" s="25">
        <f t="shared" si="92"/>
        <v>6027</v>
      </c>
      <c r="N84" s="25">
        <f t="shared" si="92"/>
        <v>5291</v>
      </c>
      <c r="O84" s="25">
        <f t="shared" ref="O84:T84" si="93">O82-O83</f>
        <v>4505</v>
      </c>
      <c r="P84" s="25">
        <f t="shared" si="93"/>
        <v>6180</v>
      </c>
      <c r="Q84" s="25">
        <f t="shared" si="93"/>
        <v>5163</v>
      </c>
      <c r="R84" s="25">
        <f t="shared" si="93"/>
        <v>4756</v>
      </c>
      <c r="S84" s="25">
        <f t="shared" si="93"/>
        <v>5653</v>
      </c>
      <c r="T84" s="25">
        <f t="shared" si="93"/>
        <v>2943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15"/>
      <c r="EG84" s="25"/>
      <c r="EH84" s="25">
        <v>4459.8388955223882</v>
      </c>
      <c r="EI84" s="25">
        <v>3371</v>
      </c>
      <c r="EJ84" s="25">
        <v>4322</v>
      </c>
      <c r="EK84" s="25">
        <f t="shared" ref="EK84:EZ84" si="94">EK82-EK83</f>
        <v>7234</v>
      </c>
      <c r="EL84" s="25">
        <f t="shared" si="94"/>
        <v>10242</v>
      </c>
      <c r="EM84" s="25">
        <f t="shared" si="94"/>
        <v>11318</v>
      </c>
      <c r="EN84" s="25">
        <f t="shared" si="94"/>
        <v>9786</v>
      </c>
      <c r="EO84" s="25">
        <f>EO82-EO83</f>
        <v>9919</v>
      </c>
      <c r="EP84" s="25">
        <f>EP82-EP83</f>
        <v>8519</v>
      </c>
      <c r="EQ84" s="25">
        <f t="shared" si="94"/>
        <v>9343</v>
      </c>
      <c r="ER84" s="25">
        <f t="shared" si="94"/>
        <v>-7869.0324000000001</v>
      </c>
      <c r="ES84" s="25">
        <f t="shared" si="94"/>
        <v>-8089.8737471999993</v>
      </c>
      <c r="ET84" s="25">
        <f t="shared" si="94"/>
        <v>-8319.8888844335997</v>
      </c>
      <c r="EU84" s="25">
        <f t="shared" si="94"/>
        <v>-8559.4185975336768</v>
      </c>
      <c r="EV84" s="25">
        <f t="shared" si="94"/>
        <v>-8808.8167003766393</v>
      </c>
      <c r="EW84" s="25">
        <f t="shared" si="94"/>
        <v>-9068.4505291662699</v>
      </c>
      <c r="EX84" s="25">
        <f t="shared" si="94"/>
        <v>-9338.7014555081532</v>
      </c>
      <c r="EY84" s="25">
        <f t="shared" si="94"/>
        <v>-9619.9654189886915</v>
      </c>
      <c r="EZ84" s="25">
        <f t="shared" si="94"/>
        <v>16577</v>
      </c>
      <c r="FA84" s="25">
        <f>FA82-FA83</f>
        <v>17038</v>
      </c>
      <c r="FB84" s="25">
        <f>FB82-FB83</f>
        <v>0</v>
      </c>
      <c r="FC84" s="25">
        <f>FC82-FC83</f>
        <v>13463</v>
      </c>
      <c r="FD84" s="25">
        <f t="shared" ref="FD84:GI84" si="95">FC84*(1+$FJ$91)</f>
        <v>13597.630000000001</v>
      </c>
      <c r="FE84" s="32">
        <f t="shared" si="95"/>
        <v>13733.606300000001</v>
      </c>
      <c r="FF84" s="32">
        <f t="shared" si="95"/>
        <v>13870.942363000002</v>
      </c>
      <c r="FG84" s="32">
        <f t="shared" si="95"/>
        <v>14009.651786630002</v>
      </c>
      <c r="FH84" s="32">
        <f t="shared" si="95"/>
        <v>14149.748304496303</v>
      </c>
      <c r="FI84" s="32">
        <f t="shared" si="95"/>
        <v>14291.245787541266</v>
      </c>
      <c r="FJ84" s="32">
        <f t="shared" si="95"/>
        <v>14434.158245416678</v>
      </c>
      <c r="FK84" s="32">
        <f t="shared" si="95"/>
        <v>14578.499827870844</v>
      </c>
      <c r="FL84" s="32">
        <f t="shared" si="95"/>
        <v>14724.284826149553</v>
      </c>
      <c r="FM84" s="32">
        <f t="shared" si="95"/>
        <v>14871.527674411049</v>
      </c>
      <c r="FN84" s="32">
        <f t="shared" si="95"/>
        <v>15020.24295115516</v>
      </c>
      <c r="FO84" s="32">
        <f t="shared" si="95"/>
        <v>15170.445380666712</v>
      </c>
      <c r="FP84" s="32">
        <f t="shared" si="95"/>
        <v>15322.149834473379</v>
      </c>
      <c r="FQ84" s="32">
        <f t="shared" si="95"/>
        <v>15475.371332818113</v>
      </c>
      <c r="FR84" s="32">
        <f t="shared" si="95"/>
        <v>15630.125046146295</v>
      </c>
      <c r="FS84" s="32">
        <f t="shared" si="95"/>
        <v>15786.426296607759</v>
      </c>
      <c r="FT84" s="32">
        <f t="shared" si="95"/>
        <v>15944.290559573836</v>
      </c>
      <c r="FU84" s="32">
        <f t="shared" si="95"/>
        <v>16103.733465169575</v>
      </c>
      <c r="FV84" s="32">
        <f t="shared" si="95"/>
        <v>16264.77079982127</v>
      </c>
      <c r="FW84" s="32">
        <f t="shared" si="95"/>
        <v>16427.418507819482</v>
      </c>
      <c r="FX84" s="32">
        <f t="shared" si="95"/>
        <v>16591.692692897679</v>
      </c>
      <c r="FY84" s="32">
        <f t="shared" si="95"/>
        <v>16757.609619826657</v>
      </c>
      <c r="FZ84" s="32">
        <f t="shared" si="95"/>
        <v>16925.185716024924</v>
      </c>
      <c r="GA84" s="32">
        <f t="shared" si="95"/>
        <v>17094.437573185172</v>
      </c>
      <c r="GB84" s="32">
        <f t="shared" si="95"/>
        <v>17265.381948917024</v>
      </c>
      <c r="GC84" s="32">
        <f t="shared" si="95"/>
        <v>17438.035768406193</v>
      </c>
      <c r="GD84" s="32">
        <f t="shared" si="95"/>
        <v>17612.416126090255</v>
      </c>
      <c r="GE84" s="32">
        <f t="shared" si="95"/>
        <v>17788.540287351156</v>
      </c>
      <c r="GF84" s="32">
        <f t="shared" si="95"/>
        <v>17966.425690224667</v>
      </c>
      <c r="GG84" s="32">
        <f t="shared" si="95"/>
        <v>18146.089947126915</v>
      </c>
      <c r="GH84" s="32">
        <f t="shared" si="95"/>
        <v>18327.550846598184</v>
      </c>
      <c r="GI84" s="32">
        <f t="shared" si="95"/>
        <v>18510.826355064164</v>
      </c>
      <c r="GJ84" s="32">
        <f t="shared" ref="GJ84:HO84" si="96">GI84*(1+$FJ$91)</f>
        <v>18695.934618614807</v>
      </c>
      <c r="GK84" s="32">
        <f t="shared" si="96"/>
        <v>18882.893964800955</v>
      </c>
      <c r="GL84" s="32">
        <f t="shared" si="96"/>
        <v>19071.722904448965</v>
      </c>
      <c r="GM84" s="32">
        <f t="shared" si="96"/>
        <v>19262.440133493456</v>
      </c>
      <c r="GN84" s="32">
        <f t="shared" si="96"/>
        <v>19455.064534828391</v>
      </c>
      <c r="GO84" s="32">
        <f t="shared" si="96"/>
        <v>19649.615180176675</v>
      </c>
      <c r="GP84" s="32">
        <f t="shared" si="96"/>
        <v>19846.111331978442</v>
      </c>
      <c r="GQ84" s="32">
        <f t="shared" si="96"/>
        <v>20044.572445298225</v>
      </c>
      <c r="GR84" s="32">
        <f t="shared" si="96"/>
        <v>20245.018169751209</v>
      </c>
      <c r="GS84" s="32">
        <f t="shared" si="96"/>
        <v>20447.468351448722</v>
      </c>
      <c r="GT84" s="32">
        <f t="shared" si="96"/>
        <v>20651.943034963209</v>
      </c>
      <c r="GU84" s="32">
        <f t="shared" si="96"/>
        <v>20858.462465312841</v>
      </c>
      <c r="GV84" s="32">
        <f t="shared" si="96"/>
        <v>21067.04708996597</v>
      </c>
      <c r="GW84" s="32">
        <f t="shared" si="96"/>
        <v>21277.717560865629</v>
      </c>
      <c r="GX84" s="32">
        <f t="shared" si="96"/>
        <v>21490.494736474284</v>
      </c>
      <c r="GY84" s="32">
        <f t="shared" si="96"/>
        <v>21705.399683839027</v>
      </c>
      <c r="GZ84" s="32">
        <f t="shared" si="96"/>
        <v>21922.453680677416</v>
      </c>
      <c r="HA84" s="32">
        <f t="shared" si="96"/>
        <v>22141.67821748419</v>
      </c>
      <c r="HB84" s="32">
        <f t="shared" si="96"/>
        <v>22363.094999659032</v>
      </c>
      <c r="HC84" s="32">
        <f t="shared" si="96"/>
        <v>22586.725949655622</v>
      </c>
      <c r="HD84" s="32">
        <f t="shared" si="96"/>
        <v>22812.593209152179</v>
      </c>
      <c r="HE84" s="32">
        <f t="shared" si="96"/>
        <v>23040.719141243702</v>
      </c>
      <c r="HF84" s="32">
        <f t="shared" si="96"/>
        <v>23271.126332656138</v>
      </c>
      <c r="HG84" s="32">
        <f t="shared" si="96"/>
        <v>23503.837595982699</v>
      </c>
      <c r="HH84" s="32">
        <f t="shared" si="96"/>
        <v>23738.875971942525</v>
      </c>
      <c r="HI84" s="32">
        <f t="shared" si="96"/>
        <v>23976.264731661951</v>
      </c>
      <c r="HJ84" s="32">
        <f t="shared" si="96"/>
        <v>24216.027378978572</v>
      </c>
      <c r="HK84" s="32">
        <f t="shared" si="96"/>
        <v>24458.187652768356</v>
      </c>
      <c r="HL84" s="32">
        <f t="shared" si="96"/>
        <v>24702.769529296042</v>
      </c>
      <c r="HM84" s="32">
        <f t="shared" si="96"/>
        <v>24949.797224589001</v>
      </c>
      <c r="HN84" s="32">
        <f t="shared" si="96"/>
        <v>25199.295196834893</v>
      </c>
      <c r="HO84" s="32">
        <f t="shared" si="96"/>
        <v>25451.288148803244</v>
      </c>
      <c r="HP84" s="32">
        <f t="shared" ref="HP84:HY84" si="97">HO84*(1+$FJ$91)</f>
        <v>25705.801030291277</v>
      </c>
      <c r="HQ84" s="32">
        <f t="shared" si="97"/>
        <v>25962.85904059419</v>
      </c>
      <c r="HR84" s="32">
        <f t="shared" si="97"/>
        <v>26222.487631000131</v>
      </c>
      <c r="HS84" s="32">
        <f t="shared" si="97"/>
        <v>26484.712507310134</v>
      </c>
      <c r="HT84" s="32">
        <f t="shared" si="97"/>
        <v>26749.559632383236</v>
      </c>
      <c r="HU84" s="32">
        <f t="shared" si="97"/>
        <v>27017.055228707068</v>
      </c>
      <c r="HV84" s="32">
        <f t="shared" si="97"/>
        <v>27287.22578099414</v>
      </c>
      <c r="HW84" s="32">
        <f t="shared" si="97"/>
        <v>27560.098038804081</v>
      </c>
      <c r="HX84" s="32">
        <f t="shared" si="97"/>
        <v>27835.699019192121</v>
      </c>
      <c r="HY84" s="32">
        <f t="shared" si="97"/>
        <v>28114.056009384043</v>
      </c>
    </row>
    <row r="85" spans="2:233" s="17" customFormat="1" ht="13" x14ac:dyDescent="0.3">
      <c r="B85" s="17" t="s">
        <v>21</v>
      </c>
      <c r="C85" s="49">
        <v>1.9072573266926225</v>
      </c>
      <c r="D85" s="49">
        <v>2.0566674424016758</v>
      </c>
      <c r="E85" s="49">
        <v>2.7278037383177569</v>
      </c>
      <c r="F85" s="49">
        <v>2.3449074074074074</v>
      </c>
      <c r="G85" s="49">
        <v>2.6395520047522396</v>
      </c>
      <c r="H85" s="49">
        <v>2.4104238397498516</v>
      </c>
      <c r="I85" s="49">
        <f t="shared" ref="I85:N85" si="98">I84/I86</f>
        <v>4.3591034019903718</v>
      </c>
      <c r="J85" s="49">
        <f t="shared" si="98"/>
        <v>4.8332718305579414</v>
      </c>
      <c r="K85" s="49">
        <f t="shared" si="98"/>
        <v>5.1590452496960513</v>
      </c>
      <c r="L85" s="49">
        <f t="shared" si="98"/>
        <v>5.3120776031701817</v>
      </c>
      <c r="M85" s="49">
        <f t="shared" si="98"/>
        <v>6.9873181393074386</v>
      </c>
      <c r="N85" s="49">
        <f t="shared" si="98"/>
        <v>6.1340468350880464</v>
      </c>
      <c r="O85" s="49">
        <f t="shared" ref="O85:T85" si="99">O84/O86</f>
        <v>5.2228087303102724</v>
      </c>
      <c r="P85" s="49">
        <f t="shared" si="99"/>
        <v>7.1646965490160897</v>
      </c>
      <c r="Q85" s="49">
        <f t="shared" si="99"/>
        <v>5.9856518256585876</v>
      </c>
      <c r="R85" s="49">
        <f t="shared" si="99"/>
        <v>5.5138020691133525</v>
      </c>
      <c r="S85" s="49">
        <f t="shared" si="99"/>
        <v>6.5537264711307364</v>
      </c>
      <c r="T85" s="49">
        <f t="shared" si="99"/>
        <v>3.4119258808663999</v>
      </c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5"/>
      <c r="EG85" s="49"/>
      <c r="EH85" s="49">
        <v>5.3184322359227147</v>
      </c>
      <c r="EI85" s="49">
        <v>3.9639115250291037</v>
      </c>
      <c r="EJ85" s="49">
        <v>5.0502424081454445</v>
      </c>
      <c r="EK85" s="49">
        <v>6.1026426057431324</v>
      </c>
      <c r="EL85" s="49">
        <f t="shared" ref="EL85:ET85" si="100">EL84/EL86</f>
        <v>11.873919426379091</v>
      </c>
      <c r="EM85" s="49">
        <f t="shared" si="100"/>
        <v>13.121364974395485</v>
      </c>
      <c r="EN85" s="49">
        <f>EN84/EN86</f>
        <v>11.345262205286643</v>
      </c>
      <c r="EO85" s="49">
        <f>EO84/EO86</f>
        <v>11.499453894771941</v>
      </c>
      <c r="EP85" s="49">
        <f>EP84/EP86</f>
        <v>9.8763834791372265</v>
      </c>
      <c r="EQ85" s="49">
        <f t="shared" si="100"/>
        <v>10.831676352339372</v>
      </c>
      <c r="ER85" s="49">
        <f t="shared" si="100"/>
        <v>-9.1228526343650156</v>
      </c>
      <c r="ES85" s="49">
        <f t="shared" si="100"/>
        <v>-9.3788819609287533</v>
      </c>
      <c r="ET85" s="49">
        <f t="shared" si="100"/>
        <v>-9.6455467926373348</v>
      </c>
      <c r="EU85" s="49"/>
      <c r="EV85" s="49"/>
      <c r="EW85" s="49"/>
      <c r="EX85" s="49"/>
      <c r="EY85" s="49"/>
      <c r="EZ85" s="49"/>
      <c r="FA85" s="48"/>
      <c r="FC85" s="48"/>
      <c r="FD85" s="48"/>
    </row>
    <row r="86" spans="2:233" s="17" customFormat="1" ht="13" x14ac:dyDescent="0.3">
      <c r="B86" s="15" t="s">
        <v>42</v>
      </c>
      <c r="C86" s="25">
        <v>858.56269999999995</v>
      </c>
      <c r="D86" s="25">
        <v>859.4</v>
      </c>
      <c r="E86" s="25">
        <v>856</v>
      </c>
      <c r="F86" s="25">
        <v>864</v>
      </c>
      <c r="G86" s="25">
        <v>860.56269999999995</v>
      </c>
      <c r="H86" s="25">
        <v>858.56269999999995</v>
      </c>
      <c r="I86" s="25">
        <v>862.56269999999995</v>
      </c>
      <c r="J86" s="25">
        <v>862.56269999999995</v>
      </c>
      <c r="K86" s="25">
        <v>862.56269999999995</v>
      </c>
      <c r="L86" s="25">
        <v>862.56269999999995</v>
      </c>
      <c r="M86" s="25">
        <v>862.56269999999995</v>
      </c>
      <c r="N86" s="25">
        <v>862.56269999999995</v>
      </c>
      <c r="O86" s="25">
        <v>862.56269999999995</v>
      </c>
      <c r="P86" s="25">
        <f>O86</f>
        <v>862.56269999999995</v>
      </c>
      <c r="Q86" s="25">
        <f>P86</f>
        <v>862.56269999999995</v>
      </c>
      <c r="R86" s="25">
        <f>+Q86</f>
        <v>862.56269999999995</v>
      </c>
      <c r="S86" s="25">
        <f>+R86</f>
        <v>862.56269999999995</v>
      </c>
      <c r="T86" s="25">
        <f>+S86</f>
        <v>862.56269999999995</v>
      </c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95"/>
      <c r="AX86" s="95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5"/>
      <c r="EH86" s="25">
        <v>838.56269999999995</v>
      </c>
      <c r="EI86" s="25">
        <v>859</v>
      </c>
      <c r="EJ86" s="25">
        <v>859.56269999999995</v>
      </c>
      <c r="EK86" s="25">
        <v>858</v>
      </c>
      <c r="EL86" s="25">
        <f>AVERAGE(M86:N86)</f>
        <v>862.56269999999995</v>
      </c>
      <c r="EM86" s="25">
        <f t="shared" ref="EM86:ET86" si="101">EL86</f>
        <v>862.56269999999995</v>
      </c>
      <c r="EN86" s="25">
        <f t="shared" si="101"/>
        <v>862.56269999999995</v>
      </c>
      <c r="EO86" s="25">
        <f t="shared" si="101"/>
        <v>862.56269999999995</v>
      </c>
      <c r="EP86" s="25">
        <f>EO86</f>
        <v>862.56269999999995</v>
      </c>
      <c r="EQ86" s="25">
        <f t="shared" si="101"/>
        <v>862.56269999999995</v>
      </c>
      <c r="ER86" s="25">
        <f t="shared" si="101"/>
        <v>862.56269999999995</v>
      </c>
      <c r="ES86" s="25">
        <f t="shared" si="101"/>
        <v>862.56269999999995</v>
      </c>
      <c r="ET86" s="25">
        <f t="shared" si="101"/>
        <v>862.56269999999995</v>
      </c>
      <c r="EU86" s="25"/>
      <c r="EV86" s="25"/>
      <c r="EW86" s="25"/>
      <c r="EX86" s="25"/>
      <c r="EY86" s="25"/>
      <c r="EZ86" s="25"/>
      <c r="FA86" s="48"/>
      <c r="FC86" s="48"/>
      <c r="FD86" s="48"/>
    </row>
    <row r="87" spans="2:233" s="17" customFormat="1" ht="13" x14ac:dyDescent="0.3">
      <c r="B87" s="1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95"/>
      <c r="AX87" s="95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48"/>
      <c r="FC87" s="48"/>
      <c r="FD87" s="48"/>
    </row>
    <row r="88" spans="2:233" x14ac:dyDescent="0.25">
      <c r="B88" s="15" t="s">
        <v>182</v>
      </c>
      <c r="C88" s="50"/>
      <c r="D88" s="50"/>
      <c r="E88" s="50"/>
      <c r="F88" s="50"/>
      <c r="G88" s="50"/>
      <c r="H88" s="50"/>
      <c r="I88" s="50"/>
      <c r="J88" s="50"/>
      <c r="K88" s="50"/>
      <c r="L88" s="25">
        <v>16088</v>
      </c>
      <c r="M88" s="25">
        <v>15626</v>
      </c>
      <c r="N88" s="25">
        <v>17336</v>
      </c>
      <c r="O88" s="25">
        <v>11171</v>
      </c>
      <c r="P88" s="25"/>
      <c r="Q88" s="25">
        <v>-31000</v>
      </c>
      <c r="R88" s="25">
        <f>Q88+R84</f>
        <v>-26244</v>
      </c>
      <c r="S88" s="25">
        <v>-27520</v>
      </c>
      <c r="T88" s="25">
        <v>-19200</v>
      </c>
      <c r="U88" s="25"/>
      <c r="V88" s="25"/>
      <c r="W88" s="25"/>
      <c r="X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32"/>
      <c r="EG88" s="25"/>
      <c r="EH88" s="25"/>
      <c r="EI88" s="25"/>
      <c r="EJ88" s="25"/>
      <c r="EK88" s="25"/>
      <c r="EL88" s="25"/>
      <c r="EM88" s="25"/>
      <c r="EN88" s="25">
        <f>N88</f>
        <v>17336</v>
      </c>
      <c r="EO88" s="25">
        <f>Q88+4000</f>
        <v>-27000</v>
      </c>
      <c r="EP88" s="25">
        <f>+T88</f>
        <v>-19200</v>
      </c>
      <c r="EQ88" s="25">
        <f>EP88+EP84</f>
        <v>-10681</v>
      </c>
      <c r="ER88" s="25">
        <f t="shared" ref="ER88:ES88" si="102">EQ88+EQ84</f>
        <v>-1338</v>
      </c>
      <c r="ES88" s="25">
        <f t="shared" si="102"/>
        <v>-9207.0324000000001</v>
      </c>
      <c r="ET88" s="25">
        <f t="shared" ref="ET88:EY88" si="103">ES88+ES84</f>
        <v>-17296.906147199999</v>
      </c>
      <c r="EU88" s="25">
        <f t="shared" si="103"/>
        <v>-25616.795031633599</v>
      </c>
      <c r="EV88" s="25">
        <f t="shared" si="103"/>
        <v>-34176.21362916728</v>
      </c>
      <c r="EW88" s="25">
        <f t="shared" si="103"/>
        <v>-42985.030329543923</v>
      </c>
      <c r="EX88" s="25">
        <f t="shared" si="103"/>
        <v>-52053.480858710194</v>
      </c>
      <c r="EY88" s="25">
        <f t="shared" si="103"/>
        <v>-61392.182314218349</v>
      </c>
      <c r="EZ88" s="25"/>
      <c r="FA88" s="25"/>
      <c r="FC88" s="15"/>
      <c r="FD88" s="15"/>
    </row>
    <row r="89" spans="2:233" x14ac:dyDescent="0.25">
      <c r="C89" s="50"/>
      <c r="D89" s="50"/>
      <c r="E89" s="50"/>
      <c r="F89" s="50"/>
      <c r="G89" s="50"/>
      <c r="H89" s="50"/>
      <c r="I89" s="50"/>
      <c r="J89" s="50"/>
      <c r="K89" s="50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32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C89" s="15"/>
      <c r="FD89" s="15"/>
    </row>
    <row r="90" spans="2:233" s="17" customFormat="1" ht="13" x14ac:dyDescent="0.3">
      <c r="B90" s="17" t="s">
        <v>8</v>
      </c>
      <c r="C90" s="29">
        <v>0.77400468384074939</v>
      </c>
      <c r="D90" s="29">
        <v>0.77732962447844223</v>
      </c>
      <c r="E90" s="29">
        <v>0.7801872504474735</v>
      </c>
      <c r="F90" s="29">
        <v>0.77574019738596955</v>
      </c>
      <c r="G90" s="29">
        <v>0.74115379319840291</v>
      </c>
      <c r="H90" s="29">
        <v>0.73606295012003198</v>
      </c>
      <c r="I90" s="73">
        <v>0.73841896282035857</v>
      </c>
      <c r="J90" s="73">
        <v>0.74</v>
      </c>
      <c r="K90" s="29">
        <f t="shared" ref="K90:P90" si="104">K71/K68</f>
        <v>0.78804977580734548</v>
      </c>
      <c r="L90" s="29">
        <f t="shared" si="104"/>
        <v>0.77726207642393652</v>
      </c>
      <c r="M90" s="29">
        <f t="shared" si="104"/>
        <v>0.77973452490471806</v>
      </c>
      <c r="N90" s="29">
        <f t="shared" si="104"/>
        <v>0.6776366600875311</v>
      </c>
      <c r="O90" s="29">
        <f t="shared" si="104"/>
        <v>0.75477185966187965</v>
      </c>
      <c r="P90" s="29">
        <f t="shared" si="104"/>
        <v>0.74683437089738702</v>
      </c>
      <c r="Q90" s="29">
        <f>Q71/Q68</f>
        <v>0.75072898442056157</v>
      </c>
      <c r="R90" s="29">
        <f>R71/R68</f>
        <v>0.74099777918781728</v>
      </c>
      <c r="S90" s="29">
        <f>S71/S68</f>
        <v>0.75677869784055851</v>
      </c>
      <c r="T90" s="29">
        <f>T71/T68</f>
        <v>0.75372249308209249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G90" s="29"/>
      <c r="EH90" s="29">
        <f t="shared" ref="EH90:EN90" si="105">EH71/EH68</f>
        <v>0.77042891122535107</v>
      </c>
      <c r="EI90" s="29">
        <f t="shared" si="105"/>
        <v>0.77576314821625603</v>
      </c>
      <c r="EJ90" s="29">
        <f t="shared" si="105"/>
        <v>0.73856784770679496</v>
      </c>
      <c r="EK90" s="29">
        <f t="shared" si="105"/>
        <v>0.77874461434485087</v>
      </c>
      <c r="EL90" s="29">
        <f t="shared" si="105"/>
        <v>0.78235531980685524</v>
      </c>
      <c r="EM90" s="29">
        <f t="shared" si="105"/>
        <v>0.72815555025686607</v>
      </c>
      <c r="EN90" s="29">
        <f t="shared" si="105"/>
        <v>0.75520306480425281</v>
      </c>
      <c r="EO90" s="113">
        <v>0.75800000000000001</v>
      </c>
      <c r="EP90" s="113">
        <f>+EO90+0.25%</f>
        <v>0.76049999999999995</v>
      </c>
      <c r="EQ90" s="29">
        <f t="shared" ref="EQ90" si="106">EQ71/EQ68</f>
        <v>0.75641296936352309</v>
      </c>
      <c r="ER90" s="29"/>
      <c r="ES90" s="29"/>
      <c r="ET90" s="29"/>
      <c r="EU90" s="29"/>
      <c r="EV90" s="29"/>
      <c r="EW90" s="29"/>
      <c r="EX90" s="29"/>
      <c r="EY90" s="29"/>
      <c r="EZ90" s="29">
        <f>EZ71/EZ68</f>
        <v>0.78487046276769024</v>
      </c>
      <c r="FA90" s="29">
        <f t="shared" ref="FA90" si="107">FA71/FA68</f>
        <v>0.75973312526870596</v>
      </c>
      <c r="FI90" s="88" t="s">
        <v>677</v>
      </c>
      <c r="FJ90" s="51">
        <v>0.05</v>
      </c>
    </row>
    <row r="91" spans="2:233" x14ac:dyDescent="0.25">
      <c r="B91" s="15" t="s">
        <v>186</v>
      </c>
      <c r="C91" s="28">
        <v>0.2855581576893052</v>
      </c>
      <c r="D91" s="28">
        <v>0.289221140472879</v>
      </c>
      <c r="E91" s="28">
        <v>0.27419798981137272</v>
      </c>
      <c r="F91" s="28">
        <v>0.28620965590824221</v>
      </c>
      <c r="G91" s="28">
        <v>0.27536830510808208</v>
      </c>
      <c r="H91" s="28">
        <v>0.28927714057081888</v>
      </c>
      <c r="I91" s="28">
        <f t="shared" ref="I91:Q91" si="108">I72/I68</f>
        <v>0.26525087233786548</v>
      </c>
      <c r="J91" s="28">
        <f t="shared" si="108"/>
        <v>0.27613955212028163</v>
      </c>
      <c r="K91" s="28">
        <f t="shared" si="108"/>
        <v>0.26238097637160562</v>
      </c>
      <c r="L91" s="28">
        <f t="shared" si="108"/>
        <v>0.25450612833453495</v>
      </c>
      <c r="M91" s="28">
        <f t="shared" si="108"/>
        <v>0.24322074736058177</v>
      </c>
      <c r="N91" s="28">
        <f t="shared" si="108"/>
        <v>0.16197545696387197</v>
      </c>
      <c r="O91" s="28">
        <f t="shared" si="108"/>
        <v>0.19864570078167607</v>
      </c>
      <c r="P91" s="28">
        <f t="shared" si="108"/>
        <v>0.20323550586541311</v>
      </c>
      <c r="Q91" s="28">
        <f t="shared" si="108"/>
        <v>0.19024410564025659</v>
      </c>
      <c r="R91" s="28">
        <f>R72/R68</f>
        <v>0.19463832487309646</v>
      </c>
      <c r="S91" s="28">
        <f>S72/S68</f>
        <v>0.1845267088813119</v>
      </c>
      <c r="T91" s="28">
        <f>T72/T68</f>
        <v>0.21706856414986603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EG91" s="28"/>
      <c r="EH91" s="28">
        <v>0.3015038747794061</v>
      </c>
      <c r="EI91" s="28">
        <v>0.2874954027215888</v>
      </c>
      <c r="EJ91" s="28">
        <v>0.28243343946887067</v>
      </c>
      <c r="EK91" s="28">
        <v>0.27400024467646372</v>
      </c>
      <c r="EL91" s="28">
        <v>0.27083787651550573</v>
      </c>
      <c r="EM91" s="28">
        <v>0.25664542132384005</v>
      </c>
      <c r="EN91" s="28">
        <f>EN72/EN68</f>
        <v>0.19736134128231064</v>
      </c>
      <c r="EO91" s="28">
        <f>EO72/EO68</f>
        <v>0.19104748462546628</v>
      </c>
      <c r="EP91" s="28">
        <f t="shared" ref="EP91:EZ91" si="109">EP72/EP68</f>
        <v>0.20048176478045895</v>
      </c>
      <c r="EQ91" s="28">
        <f t="shared" si="109"/>
        <v>0.18925019397615855</v>
      </c>
      <c r="ER91" s="28">
        <f t="shared" si="109"/>
        <v>0.46515147977351001</v>
      </c>
      <c r="ES91" s="28">
        <f t="shared" si="109"/>
        <v>0.16863670158187261</v>
      </c>
      <c r="ET91" s="28">
        <f t="shared" si="109"/>
        <v>0.16455136005646626</v>
      </c>
      <c r="EU91" s="28">
        <f t="shared" si="109"/>
        <v>0.16249841921123978</v>
      </c>
      <c r="EV91" s="28">
        <f t="shared" si="109"/>
        <v>0.15897565705715799</v>
      </c>
      <c r="EW91" s="28">
        <f t="shared" si="109"/>
        <v>0.1680111236814617</v>
      </c>
      <c r="EX91" s="28">
        <f t="shared" si="109"/>
        <v>0.16212897338195845</v>
      </c>
      <c r="EY91" s="28">
        <f t="shared" si="109"/>
        <v>0.14327935732103186</v>
      </c>
      <c r="EZ91" s="28">
        <f t="shared" si="109"/>
        <v>0.16050271762426488</v>
      </c>
      <c r="FA91" s="28">
        <f t="shared" ref="FA91" si="110">FA72/FA68</f>
        <v>0.1503797710227544</v>
      </c>
      <c r="FI91" s="88" t="s">
        <v>287</v>
      </c>
      <c r="FJ91" s="51">
        <v>0.01</v>
      </c>
      <c r="FL91" s="103" t="s">
        <v>676</v>
      </c>
    </row>
    <row r="92" spans="2:233" s="17" customFormat="1" ht="13" x14ac:dyDescent="0.3">
      <c r="B92" s="15" t="s">
        <v>185</v>
      </c>
      <c r="C92" s="28">
        <v>0.33497267759562843</v>
      </c>
      <c r="D92" s="28">
        <v>0.33977746870653686</v>
      </c>
      <c r="E92" s="28">
        <v>0.3208040754509156</v>
      </c>
      <c r="F92" s="28">
        <v>0.33428914377167246</v>
      </c>
      <c r="G92" s="28">
        <v>0.34827206388544679</v>
      </c>
      <c r="H92" s="28">
        <v>0.35769538543611629</v>
      </c>
      <c r="I92" s="28">
        <v>0.33413548309469376</v>
      </c>
      <c r="J92" s="28">
        <v>0.35242098296664276</v>
      </c>
      <c r="K92" s="28">
        <f t="shared" ref="K92:Q92" si="111">K73/K68</f>
        <v>5.40077585772583E-2</v>
      </c>
      <c r="L92" s="28">
        <f t="shared" si="111"/>
        <v>6.6240086517664026E-2</v>
      </c>
      <c r="M92" s="28">
        <f t="shared" si="111"/>
        <v>5.4190213343847202E-2</v>
      </c>
      <c r="N92" s="28">
        <f t="shared" si="111"/>
        <v>5.2175405474984983E-2</v>
      </c>
      <c r="O92" s="28">
        <f t="shared" si="111"/>
        <v>4.9491001636066172E-2</v>
      </c>
      <c r="P92" s="28">
        <f t="shared" si="111"/>
        <v>5.2640494642781518E-2</v>
      </c>
      <c r="Q92" s="28">
        <f t="shared" si="111"/>
        <v>4.0281596267599765E-2</v>
      </c>
      <c r="R92" s="28">
        <f>R73/R68</f>
        <v>4.7906091370558374E-2</v>
      </c>
      <c r="S92" s="28">
        <f>S73/S68</f>
        <v>3.5354765383990905E-2</v>
      </c>
      <c r="T92" s="28">
        <f>T73/T68</f>
        <v>8.7978214081785036E-2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5"/>
      <c r="EG92" s="28"/>
      <c r="EH92" s="28">
        <v>0.34727230875469961</v>
      </c>
      <c r="EI92" s="28">
        <v>0.33751379183523356</v>
      </c>
      <c r="EJ92" s="28">
        <v>0.35305873585800418</v>
      </c>
      <c r="EK92" s="28">
        <v>0.34502251241079884</v>
      </c>
      <c r="EL92" s="28">
        <v>0.33891166000207307</v>
      </c>
      <c r="EM92" s="28">
        <v>0.32326238327340828</v>
      </c>
      <c r="EN92" s="28">
        <f>EN73/EN68</f>
        <v>5.019047414071412E-2</v>
      </c>
      <c r="EO92" s="28">
        <f>EO73/EO68</f>
        <v>4.3855227341465873E-2</v>
      </c>
      <c r="EP92" s="28">
        <f t="shared" ref="EP92:EZ92" si="112">EP73/EP68</f>
        <v>6.0727718378903776E-2</v>
      </c>
      <c r="EQ92" s="28">
        <f t="shared" si="112"/>
        <v>5.5065716771296229E-2</v>
      </c>
      <c r="ER92" s="28">
        <f t="shared" si="112"/>
        <v>0.13534411301149962</v>
      </c>
      <c r="ES92" s="28">
        <f t="shared" si="112"/>
        <v>4.9067853783668229E-2</v>
      </c>
      <c r="ET92" s="28">
        <f t="shared" si="112"/>
        <v>4.787915085752812E-2</v>
      </c>
      <c r="EU92" s="28">
        <f t="shared" si="112"/>
        <v>4.7281811130913592E-2</v>
      </c>
      <c r="EV92" s="28">
        <f t="shared" si="112"/>
        <v>4.6256800699200393E-2</v>
      </c>
      <c r="EW92" s="28">
        <f t="shared" si="112"/>
        <v>4.8885830744438225E-2</v>
      </c>
      <c r="EX92" s="28">
        <f t="shared" si="112"/>
        <v>4.7174314282587483E-2</v>
      </c>
      <c r="EY92" s="28">
        <f t="shared" si="112"/>
        <v>4.1689682550112642E-2</v>
      </c>
      <c r="EZ92" s="28">
        <f t="shared" si="112"/>
        <v>4.6739708176877046E-2</v>
      </c>
      <c r="FA92" s="28">
        <f t="shared" ref="FA92" si="113">FA73/FA68</f>
        <v>4.2403783379245552E-2</v>
      </c>
      <c r="FI92" s="88" t="s">
        <v>288</v>
      </c>
      <c r="FJ92" s="51">
        <v>0.11</v>
      </c>
      <c r="FL92" s="3" t="s">
        <v>672</v>
      </c>
    </row>
    <row r="93" spans="2:233" x14ac:dyDescent="0.25">
      <c r="B93" s="30" t="s">
        <v>1</v>
      </c>
      <c r="C93" s="28">
        <v>0.16963309914129587</v>
      </c>
      <c r="D93" s="28">
        <v>0.17044506258692629</v>
      </c>
      <c r="E93" s="28">
        <v>0.16060856395428885</v>
      </c>
      <c r="F93" s="28">
        <v>0.18138170178714325</v>
      </c>
      <c r="G93" s="28">
        <v>0.16253614209004544</v>
      </c>
      <c r="H93" s="28">
        <v>0.18624966657775407</v>
      </c>
      <c r="I93" s="28">
        <v>0.1539525929491036</v>
      </c>
      <c r="J93" s="28">
        <v>0.18283130835135153</v>
      </c>
      <c r="K93" s="28">
        <f t="shared" ref="K93:Q93" si="114">K74/K68</f>
        <v>0.15431507884528187</v>
      </c>
      <c r="L93" s="28">
        <f t="shared" si="114"/>
        <v>0.15888608507570295</v>
      </c>
      <c r="M93" s="28">
        <f t="shared" si="114"/>
        <v>0.15924124939764314</v>
      </c>
      <c r="N93" s="28">
        <f t="shared" si="114"/>
        <v>0.20381017763666009</v>
      </c>
      <c r="O93" s="28">
        <f t="shared" si="114"/>
        <v>0.18664788220323578</v>
      </c>
      <c r="P93" s="28">
        <f t="shared" si="114"/>
        <v>0.20065218311946809</v>
      </c>
      <c r="Q93" s="28">
        <f t="shared" si="114"/>
        <v>0.18820294926268433</v>
      </c>
      <c r="R93" s="28">
        <f>R74/R68</f>
        <v>0.21240482233502539</v>
      </c>
      <c r="S93" s="28">
        <f>S74/S68</f>
        <v>0.18148238350381554</v>
      </c>
      <c r="T93" s="28">
        <f>T74/T68</f>
        <v>0.24399349936311326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EG93" s="28"/>
      <c r="EH93" s="28">
        <v>0.15852067827821684</v>
      </c>
      <c r="EI93" s="28">
        <v>0.17006252298639205</v>
      </c>
      <c r="EJ93" s="28">
        <v>0.17458166790867827</v>
      </c>
      <c r="EK93" s="28">
        <v>0.16883613144566781</v>
      </c>
      <c r="EL93" s="28">
        <v>0.17008854048286479</v>
      </c>
      <c r="EM93" s="28">
        <v>0.16445100677776556</v>
      </c>
      <c r="EN93" s="28">
        <f>EN74/EN68</f>
        <v>0.19036652820523858</v>
      </c>
      <c r="EO93" s="28">
        <f>EO74/EO68</f>
        <v>0.19909265046879726</v>
      </c>
      <c r="EP93" s="28">
        <f t="shared" ref="EP93:EZ93" si="115">EP74/EP68</f>
        <v>0.21184972319655157</v>
      </c>
      <c r="EQ93" s="28">
        <f t="shared" si="115"/>
        <v>0.19576309045167054</v>
      </c>
      <c r="ER93" s="28">
        <f t="shared" si="115"/>
        <v>0</v>
      </c>
      <c r="ES93" s="28">
        <f t="shared" si="115"/>
        <v>0</v>
      </c>
      <c r="ET93" s="28">
        <f t="shared" si="115"/>
        <v>0</v>
      </c>
      <c r="EU93" s="28">
        <f t="shared" si="115"/>
        <v>0</v>
      </c>
      <c r="EV93" s="28">
        <f t="shared" si="115"/>
        <v>0</v>
      </c>
      <c r="EW93" s="28">
        <f t="shared" si="115"/>
        <v>0</v>
      </c>
      <c r="EX93" s="28">
        <f t="shared" si="115"/>
        <v>0</v>
      </c>
      <c r="EY93" s="28">
        <f t="shared" si="115"/>
        <v>0</v>
      </c>
      <c r="EZ93" s="28">
        <f t="shared" si="115"/>
        <v>0.20837405483257035</v>
      </c>
      <c r="FA93" s="28">
        <f t="shared" ref="FA93" si="116">FA74/FA68</f>
        <v>0.21827677903218101</v>
      </c>
      <c r="FI93" s="114" t="s">
        <v>701</v>
      </c>
      <c r="FJ93" s="25">
        <f>NPV(FJ92,ES84:IB84)+Main!J5-Main!J6+ER84</f>
        <v>-6449.6125344881475</v>
      </c>
      <c r="FL93" s="3" t="s">
        <v>673</v>
      </c>
    </row>
    <row r="94" spans="2:233" s="17" customFormat="1" ht="13" x14ac:dyDescent="0.3">
      <c r="B94" s="17" t="s">
        <v>149</v>
      </c>
      <c r="C94" s="29">
        <v>0.22115534738485559</v>
      </c>
      <c r="D94" s="29">
        <v>0.20584144645340752</v>
      </c>
      <c r="E94" s="29">
        <v>0.25478452430125292</v>
      </c>
      <c r="F94" s="29">
        <v>0.21665777540677514</v>
      </c>
      <c r="G94" s="29">
        <v>0.24280600302905136</v>
      </c>
      <c r="H94" s="29">
        <v>0.21599093091491064</v>
      </c>
      <c r="I94" s="29">
        <v>0.26308506798219228</v>
      </c>
      <c r="J94" s="29">
        <v>0.22392567642135672</v>
      </c>
      <c r="K94" s="29">
        <f t="shared" ref="K94:R94" si="117">K77/K68</f>
        <v>0.31734596201319965</v>
      </c>
      <c r="L94" s="29">
        <f t="shared" si="117"/>
        <v>0.29762977649603461</v>
      </c>
      <c r="M94" s="29">
        <f t="shared" si="117"/>
        <v>0.37608971831602928</v>
      </c>
      <c r="N94" s="29">
        <f t="shared" si="117"/>
        <v>0.31931691409937357</v>
      </c>
      <c r="O94" s="29">
        <f t="shared" si="117"/>
        <v>0.31998727504090163</v>
      </c>
      <c r="P94" s="29">
        <f t="shared" si="117"/>
        <v>0.29030618726972429</v>
      </c>
      <c r="Q94" s="29">
        <f t="shared" si="117"/>
        <v>0.33200033325002082</v>
      </c>
      <c r="R94" s="29">
        <f t="shared" si="117"/>
        <v>0.28604854060913704</v>
      </c>
      <c r="S94" s="29">
        <f t="shared" ref="S94:T94" si="118">S77/S68</f>
        <v>0.35541484007144014</v>
      </c>
      <c r="T94" s="29">
        <f t="shared" si="118"/>
        <v>0.20468221548732815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5"/>
      <c r="EG94" s="29"/>
      <c r="EH94" s="29">
        <v>0.20037596869485153</v>
      </c>
      <c r="EI94" s="29">
        <v>0.21305627068775285</v>
      </c>
      <c r="EJ94" s="29">
        <v>0.22918501456540885</v>
      </c>
      <c r="EK94" s="29">
        <v>0.2429030652968388</v>
      </c>
      <c r="EL94" s="29">
        <f>EL77/EL68</f>
        <v>0.33571989248590661</v>
      </c>
      <c r="EM94" s="29">
        <f>EM77/EM68</f>
        <v>0.34740857954175969</v>
      </c>
      <c r="EN94" s="29">
        <f>EN77/EN68</f>
        <v>0.31728472117598949</v>
      </c>
      <c r="EO94" s="29">
        <f>EO77/EO68</f>
        <v>0.30613973182780524</v>
      </c>
      <c r="EP94" s="29">
        <f t="shared" ref="EP94:EZ94" si="119">EP77/EP68</f>
        <v>0.28185352660271312</v>
      </c>
      <c r="EQ94" s="29">
        <f t="shared" si="119"/>
        <v>0.31633396816439774</v>
      </c>
      <c r="ER94" s="29">
        <f t="shared" si="119"/>
        <v>-0.60049559278500964</v>
      </c>
      <c r="ES94" s="29">
        <f t="shared" si="119"/>
        <v>-0.21770455536554084</v>
      </c>
      <c r="ET94" s="29">
        <f t="shared" si="119"/>
        <v>-0.21243051091399437</v>
      </c>
      <c r="EU94" s="29">
        <f t="shared" si="119"/>
        <v>-0.20978023034215337</v>
      </c>
      <c r="EV94" s="29">
        <f t="shared" si="119"/>
        <v>-0.20523245775635837</v>
      </c>
      <c r="EW94" s="29">
        <f t="shared" si="119"/>
        <v>-0.21689695442589996</v>
      </c>
      <c r="EX94" s="29">
        <f t="shared" si="119"/>
        <v>-0.20930328766454592</v>
      </c>
      <c r="EY94" s="29">
        <f t="shared" si="119"/>
        <v>-0.18496903987114449</v>
      </c>
      <c r="EZ94" s="29">
        <f t="shared" si="119"/>
        <v>0.36925398213397803</v>
      </c>
      <c r="FA94" s="29">
        <f t="shared" ref="FA94" si="120">FA77/FA68</f>
        <v>0.34867279183452493</v>
      </c>
      <c r="FI94" s="114" t="s">
        <v>702</v>
      </c>
      <c r="FJ94" s="50">
        <f>FJ93/Main!J3</f>
        <v>-8.0579564725371444</v>
      </c>
      <c r="FL94" s="3" t="s">
        <v>674</v>
      </c>
    </row>
    <row r="95" spans="2:233" x14ac:dyDescent="0.25">
      <c r="B95" s="15" t="s">
        <v>10</v>
      </c>
      <c r="C95" s="28">
        <v>0.1923497267759563</v>
      </c>
      <c r="D95" s="28">
        <v>0.18463143254520167</v>
      </c>
      <c r="E95" s="28">
        <v>0.23647253201156546</v>
      </c>
      <c r="F95" s="28">
        <v>0.20892237930114696</v>
      </c>
      <c r="G95" s="28">
        <v>0.22924411400247832</v>
      </c>
      <c r="H95" s="28">
        <v>0.20905574819951986</v>
      </c>
      <c r="I95" s="28">
        <v>0.26633377451570206</v>
      </c>
      <c r="J95" s="28">
        <v>0.21662116376542248</v>
      </c>
      <c r="K95" s="28"/>
      <c r="L95" s="28"/>
      <c r="M95" s="28"/>
      <c r="N95" s="28"/>
      <c r="O95" s="28"/>
      <c r="P95" s="28"/>
      <c r="Q95" s="28"/>
      <c r="R95" s="28">
        <f>R80/R68</f>
        <v>0.24175126903553298</v>
      </c>
      <c r="S95" s="28">
        <f>S80/S68</f>
        <v>0.30646208800129893</v>
      </c>
      <c r="T95" s="28">
        <f>T80/T68</f>
        <v>0.15772829094742391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EG95" s="28"/>
      <c r="EH95" s="28">
        <v>0.23098438178172287</v>
      </c>
      <c r="EI95" s="28">
        <v>0.18826774549466715</v>
      </c>
      <c r="EJ95" s="28">
        <v>0.2189892283720615</v>
      </c>
      <c r="EK95" s="28">
        <v>0.24071284416750166</v>
      </c>
      <c r="EL95" s="28">
        <v>0.27114359566035856</v>
      </c>
      <c r="EM95" s="28">
        <v>0.30398791565649136</v>
      </c>
      <c r="EN95" s="28">
        <f t="shared" ref="EN95:EZ95" si="121">EN80/EN68</f>
        <v>0.32236403159503263</v>
      </c>
      <c r="EO95" s="28">
        <f t="shared" si="121"/>
        <v>0.2725073092045569</v>
      </c>
      <c r="EP95" s="28">
        <f t="shared" si="121"/>
        <v>0.23378269872797194</v>
      </c>
      <c r="EQ95" s="28">
        <f t="shared" si="121"/>
        <v>0.27944322964425949</v>
      </c>
      <c r="ER95" s="28">
        <f t="shared" si="121"/>
        <v>-0.60440079388243528</v>
      </c>
      <c r="ES95" s="28">
        <f t="shared" si="121"/>
        <v>-0.2275453339033775</v>
      </c>
      <c r="ET95" s="28">
        <f t="shared" si="121"/>
        <v>-0.23065235802031098</v>
      </c>
      <c r="EU95" s="28">
        <f t="shared" si="121"/>
        <v>-0.23669937352076836</v>
      </c>
      <c r="EV95" s="28">
        <f t="shared" si="121"/>
        <v>-0.24072251323951199</v>
      </c>
      <c r="EW95" s="28">
        <f t="shared" si="121"/>
        <v>-0.26454797243931771</v>
      </c>
      <c r="EX95" s="28">
        <f t="shared" si="121"/>
        <v>-0.26554935001052543</v>
      </c>
      <c r="EY95" s="28">
        <f t="shared" si="121"/>
        <v>-0.24418560556188507</v>
      </c>
      <c r="EZ95" s="28">
        <f t="shared" si="121"/>
        <v>0.35958369768358966</v>
      </c>
      <c r="FA95" s="28">
        <f t="shared" ref="FA95" si="122">FA80/FA68</f>
        <v>0.33671438352892469</v>
      </c>
      <c r="FI95" s="114" t="s">
        <v>703</v>
      </c>
      <c r="FJ95" s="104">
        <f>FJ94/Main!J2-1</f>
        <v>-1.0282735314825864</v>
      </c>
      <c r="FL95" s="3" t="s">
        <v>675</v>
      </c>
    </row>
    <row r="96" spans="2:233" x14ac:dyDescent="0.25">
      <c r="B96" s="15" t="s">
        <v>11</v>
      </c>
      <c r="C96" s="28">
        <v>0.26704545454545453</v>
      </c>
      <c r="D96" s="28">
        <v>0.24896421845574387</v>
      </c>
      <c r="E96" s="28">
        <v>0.2430858806404658</v>
      </c>
      <c r="F96" s="28">
        <v>0.25853814235556977</v>
      </c>
      <c r="G96" s="28">
        <v>0.24204204204204205</v>
      </c>
      <c r="H96" s="28">
        <v>0.25486443381180224</v>
      </c>
      <c r="I96" s="28">
        <v>0.24734583239213914</v>
      </c>
      <c r="J96" s="28">
        <v>0.25700000000000001</v>
      </c>
      <c r="K96" s="28">
        <f t="shared" ref="K96:R96" si="123">K81/K80</f>
        <v>0.25301204819277107</v>
      </c>
      <c r="L96" s="28">
        <f t="shared" si="123"/>
        <v>0.24658897100625354</v>
      </c>
      <c r="M96" s="28">
        <f t="shared" si="123"/>
        <v>0.23280132085855806</v>
      </c>
      <c r="N96" s="28">
        <f t="shared" si="123"/>
        <v>0.22530864197530864</v>
      </c>
      <c r="O96" s="28">
        <f t="shared" si="123"/>
        <v>0.25570211596592468</v>
      </c>
      <c r="P96" s="28">
        <f t="shared" si="123"/>
        <v>0</v>
      </c>
      <c r="Q96" s="28">
        <f t="shared" si="123"/>
        <v>0.2261760345059981</v>
      </c>
      <c r="R96" s="28">
        <f t="shared" si="123"/>
        <v>0.19553805774278216</v>
      </c>
      <c r="S96" s="28">
        <f t="shared" ref="S96:T96" si="124">S81/S80</f>
        <v>0.23841059602649006</v>
      </c>
      <c r="T96" s="28">
        <f t="shared" si="124"/>
        <v>0.14480646059593427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G96" s="28"/>
      <c r="EH96" s="28">
        <v>0.2649132500765265</v>
      </c>
      <c r="EI96" s="28">
        <v>0.25766751318616915</v>
      </c>
      <c r="EJ96" s="28">
        <v>0.24825986078886311</v>
      </c>
      <c r="EK96" s="28">
        <v>0.25182342708389949</v>
      </c>
      <c r="EL96" s="28">
        <v>0.27200000000000002</v>
      </c>
      <c r="EM96" s="28">
        <v>0.28000000000000003</v>
      </c>
      <c r="EN96" s="28">
        <f>EN81/EN80</f>
        <v>0.22145813860328481</v>
      </c>
      <c r="EO96" s="28">
        <f>EO81/EO80</f>
        <v>0.21235664076951535</v>
      </c>
      <c r="EP96" s="28">
        <f>EP81/EP80</f>
        <v>0.2096890817064353</v>
      </c>
      <c r="EQ96" s="28">
        <f t="shared" ref="EQ96:EY96" si="125">EQ81/EQ80</f>
        <v>0.19697097181320994</v>
      </c>
      <c r="ER96" s="28">
        <f t="shared" si="125"/>
        <v>0.24</v>
      </c>
      <c r="ES96" s="28">
        <f t="shared" si="125"/>
        <v>0.24</v>
      </c>
      <c r="ET96" s="28">
        <f t="shared" si="125"/>
        <v>0.24</v>
      </c>
      <c r="EU96" s="28">
        <f t="shared" si="125"/>
        <v>0.23999999999999996</v>
      </c>
      <c r="EV96" s="28">
        <f t="shared" si="125"/>
        <v>0.24</v>
      </c>
      <c r="EW96" s="28">
        <f t="shared" si="125"/>
        <v>0.24</v>
      </c>
      <c r="EX96" s="28">
        <f t="shared" si="125"/>
        <v>0.24</v>
      </c>
      <c r="EY96" s="28">
        <f t="shared" si="125"/>
        <v>0.24</v>
      </c>
      <c r="EZ96" s="28">
        <f>EZ81/EZ80</f>
        <v>0.17137135227922945</v>
      </c>
      <c r="FA96" s="28">
        <f t="shared" ref="FA96" si="126">FA81/FA80</f>
        <v>0.14541757306346353</v>
      </c>
      <c r="FI96" s="44"/>
      <c r="FJ96" s="44"/>
    </row>
    <row r="97" spans="2:160" s="17" customFormat="1" ht="13" x14ac:dyDescent="0.3">
      <c r="B97" s="17" t="s">
        <v>20</v>
      </c>
      <c r="C97" s="29">
        <v>0.12782982045277128</v>
      </c>
      <c r="D97" s="29">
        <v>0.12291376912378303</v>
      </c>
      <c r="E97" s="29">
        <v>0.1607462481068429</v>
      </c>
      <c r="F97" s="29">
        <v>0.13510269405174713</v>
      </c>
      <c r="G97" s="29">
        <v>0.15637477626325211</v>
      </c>
      <c r="H97" s="29">
        <v>0.1380034675913577</v>
      </c>
      <c r="I97" s="29">
        <v>0.17350499338226447</v>
      </c>
      <c r="J97" s="29">
        <v>0.1330572899949157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5"/>
      <c r="EG97" s="29"/>
      <c r="EH97" s="29">
        <v>0.17109793967322903</v>
      </c>
      <c r="EI97" s="29">
        <v>0.12522986392055904</v>
      </c>
      <c r="EJ97" s="29">
        <v>0.14704288327349097</v>
      </c>
      <c r="EK97" s="29">
        <v>0.15265901938106788</v>
      </c>
      <c r="EL97" s="29">
        <v>0.16483039249577047</v>
      </c>
      <c r="EM97" s="29">
        <v>0.17561949193815188</v>
      </c>
      <c r="EN97" s="29">
        <f t="shared" ref="EN97:EY97" si="127">EN84/EN68</f>
        <v>0.2106192023760842</v>
      </c>
      <c r="EO97" s="29">
        <f t="shared" si="127"/>
        <v>0.2</v>
      </c>
      <c r="EP97" s="29">
        <f t="shared" si="127"/>
        <v>0.1800067616109538</v>
      </c>
      <c r="EQ97" s="29">
        <f t="shared" si="127"/>
        <v>0.21967506054407374</v>
      </c>
      <c r="ER97" s="29">
        <f t="shared" si="127"/>
        <v>-0.45934460335065086</v>
      </c>
      <c r="ES97" s="29">
        <f t="shared" si="127"/>
        <v>-0.17293445376656688</v>
      </c>
      <c r="ET97" s="29">
        <f t="shared" si="127"/>
        <v>-0.17529579209543633</v>
      </c>
      <c r="EU97" s="29">
        <f t="shared" si="127"/>
        <v>-0.17989152387578397</v>
      </c>
      <c r="EV97" s="29">
        <f t="shared" si="127"/>
        <v>-0.1829491100620291</v>
      </c>
      <c r="EW97" s="29">
        <f t="shared" si="127"/>
        <v>-0.20105645905388148</v>
      </c>
      <c r="EX97" s="29">
        <f t="shared" si="127"/>
        <v>-0.20181750600799933</v>
      </c>
      <c r="EY97" s="29">
        <f t="shared" si="127"/>
        <v>-0.18558106022703266</v>
      </c>
      <c r="EZ97" s="29">
        <f>EZ84/EZ68</f>
        <v>0.28422749172710593</v>
      </c>
      <c r="FA97" s="29">
        <f>FA84/FA68</f>
        <v>0.27130141239789174</v>
      </c>
      <c r="FC97" s="48"/>
      <c r="FD97" s="48"/>
    </row>
    <row r="98" spans="2:160" x14ac:dyDescent="0.25">
      <c r="B98" s="15" t="s">
        <v>7</v>
      </c>
      <c r="C98" s="28">
        <v>0.11280249804839969</v>
      </c>
      <c r="D98" s="28">
        <v>0.11328233657858136</v>
      </c>
      <c r="E98" s="28">
        <v>0.19454770755885997</v>
      </c>
      <c r="F98" s="28">
        <v>0.10089357161909843</v>
      </c>
      <c r="G98" s="28">
        <v>0.18718160539721879</v>
      </c>
      <c r="H98" s="28">
        <v>9.8826353694318483E-2</v>
      </c>
      <c r="I98" s="28">
        <v>0.16827096618938756</v>
      </c>
      <c r="J98" s="28">
        <v>0.13251987160344253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G98" s="28"/>
      <c r="EH98" s="28">
        <v>-4.0346087028221136E-2</v>
      </c>
      <c r="EI98" s="28">
        <v>0.11305627068775286</v>
      </c>
      <c r="EJ98" s="28">
        <v>0.14230065713705034</v>
      </c>
      <c r="EK98" s="28">
        <v>0.15410220583112316</v>
      </c>
      <c r="EL98" s="28">
        <v>0.16469033218166365</v>
      </c>
      <c r="EM98" s="28">
        <v>0.17550225150897455</v>
      </c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</row>
    <row r="99" spans="2:160" x14ac:dyDescent="0.25">
      <c r="G99" s="23"/>
      <c r="H99" s="23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2:160" s="17" customFormat="1" ht="13" x14ac:dyDescent="0.3">
      <c r="B100" s="17" t="s">
        <v>184</v>
      </c>
      <c r="C100" s="75" t="s">
        <v>12</v>
      </c>
      <c r="D100" s="75" t="s">
        <v>12</v>
      </c>
      <c r="E100" s="29">
        <v>0.13395784543325528</v>
      </c>
      <c r="F100" s="29">
        <v>4.2837273991655156E-2</v>
      </c>
      <c r="G100" s="75" t="s">
        <v>12</v>
      </c>
      <c r="H100" s="75" t="s">
        <v>12</v>
      </c>
      <c r="I100" s="29">
        <v>0.14429299187663491</v>
      </c>
      <c r="J100" s="29">
        <v>7.3267007224671055E-2</v>
      </c>
      <c r="K100" s="29">
        <f t="shared" ref="K100:T100" si="128">K68/I68-1</f>
        <v>0.19414029599326188</v>
      </c>
      <c r="L100" s="29">
        <f t="shared" si="128"/>
        <v>0.17486367727248653</v>
      </c>
      <c r="M100" s="29">
        <f t="shared" si="128"/>
        <v>0.1500327472416747</v>
      </c>
      <c r="N100" s="29">
        <f t="shared" si="128"/>
        <v>5.0198269646719584E-2</v>
      </c>
      <c r="O100" s="29">
        <f t="shared" si="128"/>
        <v>-3.6053795943400413E-2</v>
      </c>
      <c r="P100" s="29">
        <f t="shared" si="128"/>
        <v>1.3172573586200942E-2</v>
      </c>
      <c r="Q100" s="29">
        <f t="shared" si="128"/>
        <v>9.0983457553172054E-2</v>
      </c>
      <c r="R100" s="29">
        <f t="shared" si="128"/>
        <v>6.7886333799178411E-2</v>
      </c>
      <c r="S100" s="29">
        <f t="shared" si="128"/>
        <v>2.6243439140214875E-2</v>
      </c>
      <c r="T100" s="29">
        <f t="shared" si="128"/>
        <v>-9.7120875634517767E-2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>
        <f t="shared" ref="BP100:BQ100" si="129">BP68/BL68-1</f>
        <v>2.3527361449982021E-3</v>
      </c>
      <c r="BQ100" s="79">
        <f t="shared" si="129"/>
        <v>-1.7546658159196538E-3</v>
      </c>
      <c r="BR100" s="79">
        <f t="shared" ref="BR100:BW100" si="130">BR68/BN68-1</f>
        <v>6.0909583107742193E-2</v>
      </c>
      <c r="BS100" s="79">
        <f t="shared" si="130"/>
        <v>0.1108959690195388</v>
      </c>
      <c r="BT100" s="79">
        <f t="shared" si="130"/>
        <v>9.2236807789272346E-2</v>
      </c>
      <c r="BU100" s="79">
        <f t="shared" si="130"/>
        <v>1.0866091403004097E-2</v>
      </c>
      <c r="BV100" s="79">
        <f t="shared" si="130"/>
        <v>-0.33154716339202173</v>
      </c>
      <c r="BW100" s="79">
        <f t="shared" si="130"/>
        <v>-1.8301378545396929E-2</v>
      </c>
      <c r="BX100" s="79">
        <f t="shared" ref="BX100" si="131">BX68/BT68-1</f>
        <v>-8.5402737981534527E-2</v>
      </c>
      <c r="BY100" s="79">
        <f t="shared" ref="BY100" si="132">BY68/BU68-1</f>
        <v>-0.10322478659500478</v>
      </c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>
        <v>4.3121307450318502E-2</v>
      </c>
      <c r="EJ100" s="29"/>
      <c r="EK100" s="29">
        <f t="shared" ref="EK100:EL100" si="133">EK68/EJ68-1</f>
        <v>0.20286565950816349</v>
      </c>
      <c r="EL100" s="29">
        <f t="shared" si="133"/>
        <v>0.18388668299963395</v>
      </c>
      <c r="EM100" s="29">
        <f>EM68/EL68-1</f>
        <v>9.733355533883592E-2</v>
      </c>
      <c r="EN100" s="29">
        <f>EN68/EM68-1</f>
        <v>7.1532308759456598E-3</v>
      </c>
      <c r="EO100" s="29">
        <f>EO68/EN68-1</f>
        <v>6.7408475561199221E-2</v>
      </c>
      <c r="EP100" s="29">
        <f>EP68/EO68-1</f>
        <v>-4.5750579695533866E-2</v>
      </c>
      <c r="EQ100" s="29">
        <f t="shared" ref="EQ100:ES100" si="134">EQ68/EP68-1</f>
        <v>-0.10131851413599291</v>
      </c>
      <c r="ER100" s="29">
        <f t="shared" si="134"/>
        <v>-0.59721144576896856</v>
      </c>
      <c r="ES100" s="29">
        <f t="shared" si="134"/>
        <v>1.7307220827739185</v>
      </c>
      <c r="ET100" s="29">
        <f t="shared" ref="ET100" si="135">ET68/ES68-1</f>
        <v>1.4578879863189398E-2</v>
      </c>
      <c r="EU100" s="29">
        <f t="shared" ref="EU100" si="136">EU68/ET68-1</f>
        <v>2.5072689730731845E-3</v>
      </c>
      <c r="EV100" s="29">
        <f t="shared" ref="EV100" si="137">EV68/EU68-1</f>
        <v>1.1937538092936295E-2</v>
      </c>
      <c r="EW100" s="29">
        <f t="shared" ref="EW100" si="138">EW68/EV68-1</f>
        <v>-6.3241188809736393E-2</v>
      </c>
      <c r="EX100" s="29">
        <f t="shared" ref="EX100" si="139">EX68/EW68-1</f>
        <v>2.5917878680383089E-2</v>
      </c>
      <c r="EY100" s="29">
        <f t="shared" ref="EY100" si="140">EY68/EX68-1</f>
        <v>0.12024290623041511</v>
      </c>
      <c r="EZ100" s="29">
        <f t="shared" ref="EZ100" si="141">EZ68/EY68-1</f>
        <v>0.12512298165403091</v>
      </c>
      <c r="FA100" s="29">
        <f t="shared" ref="FA100:FD100" si="142">FA68/EZ68-1</f>
        <v>7.6779315192976982E-2</v>
      </c>
      <c r="FB100" s="29">
        <f t="shared" si="142"/>
        <v>-4.0158596200697394E-2</v>
      </c>
      <c r="FC100" s="29">
        <f t="shared" si="142"/>
        <v>-1.6805189203536908E-2</v>
      </c>
      <c r="FD100" s="29">
        <f t="shared" si="142"/>
        <v>2.073701616441137E-2</v>
      </c>
    </row>
    <row r="101" spans="2:160" s="17" customFormat="1" ht="13" x14ac:dyDescent="0.3">
      <c r="B101" s="17" t="s">
        <v>336</v>
      </c>
      <c r="C101" s="75"/>
      <c r="D101" s="75"/>
      <c r="E101" s="29"/>
      <c r="F101" s="29"/>
      <c r="G101" s="75"/>
      <c r="H101" s="75"/>
      <c r="I101" s="29"/>
      <c r="J101" s="29"/>
      <c r="K101" s="29"/>
      <c r="L101" s="29"/>
      <c r="M101" s="29"/>
      <c r="N101" s="29"/>
      <c r="O101" s="29"/>
      <c r="P101" s="29"/>
      <c r="Q101" s="29">
        <v>0.1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79"/>
      <c r="BS101" s="48"/>
      <c r="BT101" s="79">
        <v>0.14000000000000001</v>
      </c>
      <c r="BU101" s="48"/>
      <c r="BV101" s="79">
        <v>0.09</v>
      </c>
      <c r="BW101" s="79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G101" s="29"/>
      <c r="EH101" s="29"/>
      <c r="EI101" s="29"/>
      <c r="EJ101" s="29"/>
      <c r="EK101" s="29"/>
      <c r="EL101" s="29">
        <v>0.17399999999999999</v>
      </c>
      <c r="EM101" s="29">
        <v>0.10199999999999999</v>
      </c>
      <c r="EN101" s="29">
        <v>5.8999999999999997E-2</v>
      </c>
      <c r="EO101" s="29">
        <v>0.1</v>
      </c>
      <c r="EP101" s="29">
        <v>0</v>
      </c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48"/>
      <c r="FC101" s="29">
        <v>0.01</v>
      </c>
      <c r="FD101" s="29">
        <v>7.0000000000000007E-2</v>
      </c>
    </row>
    <row r="102" spans="2:160" s="17" customFormat="1" ht="13" x14ac:dyDescent="0.3">
      <c r="B102" s="17" t="s">
        <v>337</v>
      </c>
      <c r="C102" s="75"/>
      <c r="D102" s="75"/>
      <c r="E102" s="29"/>
      <c r="F102" s="29"/>
      <c r="G102" s="75"/>
      <c r="H102" s="7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79"/>
      <c r="BS102" s="48"/>
      <c r="BT102" s="79">
        <v>0.15</v>
      </c>
      <c r="BU102" s="48"/>
      <c r="BV102" s="79">
        <v>0.1</v>
      </c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79">
        <v>0.02</v>
      </c>
      <c r="EA102" s="48"/>
      <c r="EB102" s="48"/>
      <c r="EC102" s="48"/>
      <c r="ED102" s="48"/>
      <c r="EE102" s="48"/>
      <c r="EG102" s="29"/>
      <c r="EH102" s="29"/>
      <c r="EI102" s="29"/>
      <c r="EJ102" s="29"/>
      <c r="EK102" s="29"/>
      <c r="EL102" s="29"/>
      <c r="EM102" s="29">
        <v>0.114</v>
      </c>
      <c r="EN102" s="29">
        <v>4.7E-2</v>
      </c>
      <c r="EO102" s="29">
        <v>0.11</v>
      </c>
      <c r="EP102" s="29">
        <v>-0.02</v>
      </c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48"/>
      <c r="FC102" s="48"/>
      <c r="FD102" s="79">
        <v>0.08</v>
      </c>
    </row>
    <row r="103" spans="2:160" s="17" customFormat="1" ht="13" x14ac:dyDescent="0.3">
      <c r="B103" s="17" t="s">
        <v>721</v>
      </c>
      <c r="C103" s="75"/>
      <c r="D103" s="75"/>
      <c r="E103" s="29"/>
      <c r="F103" s="29"/>
      <c r="G103" s="75"/>
      <c r="H103" s="7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79"/>
      <c r="BS103" s="48"/>
      <c r="BT103" s="79"/>
      <c r="BU103" s="48"/>
      <c r="BV103" s="79"/>
      <c r="BW103" s="48"/>
      <c r="BX103" s="48"/>
      <c r="BY103" s="79">
        <v>0.1</v>
      </c>
      <c r="BZ103" s="79">
        <v>7.0000000000000007E-2</v>
      </c>
      <c r="CA103" s="79">
        <v>0.06</v>
      </c>
      <c r="CB103" s="79">
        <v>7.0000000000000007E-2</v>
      </c>
      <c r="CC103" s="79">
        <v>0.1</v>
      </c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ht="13" x14ac:dyDescent="0.3">
      <c r="B104" s="17" t="s">
        <v>722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/>
      <c r="BU104" s="48"/>
      <c r="BV104" s="79"/>
      <c r="BW104" s="48"/>
      <c r="BX104" s="48"/>
      <c r="BY104" s="79">
        <v>0.02</v>
      </c>
      <c r="BZ104" s="79">
        <v>-0.06</v>
      </c>
      <c r="CA104" s="79">
        <v>-0.09</v>
      </c>
      <c r="CB104" s="79">
        <v>-0.1</v>
      </c>
      <c r="CC104" s="79">
        <v>-0.02</v>
      </c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ht="13" x14ac:dyDescent="0.3">
      <c r="B105" s="17" t="s">
        <v>723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/>
      <c r="BU105" s="48"/>
      <c r="BV105" s="79"/>
      <c r="BW105" s="48"/>
      <c r="BX105" s="48"/>
      <c r="BY105" s="79">
        <v>0.05</v>
      </c>
      <c r="BZ105" s="79">
        <v>0.08</v>
      </c>
      <c r="CA105" s="79">
        <v>0.12</v>
      </c>
      <c r="CB105" s="79">
        <v>0.04</v>
      </c>
      <c r="CC105" s="79">
        <v>0.14000000000000001</v>
      </c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 s="17" customFormat="1" ht="13" x14ac:dyDescent="0.3">
      <c r="B106" s="3" t="s">
        <v>698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G106" s="29"/>
      <c r="EH106" s="29"/>
      <c r="EI106" s="29"/>
      <c r="EJ106" s="29"/>
      <c r="EK106" s="29"/>
      <c r="EL106" s="29"/>
      <c r="EM106" s="81">
        <f t="shared" ref="EM106:FA106" si="143">EM6/EL6-1</f>
        <v>6.8937921573110739E-2</v>
      </c>
      <c r="EN106" s="81">
        <f t="shared" si="143"/>
        <v>3.2727272727272716E-2</v>
      </c>
      <c r="EO106" s="81">
        <f t="shared" si="143"/>
        <v>4.1321458160729074E-2</v>
      </c>
      <c r="EP106" s="81">
        <f t="shared" si="143"/>
        <v>3.5803083043262074E-2</v>
      </c>
      <c r="EQ106" s="81">
        <f t="shared" si="143"/>
        <v>-6.5098415746519422E-2</v>
      </c>
      <c r="ER106" s="81">
        <f t="shared" si="143"/>
        <v>-1</v>
      </c>
      <c r="ES106" s="81" t="e">
        <f t="shared" si="143"/>
        <v>#DIV/0!</v>
      </c>
      <c r="ET106" s="81" t="e">
        <f t="shared" si="143"/>
        <v>#DIV/0!</v>
      </c>
      <c r="EU106" s="81" t="e">
        <f t="shared" si="143"/>
        <v>#DIV/0!</v>
      </c>
      <c r="EV106" s="81" t="e">
        <f t="shared" si="143"/>
        <v>#DIV/0!</v>
      </c>
      <c r="EW106" s="81" t="e">
        <f t="shared" si="143"/>
        <v>#DIV/0!</v>
      </c>
      <c r="EX106" s="81">
        <f t="shared" si="143"/>
        <v>6.6230648232469491E-2</v>
      </c>
      <c r="EY106" s="81">
        <f t="shared" si="143"/>
        <v>5.5128503765820014E-3</v>
      </c>
      <c r="EZ106" s="81">
        <f t="shared" si="143"/>
        <v>6.4942084942084977E-2</v>
      </c>
      <c r="FA106" s="81">
        <f t="shared" si="143"/>
        <v>0.2877963889493147</v>
      </c>
      <c r="FC106" s="48"/>
      <c r="FD106" s="48"/>
    </row>
    <row r="107" spans="2:160" s="3" customFormat="1" x14ac:dyDescent="0.25">
      <c r="B107" s="3" t="s">
        <v>338</v>
      </c>
      <c r="C107" s="80"/>
      <c r="D107" s="80"/>
      <c r="E107" s="81"/>
      <c r="F107" s="81"/>
      <c r="G107" s="80"/>
      <c r="H107" s="80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82"/>
      <c r="BS107" s="52"/>
      <c r="BT107" s="82">
        <v>0.1</v>
      </c>
      <c r="BU107" s="52"/>
      <c r="BV107" s="82">
        <v>0.09</v>
      </c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G107" s="81"/>
      <c r="EH107" s="81"/>
      <c r="EI107" s="81"/>
      <c r="EJ107" s="81"/>
      <c r="EK107" s="81"/>
      <c r="EL107" s="81"/>
      <c r="EM107" s="81">
        <v>5.6000000000000001E-2</v>
      </c>
      <c r="EN107" s="81">
        <v>0.105</v>
      </c>
      <c r="EO107" s="81">
        <v>0.09</v>
      </c>
      <c r="EP107" s="81">
        <v>0.08</v>
      </c>
      <c r="EQ107" s="81"/>
      <c r="ER107" s="81"/>
      <c r="ES107" s="81"/>
      <c r="ET107" s="81"/>
      <c r="EU107" s="81"/>
      <c r="EV107" s="81"/>
      <c r="EW107" s="81"/>
      <c r="EX107" s="81"/>
      <c r="EY107" s="81"/>
      <c r="EZ107" s="81"/>
      <c r="FA107" s="52"/>
      <c r="FC107" s="52"/>
      <c r="FD107" s="52"/>
    </row>
    <row r="108" spans="2:160" x14ac:dyDescent="0.25">
      <c r="B108" s="15" t="s">
        <v>187</v>
      </c>
      <c r="C108" s="74" t="s">
        <v>12</v>
      </c>
      <c r="D108" s="74" t="s">
        <v>12</v>
      </c>
      <c r="E108" s="28">
        <v>8.8846364133406297E-2</v>
      </c>
      <c r="F108" s="28">
        <v>3.1978841067564323E-2</v>
      </c>
      <c r="G108" s="74" t="s">
        <v>12</v>
      </c>
      <c r="H108" s="74" t="s">
        <v>12</v>
      </c>
      <c r="I108" s="28">
        <v>0.10224999999999995</v>
      </c>
      <c r="J108" s="28">
        <v>6.1689216876127606E-2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-5.3441913729481705E-3</v>
      </c>
      <c r="EJ108" s="28"/>
      <c r="EK108" s="28">
        <f t="shared" ref="EK108:EM110" si="144">EK72/EJ72-1</f>
        <v>0.14020148716718639</v>
      </c>
      <c r="EL108" s="28">
        <f t="shared" si="144"/>
        <v>0.14189544546123911</v>
      </c>
      <c r="EM108" s="28">
        <f t="shared" si="144"/>
        <v>-0.14084377302873985</v>
      </c>
      <c r="EN108" s="28">
        <v>0.10866670124251376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 s="17" customFormat="1" ht="13" x14ac:dyDescent="0.3">
      <c r="B109" s="15" t="s">
        <v>188</v>
      </c>
      <c r="C109" s="75" t="s">
        <v>12</v>
      </c>
      <c r="D109" s="75" t="s">
        <v>12</v>
      </c>
      <c r="E109" s="29">
        <v>8.599394080633882E-2</v>
      </c>
      <c r="F109" s="29">
        <v>2.5992632009824046E-2</v>
      </c>
      <c r="G109" s="75" t="s">
        <v>12</v>
      </c>
      <c r="H109" s="75" t="s">
        <v>12</v>
      </c>
      <c r="I109" s="29">
        <v>9.7845423996837377E-2</v>
      </c>
      <c r="J109" s="29">
        <v>5.8237668615354954E-2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5"/>
      <c r="EG109" s="28"/>
      <c r="EH109" s="28"/>
      <c r="EI109" s="28">
        <v>1.3809102960671726E-2</v>
      </c>
      <c r="EJ109" s="28"/>
      <c r="EK109" s="28">
        <f t="shared" si="144"/>
        <v>0.10743405275779372</v>
      </c>
      <c r="EL109" s="28">
        <f t="shared" si="144"/>
        <v>0.10090948462537885</v>
      </c>
      <c r="EM109" s="28">
        <f t="shared" si="144"/>
        <v>-3.5011801730920555E-2</v>
      </c>
      <c r="EN109" s="29">
        <v>0.11175549765689508</v>
      </c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48"/>
      <c r="FC109" s="48"/>
      <c r="FD109" s="48"/>
    </row>
    <row r="110" spans="2:160" s="17" customFormat="1" ht="13" x14ac:dyDescent="0.3">
      <c r="B110" s="30" t="s">
        <v>189</v>
      </c>
      <c r="C110" s="75" t="s">
        <v>12</v>
      </c>
      <c r="D110" s="75" t="s">
        <v>12</v>
      </c>
      <c r="E110" s="29">
        <v>7.3630924988495217E-2</v>
      </c>
      <c r="F110" s="29">
        <v>0.1097511219910241</v>
      </c>
      <c r="G110" s="75" t="s">
        <v>12</v>
      </c>
      <c r="H110" s="75" t="s">
        <v>12</v>
      </c>
      <c r="I110" s="29">
        <v>8.3862770012706589E-2</v>
      </c>
      <c r="J110" s="29">
        <v>5.0101322750746524E-2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8"/>
      <c r="EH110" s="28"/>
      <c r="EI110" s="28">
        <v>0.11907066795740562</v>
      </c>
      <c r="EJ110" s="28"/>
      <c r="EK110" s="28">
        <f t="shared" si="144"/>
        <v>0.10690725649980592</v>
      </c>
      <c r="EL110" s="28">
        <f t="shared" si="144"/>
        <v>0.15495179666958814</v>
      </c>
      <c r="EM110" s="28">
        <f t="shared" si="144"/>
        <v>0.2725755046289271</v>
      </c>
      <c r="EN110" s="29">
        <v>0.11157806678724591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s="17" customFormat="1" ht="13" x14ac:dyDescent="0.3">
      <c r="B111" s="17" t="s">
        <v>149</v>
      </c>
      <c r="C111" s="74" t="s">
        <v>12</v>
      </c>
      <c r="D111" s="74" t="s">
        <v>12</v>
      </c>
      <c r="E111" s="29">
        <v>0.3063889869396399</v>
      </c>
      <c r="F111" s="29">
        <v>9.763513513513522E-2</v>
      </c>
      <c r="G111" s="74" t="s">
        <v>12</v>
      </c>
      <c r="H111" s="74" t="s">
        <v>12</v>
      </c>
      <c r="I111" s="29">
        <v>0.23986390700311877</v>
      </c>
      <c r="J111" s="29">
        <v>0.10487106107533983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5"/>
      <c r="EG111" s="29"/>
      <c r="EH111" s="29"/>
      <c r="EI111" s="29">
        <v>0.10913268236645601</v>
      </c>
      <c r="EJ111" s="29"/>
      <c r="EK111" s="29">
        <f>EK77/EK68</f>
        <v>0.28534820196558813</v>
      </c>
      <c r="EL111" s="29"/>
      <c r="EM111" s="29"/>
      <c r="EN111" s="29">
        <f>EN77/EM77-1</f>
        <v>-8.0177200973357454E-2</v>
      </c>
      <c r="EO111" s="29">
        <f>EO77/EN77-1</f>
        <v>2.9914529914529808E-2</v>
      </c>
      <c r="EP111" s="29">
        <f>EP77/EO77-1</f>
        <v>-0.12145162352631234</v>
      </c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48"/>
      <c r="FC111" s="48"/>
      <c r="FD111" s="48"/>
    </row>
    <row r="112" spans="2:160" x14ac:dyDescent="0.25">
      <c r="B112" s="15" t="s">
        <v>194</v>
      </c>
      <c r="C112" s="74" t="s">
        <v>12</v>
      </c>
      <c r="D112" s="74" t="s">
        <v>12</v>
      </c>
      <c r="E112" s="28">
        <v>0.5</v>
      </c>
      <c r="F112" s="28">
        <v>-0.38461538461538458</v>
      </c>
      <c r="G112" s="74" t="s">
        <v>12</v>
      </c>
      <c r="H112" s="74" t="s">
        <v>12</v>
      </c>
      <c r="I112" s="28" t="s">
        <v>22</v>
      </c>
      <c r="J112" s="28">
        <v>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EG112" s="28"/>
      <c r="EH112" s="28"/>
      <c r="EI112" s="28">
        <v>0.18918918918918926</v>
      </c>
      <c r="EJ112" s="28"/>
      <c r="EK112" s="28">
        <v>-0.62790697674418605</v>
      </c>
      <c r="EL112" s="28">
        <v>0</v>
      </c>
      <c r="EM112" s="28">
        <v>0</v>
      </c>
      <c r="EN112" s="28">
        <v>0</v>
      </c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</row>
    <row r="113" spans="2:160" x14ac:dyDescent="0.25">
      <c r="B113" s="15" t="s">
        <v>14</v>
      </c>
      <c r="C113" s="74" t="s">
        <v>12</v>
      </c>
      <c r="D113" s="74" t="s">
        <v>12</v>
      </c>
      <c r="E113" s="28">
        <v>-0.31908831908831914</v>
      </c>
      <c r="F113" s="28">
        <v>-0.64157706093189959</v>
      </c>
      <c r="G113" s="74" t="s">
        <v>12</v>
      </c>
      <c r="H113" s="74" t="s">
        <v>12</v>
      </c>
      <c r="I113" s="28" t="s">
        <v>12</v>
      </c>
      <c r="J113" s="28">
        <v>-0.58432078257659692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>
        <v>-1.7546366171712531</v>
      </c>
      <c r="EJ113" s="28"/>
      <c r="EK113" s="28">
        <v>-0.77084256183093414</v>
      </c>
      <c r="EL113" s="28">
        <v>-0.74361496486317979</v>
      </c>
      <c r="EM113" s="28">
        <v>-2.1573365350255624</v>
      </c>
      <c r="EN113" s="28">
        <v>1.8537461678109746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5">
      <c r="B114" s="15" t="s">
        <v>15</v>
      </c>
      <c r="C114" s="74" t="s">
        <v>12</v>
      </c>
      <c r="D114" s="74" t="s">
        <v>12</v>
      </c>
      <c r="E114" s="28">
        <v>0.39407467532467533</v>
      </c>
      <c r="F114" s="28">
        <v>0.18003766478342742</v>
      </c>
      <c r="G114" s="74" t="s">
        <v>12</v>
      </c>
      <c r="H114" s="74" t="s">
        <v>12</v>
      </c>
      <c r="I114" s="28">
        <v>0.32942942942942932</v>
      </c>
      <c r="J114" s="28">
        <v>0.13307229097301021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-0.1497862525757121</v>
      </c>
      <c r="EJ114" s="28"/>
      <c r="EK114" s="28">
        <v>0.27706643758613492</v>
      </c>
      <c r="EL114" s="28">
        <v>0.2896293957283107</v>
      </c>
      <c r="EM114" s="28">
        <v>0.33935179791748182</v>
      </c>
      <c r="EN114" s="28">
        <v>0.22525526811705765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x14ac:dyDescent="0.25">
      <c r="B115" s="15" t="s">
        <v>4</v>
      </c>
      <c r="C115" s="74" t="s">
        <v>12</v>
      </c>
      <c r="D115" s="74" t="s">
        <v>12</v>
      </c>
      <c r="E115" s="28">
        <v>0.47708894878706198</v>
      </c>
      <c r="F115" s="28">
        <v>0.25667351129363447</v>
      </c>
      <c r="G115" s="74" t="s">
        <v>12</v>
      </c>
      <c r="H115" s="74" t="s">
        <v>12</v>
      </c>
      <c r="I115" s="28">
        <v>0.69465648854961826</v>
      </c>
      <c r="J115" s="28">
        <v>-0.10639136046998865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G115" s="28"/>
      <c r="EH115" s="28"/>
      <c r="EI115" s="28">
        <v>-13.617647058823529</v>
      </c>
      <c r="EJ115" s="28"/>
      <c r="EK115" s="28">
        <v>0.75939385108773849</v>
      </c>
      <c r="EL115" s="28">
        <v>0.35668583556657008</v>
      </c>
      <c r="EM115" s="28">
        <v>0.5843113747061166</v>
      </c>
      <c r="EN115" s="28">
        <v>0.29449709369533661</v>
      </c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</row>
    <row r="116" spans="2:160" s="17" customFormat="1" ht="13" x14ac:dyDescent="0.3">
      <c r="B116" s="17" t="s">
        <v>20</v>
      </c>
      <c r="C116" s="74" t="s">
        <v>12</v>
      </c>
      <c r="D116" s="74" t="s">
        <v>12</v>
      </c>
      <c r="E116" s="29">
        <v>0.42595419847328242</v>
      </c>
      <c r="F116" s="29">
        <v>0.14625176803394635</v>
      </c>
      <c r="G116" s="74" t="s">
        <v>12</v>
      </c>
      <c r="H116" s="74" t="s">
        <v>12</v>
      </c>
      <c r="I116" s="29">
        <v>0.26964560862865938</v>
      </c>
      <c r="J116" s="29">
        <v>0.14267721422019086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5"/>
      <c r="EG116" s="29"/>
      <c r="EH116" s="29"/>
      <c r="EI116" s="29">
        <v>-0.23651950669819721</v>
      </c>
      <c r="EJ116" s="29"/>
      <c r="EK116" s="29">
        <v>0.20618920887528391</v>
      </c>
      <c r="EL116" s="29">
        <v>0.23617416138624936</v>
      </c>
      <c r="EM116" s="29">
        <v>0.27283796353628231</v>
      </c>
      <c r="EN116" s="29">
        <v>0.19103888723838436</v>
      </c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48"/>
      <c r="FC116" s="48"/>
      <c r="FD116" s="48"/>
    </row>
    <row r="117" spans="2:160" x14ac:dyDescent="0.25">
      <c r="B117" s="15" t="s">
        <v>16</v>
      </c>
      <c r="C117" s="74" t="s">
        <v>12</v>
      </c>
      <c r="D117" s="74" t="s">
        <v>12</v>
      </c>
      <c r="E117" s="28">
        <v>0.95570934256055362</v>
      </c>
      <c r="F117" s="28">
        <v>-7.1209330877839205E-2</v>
      </c>
      <c r="G117" s="74" t="s">
        <v>12</v>
      </c>
      <c r="H117" s="74" t="s">
        <v>12</v>
      </c>
      <c r="I117" s="28">
        <v>2.8687017285766725E-2</v>
      </c>
      <c r="J117" s="28">
        <v>0.15407772178764811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G117" s="28"/>
      <c r="EH117" s="28"/>
      <c r="EI117" s="28">
        <v>-3.9229948572900177</v>
      </c>
      <c r="EJ117" s="28"/>
      <c r="EK117" s="28">
        <v>0.25816885401752154</v>
      </c>
      <c r="EL117" s="28">
        <v>0.22355666613924408</v>
      </c>
      <c r="EM117" s="28">
        <v>0.27306999762332884</v>
      </c>
      <c r="EN117" s="28">
        <v>0.19116650657623802</v>
      </c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</row>
    <row r="118" spans="2:160" s="17" customFormat="1" ht="13" x14ac:dyDescent="0.3">
      <c r="B118" s="17" t="s">
        <v>21</v>
      </c>
      <c r="C118" s="74" t="s">
        <v>12</v>
      </c>
      <c r="D118" s="74" t="s">
        <v>12</v>
      </c>
      <c r="E118" s="29">
        <v>0.43022323214667901</v>
      </c>
      <c r="F118" s="29">
        <v>0.14014903871339501</v>
      </c>
      <c r="G118" s="74" t="s">
        <v>12</v>
      </c>
      <c r="H118" s="74" t="s">
        <v>12</v>
      </c>
      <c r="I118" s="29">
        <v>0.27343782401471151</v>
      </c>
      <c r="J118" s="29">
        <v>0.14267721422019086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5"/>
      <c r="EG118" s="29"/>
      <c r="EH118" s="29"/>
      <c r="EI118" s="29">
        <v>-0.25468420970839167</v>
      </c>
      <c r="EJ118" s="29"/>
      <c r="EK118" s="29">
        <v>0.20838607586445579</v>
      </c>
      <c r="EL118" s="29">
        <v>0.23617416138624936</v>
      </c>
      <c r="EM118" s="29">
        <v>0.27283796353628231</v>
      </c>
      <c r="EN118" s="29">
        <f>EN85/EM85-1</f>
        <v>-0.13535960417034809</v>
      </c>
      <c r="EO118" s="29">
        <f>EO85/EN85-1</f>
        <v>1.3590844062947083E-2</v>
      </c>
      <c r="EP118" s="29">
        <f>EP85/EO85-1</f>
        <v>-0.14114326040931557</v>
      </c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48"/>
      <c r="FC118" s="48"/>
      <c r="FD118" s="48"/>
    </row>
    <row r="119" spans="2:160" x14ac:dyDescent="0.25">
      <c r="B119" s="15" t="s">
        <v>42</v>
      </c>
      <c r="C119" s="74" t="s">
        <v>12</v>
      </c>
      <c r="D119" s="74" t="s">
        <v>12</v>
      </c>
      <c r="E119" s="28"/>
      <c r="F119" s="28"/>
      <c r="G119" s="74" t="s">
        <v>12</v>
      </c>
      <c r="H119" s="74" t="s">
        <v>12</v>
      </c>
      <c r="I119" s="28">
        <v>0.30643115658155562</v>
      </c>
      <c r="J119" s="28">
        <v>0.17124789823043063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EG119" s="28"/>
      <c r="EH119" s="28"/>
      <c r="EI119" s="28"/>
      <c r="EJ119" s="28"/>
      <c r="EK119" s="28">
        <v>0.24010160092268173</v>
      </c>
      <c r="EL119" s="28">
        <v>0.22959823690009884</v>
      </c>
      <c r="EM119" s="28">
        <v>0.26006430673578218</v>
      </c>
      <c r="EN119" s="28">
        <v>0.18389813893782847</v>
      </c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</row>
    <row r="120" spans="2:160" x14ac:dyDescent="0.25">
      <c r="B120" s="15" t="s">
        <v>17</v>
      </c>
      <c r="C120" s="74" t="s">
        <v>12</v>
      </c>
      <c r="D120" s="74" t="s">
        <v>12</v>
      </c>
      <c r="E120" s="28">
        <v>0.94492985420368969</v>
      </c>
      <c r="F120" s="28">
        <v>-8.0257132892308958E-2</v>
      </c>
      <c r="G120" s="74" t="s">
        <v>12</v>
      </c>
      <c r="H120" s="74" t="s">
        <v>12</v>
      </c>
      <c r="I120" s="28">
        <v>2.6696798876403083E-2</v>
      </c>
      <c r="J120" s="28">
        <v>0.15339148720865947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G120" s="28"/>
      <c r="EH120" s="28"/>
      <c r="EI120" s="28">
        <v>-3.885011675710488</v>
      </c>
      <c r="EJ120" s="28"/>
      <c r="EK120" s="28">
        <v>0.25609102568827624</v>
      </c>
      <c r="EL120" s="28">
        <v>0.22332428171071594</v>
      </c>
      <c r="EM120" s="28">
        <v>0.27283796353628231</v>
      </c>
      <c r="EN120" s="28">
        <v>0.19103888723838436</v>
      </c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</row>
    <row r="121" spans="2:160" x14ac:dyDescent="0.25">
      <c r="C121" s="44"/>
      <c r="D121" s="44"/>
      <c r="E121" s="44"/>
      <c r="F121" s="4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2:160" x14ac:dyDescent="0.25">
      <c r="B122" s="3" t="s">
        <v>483</v>
      </c>
      <c r="E122" s="44"/>
      <c r="F122" s="4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 spans="2:160" s="26" customFormat="1" ht="13" x14ac:dyDescent="0.3">
      <c r="B123" s="17" t="s">
        <v>138</v>
      </c>
      <c r="C123" s="24"/>
      <c r="D123" s="24"/>
      <c r="E123" s="24"/>
      <c r="F123" s="24"/>
      <c r="G123" s="24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8"/>
      <c r="AX123" s="48"/>
      <c r="AY123" s="48"/>
      <c r="AZ123" s="48"/>
      <c r="BA123" s="48"/>
      <c r="BB123" s="79">
        <f t="shared" ref="BB123:CC123" si="145">BB20/AX20-1</f>
        <v>0.18797953964194369</v>
      </c>
      <c r="BC123" s="79">
        <f t="shared" si="145"/>
        <v>0.20546318289786214</v>
      </c>
      <c r="BD123" s="79">
        <f t="shared" si="145"/>
        <v>0.20113636363636367</v>
      </c>
      <c r="BE123" s="79">
        <f t="shared" si="145"/>
        <v>0.31922196796338675</v>
      </c>
      <c r="BF123" s="79">
        <f t="shared" si="145"/>
        <v>0.23358449946178683</v>
      </c>
      <c r="BG123" s="79">
        <f t="shared" si="145"/>
        <v>0.18423645320197046</v>
      </c>
      <c r="BH123" s="79">
        <f t="shared" si="145"/>
        <v>0.11352885525070966</v>
      </c>
      <c r="BI123" s="79">
        <f t="shared" si="145"/>
        <v>0.1396357328707718</v>
      </c>
      <c r="BJ123" s="79">
        <f t="shared" si="145"/>
        <v>0.14223385689354284</v>
      </c>
      <c r="BK123" s="79">
        <f t="shared" si="145"/>
        <v>0.16056572379367728</v>
      </c>
      <c r="BL123" s="79">
        <f t="shared" si="145"/>
        <v>0.1724723874256584</v>
      </c>
      <c r="BM123" s="79">
        <f t="shared" si="145"/>
        <v>8.9802130898021248E-2</v>
      </c>
      <c r="BN123" s="79">
        <f t="shared" si="145"/>
        <v>7.4866310160427885E-2</v>
      </c>
      <c r="BO123" s="79">
        <f t="shared" si="145"/>
        <v>4.6594982078853153E-2</v>
      </c>
      <c r="BP123" s="79">
        <f t="shared" si="145"/>
        <v>6.6666666666666652E-2</v>
      </c>
      <c r="BQ123" s="79">
        <f t="shared" si="145"/>
        <v>0.1061452513966481</v>
      </c>
      <c r="BR123" s="79">
        <f t="shared" si="145"/>
        <v>5.2594171997156991E-2</v>
      </c>
      <c r="BS123" s="79">
        <f t="shared" si="145"/>
        <v>0.10753424657534238</v>
      </c>
      <c r="BT123" s="79">
        <f t="shared" si="145"/>
        <v>2.4456521739130377E-2</v>
      </c>
      <c r="BU123" s="79">
        <f t="shared" si="145"/>
        <v>-6.5025252525252486E-2</v>
      </c>
      <c r="BV123" s="79">
        <f t="shared" si="145"/>
        <v>8.4402430790006644E-2</v>
      </c>
      <c r="BW123" s="79">
        <f t="shared" si="145"/>
        <v>4.8237476808905333E-2</v>
      </c>
      <c r="BX123" s="79">
        <f t="shared" si="145"/>
        <v>7.9575596816976457E-3</v>
      </c>
      <c r="BY123" s="79">
        <f t="shared" si="145"/>
        <v>3.6461850101283E-2</v>
      </c>
      <c r="BZ123" s="79">
        <f t="shared" si="145"/>
        <v>-3.1133250311332517E-2</v>
      </c>
      <c r="CA123" s="79">
        <f t="shared" si="145"/>
        <v>-0.11504424778761058</v>
      </c>
      <c r="CB123" s="79">
        <f t="shared" si="145"/>
        <v>-0.10460526315789476</v>
      </c>
      <c r="CC123" s="79">
        <f t="shared" si="145"/>
        <v>3.4527687296416865E-2</v>
      </c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1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ht="13" x14ac:dyDescent="0.3">
      <c r="B124" s="17" t="s">
        <v>24</v>
      </c>
      <c r="C124" s="24"/>
      <c r="D124" s="24"/>
      <c r="E124" s="24"/>
      <c r="F124" s="24"/>
      <c r="G124" s="24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8"/>
      <c r="AX124" s="48"/>
      <c r="AY124" s="48"/>
      <c r="AZ124" s="48"/>
      <c r="BA124" s="48"/>
      <c r="BB124" s="79">
        <f t="shared" ref="BB124:CC124" si="146">BB18/AX18-1</f>
        <v>0.19207317073170738</v>
      </c>
      <c r="BC124" s="79">
        <f t="shared" si="146"/>
        <v>0.2921348314606742</v>
      </c>
      <c r="BD124" s="79">
        <f t="shared" si="146"/>
        <v>0.58445040214477206</v>
      </c>
      <c r="BE124" s="79">
        <f t="shared" si="146"/>
        <v>0.86387535984716535</v>
      </c>
      <c r="BF124" s="79">
        <f t="shared" si="146"/>
        <v>1.2020460358056266</v>
      </c>
      <c r="BG124" s="79">
        <f t="shared" si="146"/>
        <v>1.0695652173913044</v>
      </c>
      <c r="BH124" s="79">
        <f t="shared" si="146"/>
        <v>0.7072758037225042</v>
      </c>
      <c r="BI124" s="79">
        <f t="shared" si="146"/>
        <v>0.56960227272727271</v>
      </c>
      <c r="BJ124" s="79">
        <f t="shared" si="146"/>
        <v>0.35656213704994189</v>
      </c>
      <c r="BK124" s="79">
        <f t="shared" si="146"/>
        <v>0.27521008403361336</v>
      </c>
      <c r="BL124" s="79">
        <f t="shared" si="146"/>
        <v>0.19821605550049548</v>
      </c>
      <c r="BM124" s="79">
        <f t="shared" si="146"/>
        <v>0.14117647058823524</v>
      </c>
      <c r="BN124" s="79">
        <f t="shared" si="146"/>
        <v>4.8801369863013644E-2</v>
      </c>
      <c r="BO124" s="79">
        <f t="shared" si="146"/>
        <v>2.883031301482708E-2</v>
      </c>
      <c r="BP124" s="79">
        <f t="shared" si="146"/>
        <v>7.1133167907361461E-2</v>
      </c>
      <c r="BQ124" s="79">
        <f t="shared" si="146"/>
        <v>4.9167327517843029E-2</v>
      </c>
      <c r="BR124" s="79">
        <f t="shared" si="146"/>
        <v>6.6938775510203996E-2</v>
      </c>
      <c r="BS124" s="79">
        <f t="shared" si="146"/>
        <v>7.125700560448367E-2</v>
      </c>
      <c r="BT124" s="79">
        <f t="shared" si="146"/>
        <v>2.4710424710424617E-2</v>
      </c>
      <c r="BU124" s="79">
        <f t="shared" si="146"/>
        <v>-2.1919879062736181E-2</v>
      </c>
      <c r="BV124" s="79">
        <f t="shared" si="146"/>
        <v>8.4162203519510426E-2</v>
      </c>
      <c r="BW124" s="79">
        <f t="shared" si="146"/>
        <v>3.811659192825112E-2</v>
      </c>
      <c r="BX124" s="79">
        <f t="shared" si="146"/>
        <v>2.2607385079125741E-2</v>
      </c>
      <c r="BY124" s="79">
        <f t="shared" si="146"/>
        <v>-2.1638330757341562E-2</v>
      </c>
      <c r="BZ124" s="79">
        <f t="shared" si="146"/>
        <v>-2.1877205363443841E-2</v>
      </c>
      <c r="CA124" s="79">
        <f t="shared" si="146"/>
        <v>-4.2476601871850206E-2</v>
      </c>
      <c r="CB124" s="79">
        <f t="shared" si="146"/>
        <v>-0.12380250552689753</v>
      </c>
      <c r="CC124" s="79">
        <f t="shared" si="146"/>
        <v>6.4770932069510234E-2</v>
      </c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1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ht="13" x14ac:dyDescent="0.3">
      <c r="B125" s="17" t="s">
        <v>23</v>
      </c>
      <c r="C125" s="24"/>
      <c r="D125" s="24"/>
      <c r="E125" s="24"/>
      <c r="F125" s="24"/>
      <c r="G125" s="24"/>
      <c r="H125" s="2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8"/>
      <c r="AX125" s="48"/>
      <c r="AY125" s="48"/>
      <c r="AZ125" s="48"/>
      <c r="BA125" s="48"/>
      <c r="BB125" s="79">
        <f t="shared" ref="BB125:CC125" si="147">BB22/AX22-1</f>
        <v>4.416666666666667</v>
      </c>
      <c r="BC125" s="79">
        <f t="shared" si="147"/>
        <v>1.0532544378698225</v>
      </c>
      <c r="BD125" s="79">
        <f t="shared" si="147"/>
        <v>1.0680851063829788</v>
      </c>
      <c r="BE125" s="79">
        <f t="shared" si="147"/>
        <v>1.403361344537815</v>
      </c>
      <c r="BF125" s="79">
        <f t="shared" si="147"/>
        <v>1.6</v>
      </c>
      <c r="BG125" s="79">
        <f t="shared" si="147"/>
        <v>1.0547550432276656</v>
      </c>
      <c r="BH125" s="79">
        <f t="shared" si="147"/>
        <v>0.52469135802469147</v>
      </c>
      <c r="BI125" s="79">
        <f t="shared" si="147"/>
        <v>0.45454545454545459</v>
      </c>
      <c r="BJ125" s="79">
        <f t="shared" si="147"/>
        <v>0.36538461538461542</v>
      </c>
      <c r="BK125" s="79">
        <f t="shared" si="147"/>
        <v>0.38288920056100983</v>
      </c>
      <c r="BL125" s="79">
        <f t="shared" si="147"/>
        <v>0.4331983805668016</v>
      </c>
      <c r="BM125" s="79">
        <f t="shared" si="147"/>
        <v>0.36418269230769229</v>
      </c>
      <c r="BN125" s="79">
        <f t="shared" si="147"/>
        <v>0.22535211267605626</v>
      </c>
      <c r="BO125" s="79">
        <f t="shared" si="147"/>
        <v>0.23732251521298164</v>
      </c>
      <c r="BP125" s="79">
        <f t="shared" si="147"/>
        <v>0.27212806026365355</v>
      </c>
      <c r="BQ125" s="79">
        <f t="shared" si="147"/>
        <v>0.32599118942731287</v>
      </c>
      <c r="BR125" s="79">
        <f t="shared" si="147"/>
        <v>0.31299734748010599</v>
      </c>
      <c r="BS125" s="79">
        <f t="shared" si="147"/>
        <v>0.31557377049180335</v>
      </c>
      <c r="BT125" s="79">
        <f t="shared" si="147"/>
        <v>0.17986676535899337</v>
      </c>
      <c r="BU125" s="79">
        <f t="shared" si="147"/>
        <v>2.1926910299003399E-2</v>
      </c>
      <c r="BV125" s="79">
        <f t="shared" si="147"/>
        <v>0.12188552188552193</v>
      </c>
      <c r="BW125" s="79">
        <f t="shared" si="147"/>
        <v>7.6012461059190128E-2</v>
      </c>
      <c r="BX125" s="79">
        <f t="shared" si="147"/>
        <v>8.7829360100375453E-3</v>
      </c>
      <c r="BY125" s="79">
        <f t="shared" si="147"/>
        <v>-5.0715214564369338E-2</v>
      </c>
      <c r="BZ125" s="79">
        <f t="shared" si="147"/>
        <v>-0.1494597839135654</v>
      </c>
      <c r="CA125" s="79">
        <f t="shared" si="147"/>
        <v>-0.2420382165605095</v>
      </c>
      <c r="CB125" s="79">
        <f t="shared" si="147"/>
        <v>-0.24378109452736318</v>
      </c>
      <c r="CC125" s="79">
        <f t="shared" si="147"/>
        <v>-7.5342465753424626E-2</v>
      </c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  <c r="EF125" s="1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ht="13" x14ac:dyDescent="0.3">
      <c r="B126" s="15" t="s">
        <v>139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4">
        <f t="shared" ref="BB126:BV126" si="148">BB43/AX43-1</f>
        <v>5.5214723926380271E-2</v>
      </c>
      <c r="BC126" s="94">
        <f t="shared" si="148"/>
        <v>7.344632768361592E-2</v>
      </c>
      <c r="BD126" s="94">
        <f t="shared" si="148"/>
        <v>6.8181818181818121E-2</v>
      </c>
      <c r="BE126" s="94">
        <f t="shared" si="148"/>
        <v>0.12734082397003754</v>
      </c>
      <c r="BF126" s="94">
        <f t="shared" si="148"/>
        <v>3.6821705426356655E-2</v>
      </c>
      <c r="BG126" s="94">
        <f t="shared" si="148"/>
        <v>-8.7719298245614308E-3</v>
      </c>
      <c r="BH126" s="94">
        <f t="shared" si="148"/>
        <v>-5.1418439716312103E-2</v>
      </c>
      <c r="BI126" s="94">
        <f t="shared" si="148"/>
        <v>-1.6611295681063121E-2</v>
      </c>
      <c r="BJ126" s="94">
        <f t="shared" si="148"/>
        <v>-2.4299065420560706E-2</v>
      </c>
      <c r="BK126" s="94">
        <f t="shared" si="148"/>
        <v>-3.7168141592920367E-2</v>
      </c>
      <c r="BL126" s="94">
        <f t="shared" si="148"/>
        <v>-3.1775700934579487E-2</v>
      </c>
      <c r="BM126" s="94">
        <f t="shared" si="148"/>
        <v>-0.13851351351351349</v>
      </c>
      <c r="BN126" s="94">
        <f t="shared" si="148"/>
        <v>-0.15325670498084287</v>
      </c>
      <c r="BO126" s="94">
        <f t="shared" si="148"/>
        <v>-0.17279411764705888</v>
      </c>
      <c r="BP126" s="94">
        <f t="shared" si="148"/>
        <v>-0.17567567567567566</v>
      </c>
      <c r="BQ126" s="94">
        <f t="shared" si="148"/>
        <v>-0.10784313725490191</v>
      </c>
      <c r="BR126" s="94">
        <f t="shared" si="148"/>
        <v>-0.14479638009049778</v>
      </c>
      <c r="BS126" s="94">
        <f t="shared" si="148"/>
        <v>-8.666666666666667E-2</v>
      </c>
      <c r="BT126" s="94">
        <f t="shared" si="148"/>
        <v>-8.4309133489461341E-2</v>
      </c>
      <c r="BU126" s="94">
        <f t="shared" si="148"/>
        <v>-0.1648351648351648</v>
      </c>
      <c r="BV126" s="94">
        <f t="shared" si="148"/>
        <v>-0.10317460317460314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ht="13" x14ac:dyDescent="0.3">
      <c r="B127" s="15" t="s">
        <v>33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>
        <f t="shared" ref="BB127:BV127" si="149">BB49/AX49-1</f>
        <v>2.925925925925926</v>
      </c>
      <c r="BC127" s="94">
        <f t="shared" si="149"/>
        <v>7.2105263157894743</v>
      </c>
      <c r="BD127" s="94">
        <f t="shared" si="149"/>
        <v>1.5363636363636362</v>
      </c>
      <c r="BE127" s="94">
        <f t="shared" si="149"/>
        <v>6.5161290322580649</v>
      </c>
      <c r="BF127" s="94">
        <f t="shared" si="149"/>
        <v>0.41745283018867929</v>
      </c>
      <c r="BG127" s="94">
        <f t="shared" si="149"/>
        <v>1.3076923076923075</v>
      </c>
      <c r="BH127" s="94">
        <f t="shared" si="149"/>
        <v>1.3978494623655915</v>
      </c>
      <c r="BI127" s="94">
        <f t="shared" si="149"/>
        <v>0.42632331902718179</v>
      </c>
      <c r="BJ127" s="94">
        <f t="shared" si="149"/>
        <v>0.43926788685524132</v>
      </c>
      <c r="BK127" s="94">
        <f t="shared" si="149"/>
        <v>0.25277777777777777</v>
      </c>
      <c r="BL127" s="94">
        <f t="shared" si="149"/>
        <v>-0.61584454409566525</v>
      </c>
      <c r="BM127" s="94">
        <f t="shared" si="149"/>
        <v>-0.48645937813440321</v>
      </c>
      <c r="BN127" s="94">
        <f t="shared" si="149"/>
        <v>-0.67861271676300583</v>
      </c>
      <c r="BO127" s="94">
        <f t="shared" si="149"/>
        <v>-0.89135254988913526</v>
      </c>
      <c r="BP127" s="94">
        <f t="shared" si="149"/>
        <v>-0.60700389105058372</v>
      </c>
      <c r="BQ127" s="94">
        <f t="shared" si="149"/>
        <v>-0.646484375</v>
      </c>
      <c r="BR127" s="94">
        <f t="shared" si="149"/>
        <v>0.44244604316546754</v>
      </c>
      <c r="BS127" s="94">
        <f t="shared" si="149"/>
        <v>11.428571428571429</v>
      </c>
      <c r="BT127" s="94">
        <f t="shared" si="149"/>
        <v>8.8415841584158414</v>
      </c>
      <c r="BU127" s="94">
        <f t="shared" si="149"/>
        <v>5.6077348066298338</v>
      </c>
      <c r="BV127" s="94">
        <f t="shared" si="149"/>
        <v>0.28927680798004984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ht="13" x14ac:dyDescent="0.3">
      <c r="B128" s="15" t="s">
        <v>40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50">BB28/AX28-1</f>
        <v>2.7100271002709064E-3</v>
      </c>
      <c r="BC128" s="94">
        <f t="shared" si="150"/>
        <v>0.22857142857142865</v>
      </c>
      <c r="BD128" s="94">
        <f t="shared" si="150"/>
        <v>0.3086053412462908</v>
      </c>
      <c r="BE128" s="94">
        <f t="shared" si="150"/>
        <v>0.33717579250720453</v>
      </c>
      <c r="BF128" s="94">
        <f t="shared" si="150"/>
        <v>0.22702702702702693</v>
      </c>
      <c r="BG128" s="94">
        <f t="shared" si="150"/>
        <v>1.6279069767441756E-2</v>
      </c>
      <c r="BH128" s="94">
        <f t="shared" si="150"/>
        <v>5.6689342403628107E-2</v>
      </c>
      <c r="BI128" s="94">
        <f t="shared" si="150"/>
        <v>4.5258620689655249E-2</v>
      </c>
      <c r="BJ128" s="94">
        <f t="shared" si="150"/>
        <v>4.8458149779735615E-2</v>
      </c>
      <c r="BK128" s="94">
        <f t="shared" si="150"/>
        <v>0.15102974828375282</v>
      </c>
      <c r="BL128" s="94">
        <f t="shared" si="150"/>
        <v>4.0772532188841248E-2</v>
      </c>
      <c r="BM128" s="94">
        <f t="shared" si="150"/>
        <v>0.12989690721649483</v>
      </c>
      <c r="BN128" s="94">
        <f t="shared" si="150"/>
        <v>2.3109243697478909E-2</v>
      </c>
      <c r="BO128" s="94">
        <f t="shared" si="150"/>
        <v>3.9761431411530879E-2</v>
      </c>
      <c r="BP128" s="94">
        <f t="shared" si="150"/>
        <v>5.7731958762886615E-2</v>
      </c>
      <c r="BQ128" s="94">
        <f t="shared" si="150"/>
        <v>5.1094890510948954E-2</v>
      </c>
      <c r="BR128" s="94">
        <f t="shared" si="150"/>
        <v>6.1601642710472193E-2</v>
      </c>
      <c r="BS128" s="94">
        <f t="shared" si="150"/>
        <v>-0.21606118546845121</v>
      </c>
      <c r="BT128" s="94">
        <f t="shared" si="150"/>
        <v>-0.29434697855750491</v>
      </c>
      <c r="BU128" s="94">
        <f t="shared" si="150"/>
        <v>-0.50173611111111116</v>
      </c>
      <c r="BV128" s="94">
        <f t="shared" si="150"/>
        <v>-0.30947775628626695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ht="13" x14ac:dyDescent="0.3">
      <c r="B129" s="15" t="s">
        <v>34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51">BB44/AX44-1</f>
        <v>0.12456747404844282</v>
      </c>
      <c r="BC129" s="94">
        <f t="shared" si="151"/>
        <v>0.20338983050847448</v>
      </c>
      <c r="BD129" s="94">
        <f t="shared" si="151"/>
        <v>0.18243243243243246</v>
      </c>
      <c r="BE129" s="94">
        <f t="shared" si="151"/>
        <v>0.24749163879598668</v>
      </c>
      <c r="BF129" s="94">
        <f t="shared" si="151"/>
        <v>7.6923076923076872E-2</v>
      </c>
      <c r="BG129" s="94">
        <f t="shared" si="151"/>
        <v>5.3521126760563309E-2</v>
      </c>
      <c r="BH129" s="94">
        <f t="shared" si="151"/>
        <v>0</v>
      </c>
      <c r="BI129" s="94">
        <f t="shared" si="151"/>
        <v>5.3619302949061698E-2</v>
      </c>
      <c r="BJ129" s="94">
        <f t="shared" si="151"/>
        <v>0.14285714285714279</v>
      </c>
      <c r="BK129" s="94">
        <f t="shared" si="151"/>
        <v>8.8235294117646967E-2</v>
      </c>
      <c r="BL129" s="94">
        <f t="shared" si="151"/>
        <v>9.4285714285714306E-2</v>
      </c>
      <c r="BM129" s="94">
        <f t="shared" si="151"/>
        <v>0.13740458015267176</v>
      </c>
      <c r="BN129" s="94">
        <f t="shared" si="151"/>
        <v>-7.7500000000000013E-2</v>
      </c>
      <c r="BO129" s="94">
        <f t="shared" si="151"/>
        <v>2.2113022113022129E-2</v>
      </c>
      <c r="BP129" s="94">
        <f t="shared" si="151"/>
        <v>5.7441253263707637E-2</v>
      </c>
      <c r="BQ129" s="94">
        <f t="shared" si="151"/>
        <v>-4.4742729306487261E-3</v>
      </c>
      <c r="BR129" s="94">
        <f t="shared" si="151"/>
        <v>6.5040650406503975E-2</v>
      </c>
      <c r="BS129" s="94">
        <f t="shared" si="151"/>
        <v>7.9326923076923128E-2</v>
      </c>
      <c r="BT129" s="94">
        <f t="shared" si="151"/>
        <v>8.1481481481481488E-2</v>
      </c>
      <c r="BU129" s="94">
        <f t="shared" si="151"/>
        <v>-0.15730337078651691</v>
      </c>
      <c r="BV129" s="94">
        <f t="shared" si="151"/>
        <v>0.12213740458015265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ht="13" x14ac:dyDescent="0.3">
      <c r="B130" s="15" t="s">
        <v>31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0" si="152">BB46/AX46-1</f>
        <v>0.43478260869565211</v>
      </c>
      <c r="BC130" s="94">
        <f t="shared" si="152"/>
        <v>0.484375</v>
      </c>
      <c r="BD130" s="94">
        <f t="shared" si="152"/>
        <v>0.46896551724137936</v>
      </c>
      <c r="BE130" s="94">
        <f t="shared" si="152"/>
        <v>0.56164383561643838</v>
      </c>
      <c r="BF130" s="94">
        <f t="shared" si="152"/>
        <v>0.44242424242424239</v>
      </c>
      <c r="BG130" s="94">
        <f t="shared" si="152"/>
        <v>0.23157894736842111</v>
      </c>
      <c r="BH130" s="94">
        <f t="shared" si="152"/>
        <v>0.1220657276995305</v>
      </c>
      <c r="BI130" s="94">
        <f t="shared" si="152"/>
        <v>0.14035087719298245</v>
      </c>
      <c r="BJ130" s="94">
        <f t="shared" si="152"/>
        <v>0.12184873949579833</v>
      </c>
      <c r="BK130" s="94">
        <f t="shared" si="152"/>
        <v>0.20512820512820507</v>
      </c>
      <c r="BL130" s="94">
        <f t="shared" ref="BL130:BU130" si="153">BL46/BH46-1</f>
        <v>0.21338912133891208</v>
      </c>
      <c r="BM130" s="94">
        <f t="shared" si="153"/>
        <v>0.19999999999999996</v>
      </c>
      <c r="BN130" s="94">
        <f t="shared" si="153"/>
        <v>5.2434456928838857E-2</v>
      </c>
      <c r="BO130" s="94">
        <f t="shared" si="153"/>
        <v>3.5460992907801359E-2</v>
      </c>
      <c r="BP130" s="94">
        <f t="shared" si="153"/>
        <v>5.862068965517242E-2</v>
      </c>
      <c r="BQ130" s="94">
        <f t="shared" si="153"/>
        <v>6.0897435897435903E-2</v>
      </c>
      <c r="BR130" s="94">
        <f t="shared" si="153"/>
        <v>5.3380782918149405E-2</v>
      </c>
      <c r="BS130" s="94">
        <f t="shared" si="153"/>
        <v>0.13013698630136994</v>
      </c>
      <c r="BT130" s="94">
        <f t="shared" si="153"/>
        <v>6.1889250814332275E-2</v>
      </c>
      <c r="BU130" s="94">
        <f t="shared" si="153"/>
        <v>-6.9486404833836835E-2</v>
      </c>
      <c r="BV130" s="94">
        <f t="shared" ref="BV130" si="154">BV46/BR46-1</f>
        <v>0.18918918918918926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ht="13" x14ac:dyDescent="0.3">
      <c r="B131" s="15" t="s">
        <v>25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/>
      <c r="BC131" s="94"/>
      <c r="BD131" s="94"/>
      <c r="BE131" s="94">
        <f t="shared" ref="BE131:BV131" si="155">BE47/BA47-1</f>
        <v>7.2941176470588243</v>
      </c>
      <c r="BF131" s="94">
        <f t="shared" si="155"/>
        <v>2.0175438596491229</v>
      </c>
      <c r="BG131" s="94">
        <f t="shared" si="155"/>
        <v>1.2159090909090908</v>
      </c>
      <c r="BH131" s="94">
        <f t="shared" si="155"/>
        <v>1.0891089108910892</v>
      </c>
      <c r="BI131" s="94">
        <f t="shared" si="155"/>
        <v>0.66666666666666674</v>
      </c>
      <c r="BJ131" s="94">
        <f t="shared" si="155"/>
        <v>0.41279069767441867</v>
      </c>
      <c r="BK131" s="94">
        <f t="shared" si="155"/>
        <v>0.33333333333333326</v>
      </c>
      <c r="BL131" s="94">
        <f t="shared" si="155"/>
        <v>0.28436018957345977</v>
      </c>
      <c r="BM131" s="94">
        <f t="shared" si="155"/>
        <v>0.22553191489361701</v>
      </c>
      <c r="BN131" s="94">
        <f t="shared" si="155"/>
        <v>0.17695473251028804</v>
      </c>
      <c r="BO131" s="94">
        <f t="shared" si="155"/>
        <v>0.1576923076923078</v>
      </c>
      <c r="BP131" s="94">
        <f t="shared" si="155"/>
        <v>9.9630996309963082E-2</v>
      </c>
      <c r="BQ131" s="94">
        <f t="shared" si="155"/>
        <v>0.14583333333333326</v>
      </c>
      <c r="BR131" s="94">
        <f t="shared" si="155"/>
        <v>0.11888111888111896</v>
      </c>
      <c r="BS131" s="94">
        <f t="shared" si="155"/>
        <v>7.3089700996677776E-2</v>
      </c>
      <c r="BT131" s="94">
        <f t="shared" si="155"/>
        <v>7.0469798657718075E-2</v>
      </c>
      <c r="BU131" s="94">
        <f t="shared" si="155"/>
        <v>3.6363636363636376E-2</v>
      </c>
      <c r="BV131" s="94">
        <f t="shared" si="155"/>
        <v>1.8750000000000044E-2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ht="13" x14ac:dyDescent="0.3">
      <c r="B132" s="15" t="s">
        <v>29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66"/>
      <c r="BI132" s="66"/>
      <c r="BJ132" s="66"/>
      <c r="BK132" s="66"/>
      <c r="BL132" s="94">
        <f t="shared" ref="BL132:BV132" si="156">BL24/BH24-1</f>
        <v>0.24479166666666674</v>
      </c>
      <c r="BM132" s="94">
        <f t="shared" si="156"/>
        <v>-0.1648351648351648</v>
      </c>
      <c r="BN132" s="94">
        <f t="shared" si="156"/>
        <v>-0.18250950570342206</v>
      </c>
      <c r="BO132" s="94">
        <f t="shared" si="156"/>
        <v>-0.13793103448275867</v>
      </c>
      <c r="BP132" s="94">
        <f t="shared" si="156"/>
        <v>2.9288702928870203E-2</v>
      </c>
      <c r="BQ132" s="94">
        <f t="shared" si="156"/>
        <v>0.20175438596491224</v>
      </c>
      <c r="BR132" s="94">
        <f t="shared" si="156"/>
        <v>0.29767441860465116</v>
      </c>
      <c r="BS132" s="94">
        <f t="shared" si="156"/>
        <v>0.30666666666666664</v>
      </c>
      <c r="BT132" s="94">
        <f t="shared" si="156"/>
        <v>0.20325203252032531</v>
      </c>
      <c r="BU132" s="94">
        <f t="shared" si="156"/>
        <v>0.2007299270072993</v>
      </c>
      <c r="BV132" s="94">
        <f t="shared" si="156"/>
        <v>0.17204301075268824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ht="13" x14ac:dyDescent="0.3">
      <c r="B133" s="15" t="s">
        <v>140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/>
      <c r="BC133" s="94"/>
      <c r="BD133" s="94"/>
      <c r="BE133" s="94"/>
      <c r="BF133" s="94"/>
      <c r="BG133" s="94">
        <f t="shared" ref="BG133:BV133" si="157">BG48/BC48-1</f>
        <v>3.3809523809523814</v>
      </c>
      <c r="BH133" s="94">
        <f t="shared" si="157"/>
        <v>9.1428571428571423</v>
      </c>
      <c r="BI133" s="94">
        <f t="shared" si="157"/>
        <v>2.5098039215686274</v>
      </c>
      <c r="BJ133" s="94">
        <f t="shared" si="157"/>
        <v>1.2666666666666666</v>
      </c>
      <c r="BK133" s="94">
        <f t="shared" si="157"/>
        <v>1.2173913043478262</v>
      </c>
      <c r="BL133" s="94">
        <f t="shared" si="157"/>
        <v>0.61971830985915499</v>
      </c>
      <c r="BM133" s="94">
        <f t="shared" si="157"/>
        <v>0.58100558659217882</v>
      </c>
      <c r="BN133" s="94">
        <f t="shared" si="157"/>
        <v>0.41764705882352948</v>
      </c>
      <c r="BO133" s="94">
        <f t="shared" si="157"/>
        <v>0.30392156862745101</v>
      </c>
      <c r="BP133" s="94">
        <f t="shared" si="157"/>
        <v>0.16521739130434776</v>
      </c>
      <c r="BQ133" s="94">
        <f t="shared" si="157"/>
        <v>0.1766784452296819</v>
      </c>
      <c r="BR133" s="94">
        <f t="shared" si="157"/>
        <v>3.3195020746888071E-2</v>
      </c>
      <c r="BS133" s="94">
        <f t="shared" si="157"/>
        <v>3.7593984962406068E-2</v>
      </c>
      <c r="BT133" s="94">
        <f t="shared" si="157"/>
        <v>-4.8507462686567138E-2</v>
      </c>
      <c r="BU133" s="94">
        <f t="shared" si="157"/>
        <v>-0.16516516516516522</v>
      </c>
      <c r="BV133" s="94">
        <f t="shared" si="157"/>
        <v>0.11244979919678721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ht="13" x14ac:dyDescent="0.3">
      <c r="B134" s="15" t="s">
        <v>39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>
        <f t="shared" ref="BB134:BV134" si="158">BB55/AX55-1</f>
        <v>6.8493150684931781E-3</v>
      </c>
      <c r="BC134" s="94">
        <f t="shared" si="158"/>
        <v>0</v>
      </c>
      <c r="BD134" s="94">
        <f t="shared" si="158"/>
        <v>0.11724137931034484</v>
      </c>
      <c r="BE134" s="94">
        <f t="shared" si="158"/>
        <v>0.17518248175182483</v>
      </c>
      <c r="BF134" s="94">
        <f t="shared" si="158"/>
        <v>0.23129251700680276</v>
      </c>
      <c r="BG134" s="94">
        <f t="shared" si="158"/>
        <v>0.10303030303030303</v>
      </c>
      <c r="BH134" s="94">
        <f t="shared" si="158"/>
        <v>-1.2345679012345734E-2</v>
      </c>
      <c r="BI134" s="94">
        <f t="shared" si="158"/>
        <v>5.5900621118012417E-2</v>
      </c>
      <c r="BJ134" s="94">
        <f t="shared" si="158"/>
        <v>-9.9447513812154664E-2</v>
      </c>
      <c r="BK134" s="94">
        <f t="shared" si="158"/>
        <v>-3.2967032967032961E-2</v>
      </c>
      <c r="BL134" s="94">
        <f t="shared" si="158"/>
        <v>-5.6250000000000022E-2</v>
      </c>
      <c r="BM134" s="94">
        <f t="shared" si="158"/>
        <v>-0.16470588235294115</v>
      </c>
      <c r="BN134" s="94">
        <f t="shared" si="158"/>
        <v>-0.16564417177914115</v>
      </c>
      <c r="BO134" s="94">
        <f t="shared" si="158"/>
        <v>-0.27272727272727271</v>
      </c>
      <c r="BP134" s="94">
        <f t="shared" si="158"/>
        <v>-0.16556291390728473</v>
      </c>
      <c r="BQ134" s="94">
        <f t="shared" si="158"/>
        <v>-0.21126760563380287</v>
      </c>
      <c r="BR134" s="94">
        <f t="shared" si="158"/>
        <v>-0.24264705882352944</v>
      </c>
      <c r="BS134" s="94">
        <f t="shared" si="158"/>
        <v>-0.171875</v>
      </c>
      <c r="BT134" s="94">
        <f t="shared" si="158"/>
        <v>-0.22222222222222221</v>
      </c>
      <c r="BU134" s="94">
        <f t="shared" si="158"/>
        <v>-0.1964285714285714</v>
      </c>
      <c r="BV134" s="94">
        <f t="shared" si="158"/>
        <v>-0.11650485436893199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ht="13" x14ac:dyDescent="0.3">
      <c r="B135" s="15" t="s">
        <v>28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4">
        <f t="shared" ref="BB135:BV135" si="159">BB15/AX15-1</f>
        <v>1.1315789473684212</v>
      </c>
      <c r="BC135" s="94">
        <f t="shared" si="159"/>
        <v>0.81818181818181812</v>
      </c>
      <c r="BD135" s="94">
        <f t="shared" si="159"/>
        <v>0.52941176470588225</v>
      </c>
      <c r="BE135" s="94">
        <f t="shared" si="159"/>
        <v>0.68493150684931514</v>
      </c>
      <c r="BF135" s="94">
        <f t="shared" si="159"/>
        <v>0.53086419753086411</v>
      </c>
      <c r="BG135" s="94">
        <f t="shared" si="159"/>
        <v>0.33000000000000007</v>
      </c>
      <c r="BH135" s="94">
        <f t="shared" si="159"/>
        <v>0.29807692307692313</v>
      </c>
      <c r="BI135" s="94">
        <f t="shared" si="159"/>
        <v>0.17886178861788626</v>
      </c>
      <c r="BJ135" s="94">
        <f t="shared" si="159"/>
        <v>9.6774193548387011E-2</v>
      </c>
      <c r="BK135" s="94">
        <f t="shared" si="159"/>
        <v>0.11278195488721798</v>
      </c>
      <c r="BL135" s="94">
        <f t="shared" si="159"/>
        <v>7.4074074074074181E-2</v>
      </c>
      <c r="BM135" s="94">
        <f t="shared" si="159"/>
        <v>-4.8275862068965503E-2</v>
      </c>
      <c r="BN135" s="94">
        <f t="shared" si="159"/>
        <v>-8.0882352941176516E-2</v>
      </c>
      <c r="BO135" s="94">
        <f t="shared" si="159"/>
        <v>-9.4594594594594628E-2</v>
      </c>
      <c r="BP135" s="94">
        <f t="shared" si="159"/>
        <v>0</v>
      </c>
      <c r="BQ135" s="94">
        <f t="shared" si="159"/>
        <v>0.13043478260869557</v>
      </c>
      <c r="BR135" s="94">
        <f t="shared" si="159"/>
        <v>0.21599999999999997</v>
      </c>
      <c r="BS135" s="94">
        <f t="shared" si="159"/>
        <v>0.20149253731343286</v>
      </c>
      <c r="BT135" s="94">
        <f t="shared" si="159"/>
        <v>8.2758620689655116E-2</v>
      </c>
      <c r="BU135" s="94">
        <f t="shared" si="159"/>
        <v>-3.8461538461538436E-2</v>
      </c>
      <c r="BV135" s="94">
        <f t="shared" si="159"/>
        <v>-2.6315789473684181E-2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ht="13" x14ac:dyDescent="0.3">
      <c r="B136" s="15" t="s">
        <v>141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>
        <f t="shared" ref="BB136:BK137" si="160">BB50/AX50-1</f>
        <v>0</v>
      </c>
      <c r="BC136" s="94">
        <f t="shared" si="160"/>
        <v>0.25316455696202533</v>
      </c>
      <c r="BD136" s="94">
        <f t="shared" si="160"/>
        <v>0.23456790123456783</v>
      </c>
      <c r="BE136" s="94">
        <f t="shared" si="160"/>
        <v>0.31325301204819267</v>
      </c>
      <c r="BF136" s="94">
        <f t="shared" si="160"/>
        <v>0.27906976744186052</v>
      </c>
      <c r="BG136" s="94">
        <f t="shared" si="160"/>
        <v>0.14141414141414144</v>
      </c>
      <c r="BH136" s="94">
        <f t="shared" si="160"/>
        <v>0.26</v>
      </c>
      <c r="BI136" s="94">
        <f t="shared" si="160"/>
        <v>0.27522935779816504</v>
      </c>
      <c r="BJ136" s="94">
        <f t="shared" si="160"/>
        <v>0.1272727272727272</v>
      </c>
      <c r="BK136" s="94">
        <f t="shared" si="160"/>
        <v>0.21238938053097356</v>
      </c>
      <c r="BL136" s="94">
        <f t="shared" ref="BL136:BU137" si="161">BL50/BH50-1</f>
        <v>8.7301587301587213E-2</v>
      </c>
      <c r="BM136" s="94">
        <f t="shared" si="161"/>
        <v>3.5971223021582732E-2</v>
      </c>
      <c r="BN136" s="94">
        <f t="shared" si="161"/>
        <v>3.2258064516129004E-2</v>
      </c>
      <c r="BO136" s="94">
        <f t="shared" si="161"/>
        <v>-7.2992700729926918E-3</v>
      </c>
      <c r="BP136" s="94">
        <f t="shared" si="161"/>
        <v>4.3795620437956151E-2</v>
      </c>
      <c r="BQ136" s="94">
        <f t="shared" si="161"/>
        <v>3.4722222222222321E-2</v>
      </c>
      <c r="BR136" s="94">
        <f t="shared" si="161"/>
        <v>2.34375E-2</v>
      </c>
      <c r="BS136" s="94">
        <f t="shared" si="161"/>
        <v>5.1470588235294157E-2</v>
      </c>
      <c r="BT136" s="94">
        <f t="shared" si="161"/>
        <v>3.4965034965035002E-2</v>
      </c>
      <c r="BU136" s="94">
        <f t="shared" si="161"/>
        <v>-4.6979865771812124E-2</v>
      </c>
      <c r="BV136" s="94">
        <f t="shared" ref="BV136:BV137" si="162">BV50/BR50-1</f>
        <v>0.13740458015267176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ht="13" x14ac:dyDescent="0.3">
      <c r="B137" s="15" t="s">
        <v>142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si="160"/>
        <v>9.1743119266054496E-3</v>
      </c>
      <c r="BC137" s="94">
        <f t="shared" si="160"/>
        <v>5.1724137931034475E-2</v>
      </c>
      <c r="BD137" s="94">
        <f t="shared" si="160"/>
        <v>5.4545454545454453E-2</v>
      </c>
      <c r="BE137" s="94">
        <f t="shared" si="160"/>
        <v>0.12280701754385959</v>
      </c>
      <c r="BF137" s="94">
        <f t="shared" si="160"/>
        <v>7.2727272727272751E-2</v>
      </c>
      <c r="BG137" s="94">
        <f t="shared" si="160"/>
        <v>3.2786885245901676E-2</v>
      </c>
      <c r="BH137" s="94">
        <f t="shared" si="160"/>
        <v>1.7241379310344751E-2</v>
      </c>
      <c r="BI137" s="94">
        <f t="shared" si="160"/>
        <v>3.125E-2</v>
      </c>
      <c r="BJ137" s="94">
        <f t="shared" si="160"/>
        <v>-8.4745762711864181E-3</v>
      </c>
      <c r="BK137" s="94">
        <f t="shared" si="160"/>
        <v>-3.1746031746031744E-2</v>
      </c>
      <c r="BL137" s="94">
        <f t="shared" si="161"/>
        <v>0</v>
      </c>
      <c r="BM137" s="94">
        <f t="shared" si="161"/>
        <v>-0.14393939393939392</v>
      </c>
      <c r="BN137" s="94">
        <f t="shared" si="161"/>
        <v>-0.17094017094017089</v>
      </c>
      <c r="BO137" s="94">
        <f t="shared" si="161"/>
        <v>-0.19672131147540983</v>
      </c>
      <c r="BP137" s="94">
        <f t="shared" si="161"/>
        <v>-0.10169491525423724</v>
      </c>
      <c r="BQ137" s="94">
        <f t="shared" si="161"/>
        <v>-8.8495575221239076E-3</v>
      </c>
      <c r="BR137" s="94">
        <f t="shared" si="161"/>
        <v>7.2164948453608213E-2</v>
      </c>
      <c r="BS137" s="94">
        <f t="shared" si="161"/>
        <v>9.1836734693877542E-2</v>
      </c>
      <c r="BT137" s="94">
        <f t="shared" si="161"/>
        <v>-5.6603773584905648E-2</v>
      </c>
      <c r="BU137" s="94">
        <f t="shared" si="161"/>
        <v>-0.2053571428571429</v>
      </c>
      <c r="BV137" s="94">
        <f t="shared" si="162"/>
        <v>-0.125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5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s="26" customFormat="1" ht="13" x14ac:dyDescent="0.3">
      <c r="B138" s="15" t="s">
        <v>27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 t="shared" ref="BB138:BV138" si="163">BB27/AX27-1</f>
        <v>5.9523809523809534E-2</v>
      </c>
      <c r="BC138" s="94">
        <f t="shared" si="163"/>
        <v>0.18586636397103939</v>
      </c>
      <c r="BD138" s="94">
        <f t="shared" si="163"/>
        <v>0.16279069767441867</v>
      </c>
      <c r="BE138" s="94">
        <f t="shared" si="163"/>
        <v>0.2441860465116279</v>
      </c>
      <c r="BF138" s="94">
        <f t="shared" si="163"/>
        <v>0.22471910112359561</v>
      </c>
      <c r="BG138" s="94">
        <f t="shared" si="163"/>
        <v>6.1855670103092786E-2</v>
      </c>
      <c r="BH138" s="94">
        <f t="shared" si="163"/>
        <v>8.0000000000000071E-2</v>
      </c>
      <c r="BI138" s="94">
        <f t="shared" si="163"/>
        <v>8.4112149532710179E-2</v>
      </c>
      <c r="BJ138" s="94">
        <f t="shared" si="163"/>
        <v>1.8348623853210899E-2</v>
      </c>
      <c r="BK138" s="94">
        <f t="shared" si="163"/>
        <v>0.16504854368932032</v>
      </c>
      <c r="BL138" s="94">
        <f t="shared" si="163"/>
        <v>0.14814814814814814</v>
      </c>
      <c r="BM138" s="94">
        <f t="shared" si="163"/>
        <v>0.10344827586206895</v>
      </c>
      <c r="BN138" s="94">
        <f t="shared" si="163"/>
        <v>5.4054054054053946E-2</v>
      </c>
      <c r="BO138" s="94">
        <f t="shared" si="163"/>
        <v>0</v>
      </c>
      <c r="BP138" s="94">
        <f t="shared" si="163"/>
        <v>-3.2258064516129004E-2</v>
      </c>
      <c r="BQ138" s="94">
        <f t="shared" si="163"/>
        <v>8.59375E-2</v>
      </c>
      <c r="BR138" s="94">
        <f t="shared" si="163"/>
        <v>2.564102564102555E-2</v>
      </c>
      <c r="BS138" s="94">
        <f t="shared" si="163"/>
        <v>6.6666666666666652E-2</v>
      </c>
      <c r="BT138" s="94">
        <f t="shared" si="163"/>
        <v>4.1666666666666741E-2</v>
      </c>
      <c r="BU138" s="94">
        <f t="shared" si="163"/>
        <v>-7.9136690647481966E-2</v>
      </c>
      <c r="BV138" s="94">
        <f t="shared" si="163"/>
        <v>0.125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5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6"/>
      <c r="FB138" s="16"/>
      <c r="FC138" s="46"/>
      <c r="FD138" s="46"/>
    </row>
    <row r="139" spans="2:160" s="26" customFormat="1" ht="13" x14ac:dyDescent="0.3">
      <c r="B139" s="15" t="s">
        <v>37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66"/>
      <c r="BI139" s="66"/>
      <c r="BJ139" s="66"/>
      <c r="BK139" s="66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5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6"/>
      <c r="FB139" s="16"/>
      <c r="FC139" s="46"/>
      <c r="FD139" s="46"/>
    </row>
    <row r="140" spans="2:160" s="26" customFormat="1" ht="13" x14ac:dyDescent="0.3">
      <c r="B140" s="15" t="s">
        <v>30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66"/>
      <c r="BI140" s="66"/>
      <c r="BJ140" s="66"/>
      <c r="BK140" s="66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  <c r="DR140" s="93"/>
      <c r="DS140" s="93"/>
      <c r="DT140" s="93"/>
      <c r="DU140" s="93"/>
      <c r="DV140" s="93"/>
      <c r="DW140" s="93"/>
      <c r="DX140" s="93"/>
      <c r="DY140" s="93"/>
      <c r="DZ140" s="93"/>
      <c r="EA140" s="93"/>
      <c r="EB140" s="93"/>
      <c r="EC140" s="93"/>
      <c r="ED140" s="93"/>
      <c r="EE140" s="93"/>
      <c r="EF140" s="5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6"/>
      <c r="FB140" s="16"/>
      <c r="FC140" s="46"/>
      <c r="FD140" s="46"/>
    </row>
    <row r="141" spans="2:160" s="26" customFormat="1" ht="13" x14ac:dyDescent="0.3">
      <c r="B141" s="15" t="s">
        <v>26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66"/>
      <c r="BI141" s="66"/>
      <c r="BJ141" s="66"/>
      <c r="BK141" s="66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5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6"/>
      <c r="FB141" s="16"/>
      <c r="FC141" s="46"/>
      <c r="FD141" s="46"/>
    </row>
    <row r="142" spans="2:160" s="26" customFormat="1" ht="13" x14ac:dyDescent="0.3"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5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6"/>
      <c r="FB142" s="16"/>
      <c r="FC142" s="46"/>
      <c r="FD142" s="46"/>
    </row>
    <row r="143" spans="2:160" s="26" customFormat="1" ht="13" x14ac:dyDescent="0.3">
      <c r="B143" s="3" t="s">
        <v>604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5"/>
      <c r="EG143" s="47"/>
      <c r="EH143" s="47"/>
      <c r="EI143" s="47"/>
      <c r="EJ143" s="47"/>
      <c r="EK143" s="47"/>
      <c r="EL143" s="47"/>
      <c r="EM143" s="47"/>
      <c r="EN143" s="23">
        <f>EN84</f>
        <v>9786</v>
      </c>
      <c r="EO143" s="23">
        <f t="shared" ref="EO143" si="164">EO84</f>
        <v>9919</v>
      </c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6"/>
      <c r="FB143" s="16"/>
      <c r="FC143" s="46"/>
      <c r="FD143" s="46"/>
    </row>
    <row r="144" spans="2:160" x14ac:dyDescent="0.25">
      <c r="B144" s="3" t="s">
        <v>601</v>
      </c>
      <c r="E144" s="44"/>
      <c r="F144" s="44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EN144" s="23">
        <v>12177</v>
      </c>
      <c r="EO144" s="23">
        <v>16877</v>
      </c>
    </row>
    <row r="145" spans="2:159" x14ac:dyDescent="0.25">
      <c r="B145" s="3" t="s">
        <v>602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EN145" s="23">
        <v>3139</v>
      </c>
      <c r="EO145" s="23">
        <v>2984</v>
      </c>
    </row>
    <row r="146" spans="2:159" x14ac:dyDescent="0.25">
      <c r="B146" s="3" t="s">
        <v>603</v>
      </c>
      <c r="E146" s="28"/>
      <c r="F146" s="28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EN146" s="23">
        <f>+EN144-EN145</f>
        <v>9038</v>
      </c>
      <c r="EO146" s="23">
        <f>+EO144-EO145</f>
        <v>13893</v>
      </c>
    </row>
    <row r="147" spans="2:159" x14ac:dyDescent="0.25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2:159" x14ac:dyDescent="0.25">
      <c r="B148" s="3" t="s">
        <v>809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R148" s="23">
        <v>82089</v>
      </c>
      <c r="ES148" s="23">
        <v>85080</v>
      </c>
      <c r="ET148" s="23">
        <v>88509</v>
      </c>
      <c r="EU148" s="23">
        <v>91747</v>
      </c>
      <c r="EV148" s="23">
        <v>94052</v>
      </c>
      <c r="EW148" s="23">
        <v>93734</v>
      </c>
      <c r="EX148" s="23">
        <v>94442</v>
      </c>
      <c r="EY148" s="23">
        <v>97735</v>
      </c>
      <c r="EZ148" s="23">
        <v>101465</v>
      </c>
      <c r="FA148" s="23">
        <v>100920</v>
      </c>
    </row>
    <row r="149" spans="2:159" x14ac:dyDescent="0.25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2:159" x14ac:dyDescent="0.25">
      <c r="B150" s="3" t="s">
        <v>939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f>+FC151-FC162</f>
        <v>-18699</v>
      </c>
    </row>
    <row r="151" spans="2:159" x14ac:dyDescent="0.25">
      <c r="B151" s="3" t="s">
        <v>810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f>5376+5134</f>
        <v>10510</v>
      </c>
    </row>
    <row r="152" spans="2:159" x14ac:dyDescent="0.25">
      <c r="B152" s="3" t="s">
        <v>930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v>3822</v>
      </c>
    </row>
    <row r="153" spans="2:159" x14ac:dyDescent="0.25">
      <c r="B153" s="3" t="s">
        <v>931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f>344+6882</f>
        <v>7226</v>
      </c>
    </row>
    <row r="154" spans="2:159" x14ac:dyDescent="0.25">
      <c r="B154" s="3" t="s">
        <v>932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FC154" s="23">
        <v>11021</v>
      </c>
    </row>
    <row r="155" spans="2:159" x14ac:dyDescent="0.25">
      <c r="B155" s="3" t="s">
        <v>933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FC155" s="23">
        <v>7749</v>
      </c>
    </row>
    <row r="156" spans="2:159" x14ac:dyDescent="0.25">
      <c r="B156" s="3" t="s">
        <v>934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FC156" s="23">
        <v>1964</v>
      </c>
    </row>
    <row r="157" spans="2:159" x14ac:dyDescent="0.25">
      <c r="B157" s="3" t="s">
        <v>935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FC157" s="23">
        <v>1019</v>
      </c>
    </row>
    <row r="158" spans="2:159" x14ac:dyDescent="0.25">
      <c r="B158" s="3" t="s">
        <v>938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FC158" s="23">
        <f>9390+14828+1215</f>
        <v>25433</v>
      </c>
    </row>
    <row r="159" spans="2:159" x14ac:dyDescent="0.25">
      <c r="B159" s="3" t="s">
        <v>937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FC159" s="23">
        <v>21724</v>
      </c>
    </row>
    <row r="160" spans="2:159" ht="13" x14ac:dyDescent="0.3">
      <c r="B160" s="3" t="s">
        <v>936</v>
      </c>
      <c r="FC160" s="24">
        <f>SUM(FC151:FC159)</f>
        <v>90468</v>
      </c>
    </row>
    <row r="162" spans="2:159" x14ac:dyDescent="0.25">
      <c r="B162" s="3" t="s">
        <v>611</v>
      </c>
      <c r="FC162" s="23">
        <f>4400+24809</f>
        <v>29209</v>
      </c>
    </row>
    <row r="163" spans="2:159" x14ac:dyDescent="0.25">
      <c r="B163" s="3" t="s">
        <v>942</v>
      </c>
      <c r="FC163" s="23">
        <v>12158</v>
      </c>
    </row>
    <row r="164" spans="2:159" x14ac:dyDescent="0.25">
      <c r="B164" s="3" t="s">
        <v>941</v>
      </c>
      <c r="FC164" s="23">
        <v>4325</v>
      </c>
    </row>
    <row r="165" spans="2:159" x14ac:dyDescent="0.25">
      <c r="B165" s="3" t="s">
        <v>940</v>
      </c>
      <c r="FC165" s="23">
        <f>1684+1059</f>
        <v>2743</v>
      </c>
    </row>
    <row r="166" spans="2:159" x14ac:dyDescent="0.25">
      <c r="B166" s="3" t="s">
        <v>931</v>
      </c>
      <c r="FC166" s="23">
        <f>2257+593</f>
        <v>2850</v>
      </c>
    </row>
    <row r="167" spans="2:159" x14ac:dyDescent="0.25">
      <c r="B167" s="3" t="s">
        <v>943</v>
      </c>
      <c r="FC167" s="23">
        <v>1541</v>
      </c>
    </row>
    <row r="168" spans="2:159" x14ac:dyDescent="0.25">
      <c r="B168" s="3" t="s">
        <v>944</v>
      </c>
      <c r="FC168" s="23">
        <v>4379</v>
      </c>
    </row>
    <row r="169" spans="2:159" x14ac:dyDescent="0.25">
      <c r="B169" s="3" t="s">
        <v>946</v>
      </c>
      <c r="FC169" s="23">
        <v>33263</v>
      </c>
    </row>
    <row r="170" spans="2:159" ht="13" x14ac:dyDescent="0.3">
      <c r="B170" s="3" t="s">
        <v>945</v>
      </c>
      <c r="FC170" s="24">
        <f>SUM(FC162:FC169)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5" x14ac:dyDescent="0.25"/>
  <cols>
    <col min="1" max="1" width="4.6328125" bestFit="1" customWidth="1"/>
    <col min="2" max="2" width="12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803</v>
      </c>
    </row>
    <row r="3" spans="1:3" x14ac:dyDescent="0.25">
      <c r="B3" s="2" t="s">
        <v>815</v>
      </c>
      <c r="C3" s="2" t="s">
        <v>975</v>
      </c>
    </row>
    <row r="4" spans="1:3" x14ac:dyDescent="0.25">
      <c r="B4" s="2" t="s">
        <v>44</v>
      </c>
      <c r="C4" s="2" t="s">
        <v>977</v>
      </c>
    </row>
    <row r="5" spans="1:3" x14ac:dyDescent="0.25">
      <c r="B5" s="2" t="s">
        <v>818</v>
      </c>
      <c r="C5" s="2" t="s">
        <v>978</v>
      </c>
    </row>
    <row r="6" spans="1:3" x14ac:dyDescent="0.25">
      <c r="B6" s="2" t="s">
        <v>979</v>
      </c>
      <c r="C6" s="2" t="s">
        <v>980</v>
      </c>
    </row>
    <row r="7" spans="1:3" x14ac:dyDescent="0.25">
      <c r="B7" s="2" t="s">
        <v>104</v>
      </c>
      <c r="C7" s="2" t="s">
        <v>976</v>
      </c>
    </row>
    <row r="8" spans="1:3" x14ac:dyDescent="0.25">
      <c r="B8" s="2"/>
      <c r="C8" s="2" t="s">
        <v>981</v>
      </c>
    </row>
    <row r="9" spans="1:3" x14ac:dyDescent="0.25">
      <c r="B9" s="2" t="s">
        <v>53</v>
      </c>
    </row>
    <row r="10" spans="1:3" ht="13" x14ac:dyDescent="0.3">
      <c r="C10" s="40" t="s">
        <v>982</v>
      </c>
    </row>
    <row r="11" spans="1:3" x14ac:dyDescent="0.25">
      <c r="C11" s="2" t="s">
        <v>990</v>
      </c>
    </row>
    <row r="12" spans="1:3" x14ac:dyDescent="0.25">
      <c r="C12" s="2" t="s">
        <v>989</v>
      </c>
    </row>
    <row r="14" spans="1:3" ht="13" x14ac:dyDescent="0.3">
      <c r="C14" s="40" t="s">
        <v>983</v>
      </c>
    </row>
    <row r="15" spans="1:3" x14ac:dyDescent="0.25">
      <c r="C15" s="2" t="s">
        <v>991</v>
      </c>
    </row>
    <row r="16" spans="1:3" x14ac:dyDescent="0.25">
      <c r="C16" s="2" t="s">
        <v>992</v>
      </c>
    </row>
    <row r="17" spans="3:3" ht="13" x14ac:dyDescent="0.3">
      <c r="C17" s="91"/>
    </row>
    <row r="18" spans="3:3" ht="13" x14ac:dyDescent="0.3">
      <c r="C18" s="40" t="s">
        <v>986</v>
      </c>
    </row>
    <row r="19" spans="3:3" x14ac:dyDescent="0.25">
      <c r="C19" s="2" t="s">
        <v>993</v>
      </c>
    </row>
    <row r="22" spans="3:3" ht="13" x14ac:dyDescent="0.3">
      <c r="C22" s="40" t="s">
        <v>987</v>
      </c>
    </row>
    <row r="23" spans="3:3" x14ac:dyDescent="0.25">
      <c r="C23" s="2" t="s">
        <v>994</v>
      </c>
    </row>
    <row r="26" spans="3:3" ht="13" x14ac:dyDescent="0.3">
      <c r="C26" s="40" t="s">
        <v>984</v>
      </c>
    </row>
    <row r="29" spans="3:3" ht="13" x14ac:dyDescent="0.3">
      <c r="C29" s="40" t="s">
        <v>985</v>
      </c>
    </row>
    <row r="33" spans="3:3" ht="13" x14ac:dyDescent="0.3">
      <c r="C33" s="40" t="s">
        <v>988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894</v>
      </c>
    </row>
    <row r="3" spans="1:3" x14ac:dyDescent="0.25">
      <c r="B3" s="2" t="s">
        <v>815</v>
      </c>
      <c r="C3" s="2" t="s">
        <v>816</v>
      </c>
    </row>
    <row r="4" spans="1:3" x14ac:dyDescent="0.25">
      <c r="B4" s="2" t="s">
        <v>44</v>
      </c>
      <c r="C4" s="2" t="s">
        <v>817</v>
      </c>
    </row>
    <row r="5" spans="1:3" x14ac:dyDescent="0.25">
      <c r="B5" s="2"/>
      <c r="C5" s="2" t="s">
        <v>833</v>
      </c>
    </row>
    <row r="6" spans="1:3" x14ac:dyDescent="0.25">
      <c r="B6" s="2" t="s">
        <v>818</v>
      </c>
      <c r="C6" s="2" t="s">
        <v>813</v>
      </c>
    </row>
    <row r="7" spans="1:3" x14ac:dyDescent="0.25">
      <c r="B7" s="2" t="s">
        <v>53</v>
      </c>
    </row>
    <row r="8" spans="1:3" ht="13" x14ac:dyDescent="0.3">
      <c r="C8" s="40" t="s">
        <v>832</v>
      </c>
    </row>
    <row r="9" spans="1:3" x14ac:dyDescent="0.25">
      <c r="C9" s="2" t="s">
        <v>829</v>
      </c>
    </row>
    <row r="10" spans="1:3" x14ac:dyDescent="0.25">
      <c r="C10" s="2" t="s">
        <v>830</v>
      </c>
    </row>
    <row r="11" spans="1:3" x14ac:dyDescent="0.25">
      <c r="C11" s="2" t="s">
        <v>831</v>
      </c>
    </row>
    <row r="13" spans="1:3" ht="13" x14ac:dyDescent="0.3">
      <c r="C13" s="40" t="s">
        <v>840</v>
      </c>
    </row>
    <row r="14" spans="1:3" x14ac:dyDescent="0.25">
      <c r="C14" s="2" t="s">
        <v>839</v>
      </c>
    </row>
    <row r="15" spans="1:3" x14ac:dyDescent="0.25">
      <c r="C15" s="2" t="s">
        <v>838</v>
      </c>
    </row>
    <row r="16" spans="1:3" x14ac:dyDescent="0.25">
      <c r="C16" s="2" t="s">
        <v>836</v>
      </c>
    </row>
    <row r="17" spans="3:3" x14ac:dyDescent="0.25">
      <c r="C17" s="2" t="s">
        <v>837</v>
      </c>
    </row>
    <row r="18" spans="3:3" x14ac:dyDescent="0.25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zoomScale="190" zoomScaleNormal="190" workbookViewId="0"/>
  </sheetViews>
  <sheetFormatPr defaultRowHeight="12.5" x14ac:dyDescent="0.25"/>
  <cols>
    <col min="1" max="1" width="4.6328125" bestFit="1" customWidth="1"/>
    <col min="2" max="2" width="12.453125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800</v>
      </c>
    </row>
    <row r="3" spans="1:3" x14ac:dyDescent="0.25">
      <c r="B3" s="2" t="s">
        <v>815</v>
      </c>
      <c r="C3" s="2" t="s">
        <v>999</v>
      </c>
    </row>
    <row r="4" spans="1:3" x14ac:dyDescent="0.25">
      <c r="B4" s="2" t="s">
        <v>44</v>
      </c>
      <c r="C4" s="2" t="s">
        <v>146</v>
      </c>
    </row>
    <row r="5" spans="1:3" x14ac:dyDescent="0.25">
      <c r="B5" s="2" t="s">
        <v>104</v>
      </c>
      <c r="C5" s="2" t="s">
        <v>998</v>
      </c>
    </row>
    <row r="6" spans="1:3" x14ac:dyDescent="0.25">
      <c r="B6" s="2" t="s">
        <v>818</v>
      </c>
    </row>
    <row r="7" spans="1:3" x14ac:dyDescent="0.25">
      <c r="B7" s="2" t="s">
        <v>65</v>
      </c>
      <c r="C7" s="2" t="s">
        <v>997</v>
      </c>
    </row>
    <row r="8" spans="1:3" x14ac:dyDescent="0.25">
      <c r="B8" s="2" t="s">
        <v>53</v>
      </c>
    </row>
    <row r="9" spans="1:3" ht="13" x14ac:dyDescent="0.3">
      <c r="C9" s="40" t="s">
        <v>1000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1640625" defaultRowHeight="12.5" x14ac:dyDescent="0.25"/>
  <cols>
    <col min="1" max="1" width="5" bestFit="1" customWidth="1"/>
    <col min="2" max="2" width="22.7265625" customWidth="1"/>
    <col min="3" max="3" width="12.1796875" customWidth="1"/>
  </cols>
  <sheetData>
    <row r="1" spans="1:5" x14ac:dyDescent="0.25">
      <c r="A1" s="39" t="s">
        <v>55</v>
      </c>
    </row>
    <row r="2" spans="1:5" x14ac:dyDescent="0.25">
      <c r="B2" s="2" t="s">
        <v>408</v>
      </c>
    </row>
    <row r="3" spans="1:5" x14ac:dyDescent="0.25">
      <c r="B3" s="2" t="s">
        <v>504</v>
      </c>
    </row>
    <row r="4" spans="1:5" x14ac:dyDescent="0.25">
      <c r="B4" s="2" t="s">
        <v>407</v>
      </c>
    </row>
    <row r="5" spans="1:5" x14ac:dyDescent="0.25">
      <c r="B5" s="3" t="s">
        <v>401</v>
      </c>
    </row>
    <row r="6" spans="1:5" x14ac:dyDescent="0.25">
      <c r="B6" s="3" t="s">
        <v>402</v>
      </c>
    </row>
    <row r="7" spans="1:5" x14ac:dyDescent="0.25">
      <c r="B7" s="2" t="s">
        <v>410</v>
      </c>
    </row>
    <row r="8" spans="1:5" x14ac:dyDescent="0.25">
      <c r="B8" s="2" t="s">
        <v>409</v>
      </c>
    </row>
    <row r="9" spans="1:5" x14ac:dyDescent="0.25">
      <c r="B9" s="2" t="s">
        <v>457</v>
      </c>
    </row>
    <row r="11" spans="1:5" ht="13" x14ac:dyDescent="0.3">
      <c r="B11" s="40" t="s">
        <v>459</v>
      </c>
      <c r="C11" s="64" t="s">
        <v>482</v>
      </c>
      <c r="E11" s="40" t="s">
        <v>660</v>
      </c>
    </row>
    <row r="12" spans="1:5" x14ac:dyDescent="0.25">
      <c r="B12" s="2" t="s">
        <v>460</v>
      </c>
      <c r="C12" s="65">
        <f>3363/7365</f>
        <v>0.4566191446028513</v>
      </c>
      <c r="E12" s="2" t="s">
        <v>663</v>
      </c>
    </row>
    <row r="13" spans="1:5" x14ac:dyDescent="0.25">
      <c r="B13" s="2" t="s">
        <v>461</v>
      </c>
      <c r="C13" s="65">
        <f>346/7365</f>
        <v>4.6978954514596064E-2</v>
      </c>
      <c r="E13" s="2" t="s">
        <v>664</v>
      </c>
    </row>
    <row r="14" spans="1:5" x14ac:dyDescent="0.25">
      <c r="B14" s="2" t="s">
        <v>462</v>
      </c>
      <c r="C14" s="65">
        <f>2158/7365</f>
        <v>0.29300746775288528</v>
      </c>
      <c r="E14" s="2" t="s">
        <v>661</v>
      </c>
    </row>
    <row r="15" spans="1:5" x14ac:dyDescent="0.25">
      <c r="B15" s="2" t="s">
        <v>480</v>
      </c>
      <c r="C15" s="65">
        <f>882/7365</f>
        <v>0.11975560081466395</v>
      </c>
      <c r="E15" s="2" t="s">
        <v>662</v>
      </c>
    </row>
    <row r="16" spans="1:5" x14ac:dyDescent="0.25">
      <c r="B16" s="2" t="s">
        <v>481</v>
      </c>
      <c r="C16" s="65">
        <f>616/7365</f>
        <v>8.3638832315003395E-2</v>
      </c>
      <c r="E16" s="2" t="s">
        <v>665</v>
      </c>
    </row>
    <row r="17" spans="2:5" x14ac:dyDescent="0.25">
      <c r="E17" s="2"/>
    </row>
    <row r="19" spans="2:5" ht="13" x14ac:dyDescent="0.3">
      <c r="B19" s="40" t="s">
        <v>843</v>
      </c>
    </row>
    <row r="20" spans="2:5" x14ac:dyDescent="0.25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2025-03-25T22:31:10Z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