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3E4B511-C787-4595-B7D2-1A0D3966F85D}" xr6:coauthVersionLast="47" xr6:coauthVersionMax="47" xr10:uidLastSave="{00000000-0000-0000-0000-000000000000}"/>
  <bookViews>
    <workbookView xWindow="-31920" yWindow="1740" windowWidth="30165" windowHeight="1651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6" i="2" l="1"/>
  <c r="AV43" i="2"/>
  <c r="BB30" i="2"/>
  <c r="BC30" i="2" s="1"/>
  <c r="BF41" i="2"/>
  <c r="BE41" i="2"/>
  <c r="BD41" i="2"/>
  <c r="BC41" i="2"/>
  <c r="BB41" i="2"/>
  <c r="BF40" i="2"/>
  <c r="BE40" i="2"/>
  <c r="BD40" i="2"/>
  <c r="BC40" i="2"/>
  <c r="BB40" i="2"/>
  <c r="BF38" i="2"/>
  <c r="BE38" i="2"/>
  <c r="BD38" i="2"/>
  <c r="BC38" i="2"/>
  <c r="BB38" i="2"/>
  <c r="BF37" i="2"/>
  <c r="BE37" i="2"/>
  <c r="BD37" i="2"/>
  <c r="BC37" i="2"/>
  <c r="BB37" i="2"/>
  <c r="BF36" i="2"/>
  <c r="BE36" i="2"/>
  <c r="BD36" i="2"/>
  <c r="BC36" i="2"/>
  <c r="BB36" i="2"/>
  <c r="BF35" i="2"/>
  <c r="BE35" i="2"/>
  <c r="BD35" i="2"/>
  <c r="BC35" i="2"/>
  <c r="BB35" i="2"/>
  <c r="BF34" i="2"/>
  <c r="BE34" i="2"/>
  <c r="BD34" i="2"/>
  <c r="BC34" i="2"/>
  <c r="BB34" i="2"/>
  <c r="BF32" i="2"/>
  <c r="BE32" i="2"/>
  <c r="BD32" i="2"/>
  <c r="BC32" i="2"/>
  <c r="BB32" i="2"/>
  <c r="BF23" i="2"/>
  <c r="BF24" i="2" s="1"/>
  <c r="BE23" i="2"/>
  <c r="BE24" i="2" s="1"/>
  <c r="BD23" i="2"/>
  <c r="BD24" i="2" s="1"/>
  <c r="BC23" i="2"/>
  <c r="BC24" i="2" s="1"/>
  <c r="BB23" i="2"/>
  <c r="BB24" i="2" s="1"/>
  <c r="BA22" i="2"/>
  <c r="BB22" i="2" s="1"/>
  <c r="BC22" i="2" s="1"/>
  <c r="BD22" i="2" s="1"/>
  <c r="BE22" i="2" s="1"/>
  <c r="BF22" i="2" s="1"/>
  <c r="BA21" i="2"/>
  <c r="BB21" i="2" s="1"/>
  <c r="BC21" i="2" s="1"/>
  <c r="BD21" i="2" s="1"/>
  <c r="BE21" i="2" s="1"/>
  <c r="BF21" i="2" s="1"/>
  <c r="BA20" i="2"/>
  <c r="BB20" i="2" s="1"/>
  <c r="BC20" i="2" s="1"/>
  <c r="BD20" i="2" s="1"/>
  <c r="BE20" i="2" s="1"/>
  <c r="BF20" i="2" s="1"/>
  <c r="AZ22" i="2"/>
  <c r="AZ21" i="2"/>
  <c r="AZ20" i="2"/>
  <c r="BF19" i="2"/>
  <c r="BE19" i="2"/>
  <c r="BD19" i="2"/>
  <c r="BC19" i="2"/>
  <c r="BB19" i="2"/>
  <c r="BB14" i="2"/>
  <c r="BC14" i="2" s="1"/>
  <c r="BD14" i="2" s="1"/>
  <c r="BE14" i="2" s="1"/>
  <c r="BF14" i="2" s="1"/>
  <c r="BB13" i="2"/>
  <c r="BC13" i="2" s="1"/>
  <c r="BD13" i="2" s="1"/>
  <c r="BE13" i="2" s="1"/>
  <c r="BF13" i="2" s="1"/>
  <c r="BB12" i="2"/>
  <c r="BC12" i="2" s="1"/>
  <c r="BD12" i="2" s="1"/>
  <c r="BE12" i="2" s="1"/>
  <c r="BF12" i="2" s="1"/>
  <c r="BB11" i="2"/>
  <c r="BC11" i="2" s="1"/>
  <c r="BB10" i="2"/>
  <c r="BC10" i="2" s="1"/>
  <c r="BD10" i="2" s="1"/>
  <c r="BE10" i="2" s="1"/>
  <c r="BF10" i="2" s="1"/>
  <c r="BB9" i="2"/>
  <c r="BC9" i="2" s="1"/>
  <c r="BD9" i="2" s="1"/>
  <c r="BE9" i="2" s="1"/>
  <c r="BF9" i="2" s="1"/>
  <c r="BA14" i="2"/>
  <c r="AZ14" i="2"/>
  <c r="AY14" i="2"/>
  <c r="BA10" i="2"/>
  <c r="AZ10" i="2"/>
  <c r="AY10" i="2"/>
  <c r="BF2" i="2"/>
  <c r="BE2" i="2"/>
  <c r="BD2" i="2"/>
  <c r="BC2" i="2"/>
  <c r="BB2" i="2"/>
  <c r="AV34" i="2"/>
  <c r="AU30" i="2"/>
  <c r="AV27" i="2"/>
  <c r="AV25" i="2"/>
  <c r="AV22" i="2"/>
  <c r="AV21" i="2"/>
  <c r="AV20" i="2"/>
  <c r="AV19" i="2"/>
  <c r="AV15" i="2"/>
  <c r="AV14" i="2"/>
  <c r="AV13" i="2"/>
  <c r="AV12" i="2"/>
  <c r="AV11" i="2"/>
  <c r="AV10" i="2"/>
  <c r="AV9" i="2"/>
  <c r="AU100" i="2"/>
  <c r="AT100" i="2"/>
  <c r="AS100" i="2"/>
  <c r="AU99" i="2"/>
  <c r="AT99" i="2"/>
  <c r="AU98" i="2"/>
  <c r="AT98" i="2"/>
  <c r="AS98" i="2"/>
  <c r="AS95" i="2"/>
  <c r="AU78" i="2"/>
  <c r="AT78" i="2"/>
  <c r="AS92" i="2"/>
  <c r="AS90" i="2"/>
  <c r="AS88" i="2"/>
  <c r="AS87" i="2"/>
  <c r="AS86" i="2"/>
  <c r="AS83" i="2"/>
  <c r="AS82" i="2"/>
  <c r="AS80" i="2"/>
  <c r="AS75" i="2"/>
  <c r="AS74" i="2"/>
  <c r="AS73" i="2"/>
  <c r="AS72" i="2"/>
  <c r="AS71" i="2"/>
  <c r="AS70" i="2"/>
  <c r="AS69" i="2"/>
  <c r="AS65" i="2"/>
  <c r="AS64" i="2"/>
  <c r="AS63" i="2"/>
  <c r="AS62" i="2"/>
  <c r="AS59" i="2"/>
  <c r="AS58" i="2"/>
  <c r="AS57" i="2"/>
  <c r="AS56" i="2"/>
  <c r="AS53" i="2"/>
  <c r="AS51" i="2"/>
  <c r="AS50" i="2"/>
  <c r="AS49" i="2"/>
  <c r="AS48" i="2"/>
  <c r="AS47" i="2"/>
  <c r="AS46" i="2"/>
  <c r="AS45" i="2"/>
  <c r="AT92" i="2"/>
  <c r="AT90" i="2"/>
  <c r="AT88" i="2"/>
  <c r="AT87" i="2"/>
  <c r="AT86" i="2"/>
  <c r="AT83" i="2"/>
  <c r="AT82" i="2"/>
  <c r="AT75" i="2"/>
  <c r="AT74" i="2"/>
  <c r="AT73" i="2"/>
  <c r="AT72" i="2"/>
  <c r="AT71" i="2"/>
  <c r="AT70" i="2"/>
  <c r="AT69" i="2"/>
  <c r="AT65" i="2"/>
  <c r="AT64" i="2"/>
  <c r="AT63" i="2"/>
  <c r="AT59" i="2"/>
  <c r="AT58" i="2"/>
  <c r="AT57" i="2"/>
  <c r="AT56" i="2"/>
  <c r="AT66" i="2" s="1"/>
  <c r="AT53" i="2"/>
  <c r="AT52" i="2"/>
  <c r="AT51" i="2"/>
  <c r="AT50" i="2"/>
  <c r="AT49" i="2"/>
  <c r="AT48" i="2"/>
  <c r="AT47" i="2"/>
  <c r="AT46" i="2"/>
  <c r="AT45" i="2"/>
  <c r="AD25" i="2"/>
  <c r="AC25" i="2"/>
  <c r="AB25" i="2"/>
  <c r="AA25" i="2"/>
  <c r="AD22" i="2"/>
  <c r="AC22" i="2"/>
  <c r="AB22" i="2"/>
  <c r="AA22" i="2"/>
  <c r="AD21" i="2"/>
  <c r="AC21" i="2"/>
  <c r="AB21" i="2"/>
  <c r="AA21" i="2"/>
  <c r="AD20" i="2"/>
  <c r="AD23" i="2" s="1"/>
  <c r="AC20" i="2"/>
  <c r="AC23" i="2" s="1"/>
  <c r="AB20" i="2"/>
  <c r="AB23" i="2" s="1"/>
  <c r="AA20" i="2"/>
  <c r="AA23" i="2" s="1"/>
  <c r="AA30" i="2"/>
  <c r="AB30" i="2" s="1"/>
  <c r="AC30" i="2" s="1"/>
  <c r="AD30" i="2" s="1"/>
  <c r="AD13" i="2"/>
  <c r="AD35" i="2" s="1"/>
  <c r="AC13" i="2"/>
  <c r="AB13" i="2"/>
  <c r="AA13" i="2"/>
  <c r="AD14" i="2"/>
  <c r="AC14" i="2"/>
  <c r="AB14" i="2"/>
  <c r="AB40" i="2" s="1"/>
  <c r="AA14" i="2"/>
  <c r="AA34" i="2" s="1"/>
  <c r="AD37" i="2"/>
  <c r="AC37" i="2"/>
  <c r="AB37" i="2"/>
  <c r="AA37" i="2"/>
  <c r="AC35" i="2"/>
  <c r="AB35" i="2"/>
  <c r="AA35" i="2"/>
  <c r="AD34" i="2"/>
  <c r="AC34" i="2"/>
  <c r="AB34" i="2"/>
  <c r="Z15" i="2"/>
  <c r="AD12" i="2"/>
  <c r="AC12" i="2"/>
  <c r="AB12" i="2"/>
  <c r="AA12" i="2"/>
  <c r="AD11" i="2"/>
  <c r="AC11" i="2"/>
  <c r="AC15" i="2" s="1"/>
  <c r="AC16" i="2" s="1"/>
  <c r="AB11" i="2"/>
  <c r="AB15" i="2" s="1"/>
  <c r="AB16" i="2" s="1"/>
  <c r="AA11" i="2"/>
  <c r="AA15" i="2" s="1"/>
  <c r="AA16" i="2" s="1"/>
  <c r="AD10" i="2"/>
  <c r="AC10" i="2"/>
  <c r="AB10" i="2"/>
  <c r="AA10" i="2"/>
  <c r="AD9" i="2"/>
  <c r="AC9" i="2"/>
  <c r="AB9" i="2"/>
  <c r="AA9" i="2"/>
  <c r="AU92" i="2"/>
  <c r="AU90" i="2"/>
  <c r="AU88" i="2"/>
  <c r="AU87" i="2"/>
  <c r="AU86" i="2"/>
  <c r="AU83" i="2"/>
  <c r="AU82" i="2"/>
  <c r="AU71" i="2"/>
  <c r="AU65" i="2"/>
  <c r="AU64" i="2"/>
  <c r="AU63" i="2"/>
  <c r="AU62" i="2"/>
  <c r="AU61" i="2"/>
  <c r="AU60" i="2"/>
  <c r="AU59" i="2"/>
  <c r="AU58" i="2"/>
  <c r="AU57" i="2"/>
  <c r="AU56" i="2"/>
  <c r="AU66" i="2" s="1"/>
  <c r="Z43" i="2"/>
  <c r="AU53" i="2"/>
  <c r="AU52" i="2"/>
  <c r="AU51" i="2"/>
  <c r="AU50" i="2"/>
  <c r="AU49" i="2"/>
  <c r="AU48" i="2"/>
  <c r="AU47" i="2"/>
  <c r="AU46" i="2"/>
  <c r="AU45" i="2"/>
  <c r="V25" i="2"/>
  <c r="Z25" i="2"/>
  <c r="AU25" i="2" s="1"/>
  <c r="Z44" i="2"/>
  <c r="AU44" i="2" s="1"/>
  <c r="Z99" i="2"/>
  <c r="Y99" i="2"/>
  <c r="AU8" i="2"/>
  <c r="X92" i="2"/>
  <c r="Y92" i="2" s="1"/>
  <c r="Z92" i="2" s="1"/>
  <c r="X88" i="2"/>
  <c r="Y88" i="2" s="1"/>
  <c r="Z88" i="2" s="1"/>
  <c r="X87" i="2"/>
  <c r="Y87" i="2" s="1"/>
  <c r="Z87" i="2" s="1"/>
  <c r="X86" i="2"/>
  <c r="Y86" i="2" s="1"/>
  <c r="Z86" i="2" s="1"/>
  <c r="X90" i="2"/>
  <c r="Y90" i="2" s="1"/>
  <c r="Z90" i="2" s="1"/>
  <c r="X83" i="2"/>
  <c r="Y83" i="2" s="1"/>
  <c r="Z83" i="2" s="1"/>
  <c r="X82" i="2"/>
  <c r="Y82" i="2" s="1"/>
  <c r="Z82" i="2" s="1"/>
  <c r="X80" i="2"/>
  <c r="Y80" i="2" s="1"/>
  <c r="W89" i="2"/>
  <c r="W91" i="2" s="1"/>
  <c r="W81" i="2"/>
  <c r="W84" i="2" s="1"/>
  <c r="W76" i="2"/>
  <c r="X76" i="2" s="1"/>
  <c r="Y76" i="2" s="1"/>
  <c r="X75" i="2"/>
  <c r="AU75" i="2" s="1"/>
  <c r="X74" i="2"/>
  <c r="AU74" i="2" s="1"/>
  <c r="X73" i="2"/>
  <c r="X72" i="2"/>
  <c r="AU72" i="2" s="1"/>
  <c r="X70" i="2"/>
  <c r="Y70" i="2" s="1"/>
  <c r="Z70" i="2" s="1"/>
  <c r="X69" i="2"/>
  <c r="Y75" i="2"/>
  <c r="Z75" i="2" s="1"/>
  <c r="Y74" i="2"/>
  <c r="Z74" i="2" s="1"/>
  <c r="Y73" i="2"/>
  <c r="Z73" i="2" s="1"/>
  <c r="Y72" i="2"/>
  <c r="Z72" i="2" s="1"/>
  <c r="Y69" i="2"/>
  <c r="Z69" i="2" s="1"/>
  <c r="Y60" i="2"/>
  <c r="Y61" i="2"/>
  <c r="Y44" i="2"/>
  <c r="Y54" i="2" s="1"/>
  <c r="Y43" i="2"/>
  <c r="Z66" i="2"/>
  <c r="Z54" i="2"/>
  <c r="AU11" i="2"/>
  <c r="Y37" i="2"/>
  <c r="AK41" i="2"/>
  <c r="AT30" i="2"/>
  <c r="AU14" i="2"/>
  <c r="AU13" i="2"/>
  <c r="AU12" i="2"/>
  <c r="AU10" i="2"/>
  <c r="AU9" i="2"/>
  <c r="AT8" i="2"/>
  <c r="AT14" i="2"/>
  <c r="AT13" i="2"/>
  <c r="AT12" i="2"/>
  <c r="AT11" i="2"/>
  <c r="AT10" i="2"/>
  <c r="AT9" i="2"/>
  <c r="AS9" i="2"/>
  <c r="X99" i="2"/>
  <c r="Z37" i="2"/>
  <c r="Z35" i="2"/>
  <c r="Y35" i="2"/>
  <c r="Z34" i="2"/>
  <c r="Y34" i="2"/>
  <c r="AU22" i="2"/>
  <c r="AU21" i="2"/>
  <c r="Z23" i="2"/>
  <c r="X37" i="2"/>
  <c r="X35" i="2"/>
  <c r="X34" i="2"/>
  <c r="W61" i="2"/>
  <c r="W60" i="2"/>
  <c r="W66" i="2" s="1"/>
  <c r="X60" i="2"/>
  <c r="X61" i="2"/>
  <c r="X66" i="2" s="1"/>
  <c r="X44" i="2"/>
  <c r="X43" i="2" s="1"/>
  <c r="W37" i="2"/>
  <c r="W35" i="2"/>
  <c r="W34" i="2"/>
  <c r="W44" i="2"/>
  <c r="W43" i="2" s="1"/>
  <c r="W99" i="2"/>
  <c r="Z16" i="2"/>
  <c r="Z19" i="2" s="1"/>
  <c r="X15" i="2"/>
  <c r="X16" i="2" s="1"/>
  <c r="W15" i="2"/>
  <c r="W16" i="2" s="1"/>
  <c r="W19" i="2" s="1"/>
  <c r="W38" i="2" s="1"/>
  <c r="Y23" i="2"/>
  <c r="X23" i="2"/>
  <c r="W23" i="2"/>
  <c r="V89" i="2"/>
  <c r="V91" i="2" s="1"/>
  <c r="V81" i="2"/>
  <c r="V84" i="2" s="1"/>
  <c r="V76" i="2"/>
  <c r="V77" i="2" s="1"/>
  <c r="V95" i="2" s="1"/>
  <c r="V60" i="2"/>
  <c r="AT60" i="2" s="1"/>
  <c r="V61" i="2"/>
  <c r="AT61" i="2" s="1"/>
  <c r="V62" i="2"/>
  <c r="AT62" i="2" s="1"/>
  <c r="V44" i="2"/>
  <c r="V54" i="2" s="1"/>
  <c r="V99" i="2"/>
  <c r="U89" i="2"/>
  <c r="U91" i="2" s="1"/>
  <c r="U81" i="2"/>
  <c r="U84" i="2" s="1"/>
  <c r="U76" i="2"/>
  <c r="U77" i="2" s="1"/>
  <c r="U95" i="2" s="1"/>
  <c r="U60" i="2"/>
  <c r="U61" i="2"/>
  <c r="U52" i="2"/>
  <c r="U44" i="2"/>
  <c r="U54" i="2" s="1"/>
  <c r="U99" i="2"/>
  <c r="T92" i="2"/>
  <c r="T90" i="2"/>
  <c r="T87" i="2"/>
  <c r="T86" i="2"/>
  <c r="T83" i="2"/>
  <c r="T82" i="2"/>
  <c r="T75" i="2"/>
  <c r="T74" i="2"/>
  <c r="T73" i="2"/>
  <c r="T72" i="2"/>
  <c r="T71" i="2"/>
  <c r="T70" i="2"/>
  <c r="S89" i="2"/>
  <c r="T89" i="2" s="1"/>
  <c r="S81" i="2"/>
  <c r="S84" i="2" s="1"/>
  <c r="S76" i="2"/>
  <c r="S77" i="2" s="1"/>
  <c r="S95" i="2" s="1"/>
  <c r="S61" i="2"/>
  <c r="S60" i="2"/>
  <c r="S44" i="2"/>
  <c r="S43" i="2" s="1"/>
  <c r="S52" i="2"/>
  <c r="S54" i="2" s="1"/>
  <c r="T80" i="2"/>
  <c r="AT80" i="2" s="1"/>
  <c r="T23" i="2"/>
  <c r="T61" i="2"/>
  <c r="T60" i="2"/>
  <c r="T44" i="2"/>
  <c r="T43" i="2" s="1"/>
  <c r="T52" i="2"/>
  <c r="T99" i="2"/>
  <c r="L4" i="1"/>
  <c r="L7" i="1" s="1"/>
  <c r="S99" i="2"/>
  <c r="P89" i="2"/>
  <c r="P91" i="2" s="1"/>
  <c r="P81" i="2"/>
  <c r="P84" i="2" s="1"/>
  <c r="BD30" i="2" l="1"/>
  <c r="BD11" i="2"/>
  <c r="BC15" i="2"/>
  <c r="BC16" i="2" s="1"/>
  <c r="BC17" i="2" s="1"/>
  <c r="BB15" i="2"/>
  <c r="BB16" i="2" s="1"/>
  <c r="BB17" i="2" s="1"/>
  <c r="AU43" i="2"/>
  <c r="AU54" i="2"/>
  <c r="AA32" i="2"/>
  <c r="AA19" i="2"/>
  <c r="AA38" i="2" s="1"/>
  <c r="AA41" i="2"/>
  <c r="AA17" i="2"/>
  <c r="AB32" i="2"/>
  <c r="AB19" i="2"/>
  <c r="AB38" i="2" s="1"/>
  <c r="AB41" i="2"/>
  <c r="AC40" i="2"/>
  <c r="AC19" i="2"/>
  <c r="AC38" i="2" s="1"/>
  <c r="AC41" i="2"/>
  <c r="AC17" i="2"/>
  <c r="AU69" i="2"/>
  <c r="AU73" i="2"/>
  <c r="AT91" i="2"/>
  <c r="AU70" i="2"/>
  <c r="AA40" i="2"/>
  <c r="AT44" i="2"/>
  <c r="AT89" i="2"/>
  <c r="AD15" i="2"/>
  <c r="AD36" i="2" s="1"/>
  <c r="AC36" i="2"/>
  <c r="AB36" i="2"/>
  <c r="AA36" i="2"/>
  <c r="Z100" i="2"/>
  <c r="Z38" i="2"/>
  <c r="Y66" i="2"/>
  <c r="X89" i="2"/>
  <c r="W40" i="2"/>
  <c r="Z80" i="2"/>
  <c r="AU80" i="2" s="1"/>
  <c r="W100" i="2"/>
  <c r="AU20" i="2"/>
  <c r="W41" i="2"/>
  <c r="W77" i="2"/>
  <c r="W95" i="2" s="1"/>
  <c r="X91" i="2"/>
  <c r="X41" i="2"/>
  <c r="X40" i="2"/>
  <c r="X19" i="2"/>
  <c r="X38" i="2" s="1"/>
  <c r="X100" i="2"/>
  <c r="X81" i="2"/>
  <c r="Y81" i="2" s="1"/>
  <c r="Z81" i="2" s="1"/>
  <c r="X77" i="2"/>
  <c r="X95" i="2" s="1"/>
  <c r="Y77" i="2"/>
  <c r="Y95" i="2" s="1"/>
  <c r="Z76" i="2"/>
  <c r="Z77" i="2" s="1"/>
  <c r="Z41" i="2"/>
  <c r="Z40" i="2"/>
  <c r="Y15" i="2"/>
  <c r="V66" i="2"/>
  <c r="W54" i="2"/>
  <c r="X54" i="2"/>
  <c r="Z24" i="2"/>
  <c r="Z26" i="2" s="1"/>
  <c r="W24" i="2"/>
  <c r="W26" i="2" s="1"/>
  <c r="V93" i="2"/>
  <c r="V43" i="2"/>
  <c r="S66" i="2"/>
  <c r="U43" i="2"/>
  <c r="U66" i="2"/>
  <c r="U93" i="2"/>
  <c r="T66" i="2"/>
  <c r="S91" i="2"/>
  <c r="S93" i="2" s="1"/>
  <c r="T76" i="2"/>
  <c r="T81" i="2"/>
  <c r="T91" i="2"/>
  <c r="T54" i="2"/>
  <c r="P76" i="2"/>
  <c r="P77" i="2" s="1"/>
  <c r="V37" i="2"/>
  <c r="U37" i="2"/>
  <c r="V35" i="2"/>
  <c r="U35" i="2"/>
  <c r="V34" i="2"/>
  <c r="U34" i="2"/>
  <c r="S15" i="2"/>
  <c r="S35" i="2"/>
  <c r="V23" i="2"/>
  <c r="T37" i="2"/>
  <c r="S37" i="2"/>
  <c r="T35" i="2"/>
  <c r="T34" i="2"/>
  <c r="S34" i="2"/>
  <c r="K41" i="2"/>
  <c r="AS17" i="2"/>
  <c r="AS14" i="2"/>
  <c r="AS13" i="2"/>
  <c r="AS12" i="2"/>
  <c r="AS11" i="2"/>
  <c r="AS15" i="2" s="1"/>
  <c r="AS10" i="2"/>
  <c r="AS8" i="2"/>
  <c r="AS107" i="2"/>
  <c r="AS104" i="2"/>
  <c r="AP23" i="2"/>
  <c r="AO23" i="2"/>
  <c r="AN23" i="2"/>
  <c r="AM23" i="2"/>
  <c r="AM19" i="2"/>
  <c r="AM38" i="2" s="1"/>
  <c r="AL23" i="2"/>
  <c r="AL19" i="2"/>
  <c r="AL38" i="2" s="1"/>
  <c r="AK23" i="2"/>
  <c r="AK19" i="2"/>
  <c r="AK38" i="2" s="1"/>
  <c r="AM32" i="2"/>
  <c r="AL32" i="2"/>
  <c r="AK32" i="2"/>
  <c r="AJ32" i="2"/>
  <c r="R89" i="2"/>
  <c r="R91" i="2" s="1"/>
  <c r="R81" i="2"/>
  <c r="R84" i="2" s="1"/>
  <c r="R76" i="2"/>
  <c r="R77" i="2" s="1"/>
  <c r="R95" i="2" s="1"/>
  <c r="R37" i="2"/>
  <c r="R35" i="2"/>
  <c r="R34" i="2"/>
  <c r="R23" i="2"/>
  <c r="BE30" i="2" l="1"/>
  <c r="BD15" i="2"/>
  <c r="BD16" i="2" s="1"/>
  <c r="BD17" i="2" s="1"/>
  <c r="BE11" i="2"/>
  <c r="X24" i="2"/>
  <c r="X26" i="2" s="1"/>
  <c r="AA24" i="2"/>
  <c r="AA26" i="2" s="1"/>
  <c r="AB24" i="2"/>
  <c r="AB26" i="2" s="1"/>
  <c r="T77" i="2"/>
  <c r="AT76" i="2"/>
  <c r="AT77" i="2" s="1"/>
  <c r="AT95" i="2" s="1"/>
  <c r="W93" i="2"/>
  <c r="AT43" i="2"/>
  <c r="AT54" i="2"/>
  <c r="T84" i="2"/>
  <c r="T93" i="2" s="1"/>
  <c r="AT81" i="2"/>
  <c r="AT84" i="2" s="1"/>
  <c r="AT93" i="2" s="1"/>
  <c r="AB17" i="2"/>
  <c r="AC24" i="2"/>
  <c r="AC26" i="2" s="1"/>
  <c r="Z95" i="2"/>
  <c r="X96" i="2"/>
  <c r="Y84" i="2"/>
  <c r="Y89" i="2"/>
  <c r="AU81" i="2"/>
  <c r="AU84" i="2" s="1"/>
  <c r="X84" i="2"/>
  <c r="AU76" i="2"/>
  <c r="AU77" i="2" s="1"/>
  <c r="AU95" i="2" s="1"/>
  <c r="AD16" i="2"/>
  <c r="Y96" i="2"/>
  <c r="Z84" i="2"/>
  <c r="X28" i="2"/>
  <c r="X29" i="2" s="1"/>
  <c r="X39" i="2"/>
  <c r="X93" i="2"/>
  <c r="W36" i="2"/>
  <c r="Y16" i="2"/>
  <c r="AU15" i="2"/>
  <c r="AU16" i="2" s="1"/>
  <c r="Z39" i="2"/>
  <c r="Y40" i="2"/>
  <c r="Y41" i="2"/>
  <c r="W28" i="2"/>
  <c r="W39" i="2"/>
  <c r="T95" i="2"/>
  <c r="U23" i="2"/>
  <c r="P95" i="2"/>
  <c r="P93" i="2"/>
  <c r="AS16" i="2"/>
  <c r="AS41" i="2" s="1"/>
  <c r="S23" i="2"/>
  <c r="AM24" i="2"/>
  <c r="AM26" i="2" s="1"/>
  <c r="AM28" i="2" s="1"/>
  <c r="AK24" i="2"/>
  <c r="AK26" i="2" s="1"/>
  <c r="AL24" i="2"/>
  <c r="AL26" i="2" s="1"/>
  <c r="R93" i="2"/>
  <c r="BF30" i="2" l="1"/>
  <c r="BE15" i="2"/>
  <c r="BE16" i="2" s="1"/>
  <c r="BE17" i="2" s="1"/>
  <c r="BF11" i="2"/>
  <c r="BF15" i="2" s="1"/>
  <c r="BF16" i="2" s="1"/>
  <c r="BF17" i="2" s="1"/>
  <c r="AD32" i="2"/>
  <c r="AD40" i="2"/>
  <c r="AD19" i="2"/>
  <c r="AD41" i="2"/>
  <c r="AD17" i="2"/>
  <c r="Z89" i="2"/>
  <c r="Y91" i="2"/>
  <c r="Y93" i="2" s="1"/>
  <c r="X68" i="2"/>
  <c r="AB28" i="2"/>
  <c r="AB29" i="2" s="1"/>
  <c r="AB27" i="2"/>
  <c r="AB39" i="2" s="1"/>
  <c r="AC27" i="2"/>
  <c r="AC39" i="2" s="1"/>
  <c r="AA27" i="2"/>
  <c r="AA39" i="2" s="1"/>
  <c r="Y19" i="2"/>
  <c r="Y100" i="2"/>
  <c r="AC32" i="2"/>
  <c r="V96" i="2"/>
  <c r="W96" i="2"/>
  <c r="U96" i="2"/>
  <c r="Y38" i="2"/>
  <c r="AU19" i="2"/>
  <c r="Z28" i="2"/>
  <c r="Y24" i="2"/>
  <c r="Y26" i="2" s="1"/>
  <c r="W29" i="2"/>
  <c r="W68" i="2"/>
  <c r="AM39" i="2"/>
  <c r="AK28" i="2"/>
  <c r="AK39" i="2"/>
  <c r="AL39" i="2"/>
  <c r="AL28" i="2"/>
  <c r="Z91" i="2" l="1"/>
  <c r="Z93" i="2" s="1"/>
  <c r="AU89" i="2"/>
  <c r="AU91" i="2" s="1"/>
  <c r="AU93" i="2" s="1"/>
  <c r="AA28" i="2"/>
  <c r="AC28" i="2"/>
  <c r="AC29" i="2" s="1"/>
  <c r="AD38" i="2"/>
  <c r="AD24" i="2"/>
  <c r="AD26" i="2" s="1"/>
  <c r="Z29" i="2"/>
  <c r="Z68" i="2"/>
  <c r="R61" i="2"/>
  <c r="AS61" i="2" s="1"/>
  <c r="R60" i="2"/>
  <c r="AS60" i="2" s="1"/>
  <c r="AS66" i="2" s="1"/>
  <c r="R52" i="2"/>
  <c r="AS52" i="2" s="1"/>
  <c r="R44" i="2"/>
  <c r="AS44" i="2" s="1"/>
  <c r="K100" i="2"/>
  <c r="R99" i="2"/>
  <c r="Q34" i="2"/>
  <c r="P34" i="2"/>
  <c r="O34" i="2"/>
  <c r="Q99" i="2"/>
  <c r="P99" i="2"/>
  <c r="O99" i="2"/>
  <c r="O89" i="2"/>
  <c r="O81" i="2"/>
  <c r="O76" i="2"/>
  <c r="AS76" i="2" s="1"/>
  <c r="AS77" i="2" s="1"/>
  <c r="K76" i="2"/>
  <c r="K77" i="2" s="1"/>
  <c r="K95" i="2" s="1"/>
  <c r="O77" i="2"/>
  <c r="O95" i="2" s="1"/>
  <c r="N77" i="2"/>
  <c r="N95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5" i="2" s="1"/>
  <c r="M95" i="2"/>
  <c r="Q61" i="2"/>
  <c r="Q60" i="2"/>
  <c r="Q52" i="2"/>
  <c r="Q44" i="2"/>
  <c r="Q43" i="2" s="1"/>
  <c r="G61" i="2"/>
  <c r="G60" i="2"/>
  <c r="G44" i="2"/>
  <c r="G43" i="2" s="1"/>
  <c r="G52" i="2"/>
  <c r="C89" i="2"/>
  <c r="C91" i="2" s="1"/>
  <c r="C81" i="2"/>
  <c r="C84" i="2" s="1"/>
  <c r="C76" i="2"/>
  <c r="C77" i="2" s="1"/>
  <c r="G89" i="2"/>
  <c r="G91" i="2" s="1"/>
  <c r="G81" i="2"/>
  <c r="G84" i="2" s="1"/>
  <c r="G76" i="2"/>
  <c r="G77" i="2" s="1"/>
  <c r="C23" i="2"/>
  <c r="K37" i="2"/>
  <c r="K35" i="2"/>
  <c r="K34" i="2"/>
  <c r="AP37" i="2"/>
  <c r="AO37" i="2"/>
  <c r="AP34" i="2"/>
  <c r="AO34" i="2"/>
  <c r="AP15" i="2"/>
  <c r="AP16" i="2" s="1"/>
  <c r="AP41" i="2" s="1"/>
  <c r="AO15" i="2"/>
  <c r="AO16" i="2" s="1"/>
  <c r="AO41" i="2" s="1"/>
  <c r="AN15" i="2"/>
  <c r="AN16" i="2" s="1"/>
  <c r="AN41" i="2" s="1"/>
  <c r="AQ14" i="2"/>
  <c r="AQ13" i="2"/>
  <c r="AQ35" i="2" s="1"/>
  <c r="AQ12" i="2"/>
  <c r="AQ11" i="2"/>
  <c r="AQ10" i="2"/>
  <c r="AQ37" i="2" s="1"/>
  <c r="AQ9" i="2"/>
  <c r="AQ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R8" i="2"/>
  <c r="AR14" i="2"/>
  <c r="AR11" i="2"/>
  <c r="AR10" i="2"/>
  <c r="AR9" i="2"/>
  <c r="AR12" i="2"/>
  <c r="AP35" i="2"/>
  <c r="AO35" i="2"/>
  <c r="AR13" i="2"/>
  <c r="AS25" i="2"/>
  <c r="AS30" i="2"/>
  <c r="AV30" i="2" s="1"/>
  <c r="AW30" i="2" s="1"/>
  <c r="AX30" i="2" s="1"/>
  <c r="AY30" i="2" s="1"/>
  <c r="AZ30" i="2" s="1"/>
  <c r="BA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R23" i="2"/>
  <c r="AQ23" i="2"/>
  <c r="AS2" i="2"/>
  <c r="AT2" i="2" s="1"/>
  <c r="AU2" i="2" s="1"/>
  <c r="AV2" i="2" s="1"/>
  <c r="AW2" i="2" s="1"/>
  <c r="AX2" i="2" s="1"/>
  <c r="AY2" i="2" s="1"/>
  <c r="AZ2" i="2" s="1"/>
  <c r="BA2" i="2" s="1"/>
  <c r="K40" i="2"/>
  <c r="J95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O91" i="2" l="1"/>
  <c r="AS89" i="2"/>
  <c r="AS91" i="2" s="1"/>
  <c r="AS43" i="2"/>
  <c r="AS54" i="2"/>
  <c r="AD27" i="2"/>
  <c r="AD39" i="2" s="1"/>
  <c r="AA43" i="2"/>
  <c r="AB43" i="2" s="1"/>
  <c r="AC43" i="2" s="1"/>
  <c r="AA29" i="2"/>
  <c r="O84" i="2"/>
  <c r="AS81" i="2"/>
  <c r="AS84" i="2" s="1"/>
  <c r="P96" i="2"/>
  <c r="O96" i="2"/>
  <c r="N96" i="2"/>
  <c r="R96" i="2"/>
  <c r="T96" i="2"/>
  <c r="S96" i="2"/>
  <c r="AQ34" i="2"/>
  <c r="Q96" i="2"/>
  <c r="Q66" i="2"/>
  <c r="Y39" i="2"/>
  <c r="AU27" i="2"/>
  <c r="Y28" i="2"/>
  <c r="Y68" i="2" s="1"/>
  <c r="AU68" i="2" s="1"/>
  <c r="O100" i="2"/>
  <c r="O41" i="2"/>
  <c r="G40" i="2"/>
  <c r="G41" i="2"/>
  <c r="M100" i="2"/>
  <c r="M41" i="2"/>
  <c r="I40" i="2"/>
  <c r="I41" i="2"/>
  <c r="H19" i="2"/>
  <c r="H38" i="2" s="1"/>
  <c r="H41" i="2"/>
  <c r="P100" i="2"/>
  <c r="P41" i="2"/>
  <c r="L100" i="2"/>
  <c r="L41" i="2"/>
  <c r="R54" i="2"/>
  <c r="R43" i="2"/>
  <c r="AO32" i="2"/>
  <c r="AO19" i="2"/>
  <c r="AN32" i="2"/>
  <c r="AN19" i="2"/>
  <c r="AP19" i="2"/>
  <c r="AP32" i="2"/>
  <c r="T15" i="2"/>
  <c r="O54" i="2"/>
  <c r="N66" i="2"/>
  <c r="Q54" i="2"/>
  <c r="G100" i="2"/>
  <c r="U15" i="2"/>
  <c r="Y36" i="2" s="1"/>
  <c r="O93" i="2"/>
  <c r="R16" i="2"/>
  <c r="R36" i="2"/>
  <c r="G66" i="2"/>
  <c r="N54" i="2"/>
  <c r="R66" i="2"/>
  <c r="V15" i="2"/>
  <c r="G54" i="2"/>
  <c r="G93" i="2"/>
  <c r="C93" i="2"/>
  <c r="AQ15" i="2"/>
  <c r="AQ16" i="2" s="1"/>
  <c r="AQ32" i="2" s="1"/>
  <c r="AR37" i="2"/>
  <c r="G19" i="2"/>
  <c r="G38" i="2" s="1"/>
  <c r="K32" i="2"/>
  <c r="AW12" i="2"/>
  <c r="AX12" i="2" s="1"/>
  <c r="AY12" i="2" s="1"/>
  <c r="AZ12" i="2" s="1"/>
  <c r="BA12" i="2" s="1"/>
  <c r="AR35" i="2"/>
  <c r="AR34" i="2"/>
  <c r="K36" i="2"/>
  <c r="AO36" i="2"/>
  <c r="AP36" i="2"/>
  <c r="AR15" i="2"/>
  <c r="AR16" i="2" s="1"/>
  <c r="AR41" i="2" s="1"/>
  <c r="C24" i="2"/>
  <c r="C26" i="2" s="1"/>
  <c r="C28" i="2" s="1"/>
  <c r="AS34" i="2"/>
  <c r="P54" i="2"/>
  <c r="AS22" i="2"/>
  <c r="AT22" i="2" s="1"/>
  <c r="AW22" i="2" s="1"/>
  <c r="AX22" i="2" s="1"/>
  <c r="AY22" i="2" s="1"/>
  <c r="Q23" i="2"/>
  <c r="AS21" i="2"/>
  <c r="AT21" i="2" s="1"/>
  <c r="AW21" i="2" s="1"/>
  <c r="AX21" i="2" s="1"/>
  <c r="AY21" i="2" s="1"/>
  <c r="P43" i="2"/>
  <c r="AS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AS93" i="2" l="1"/>
  <c r="AD28" i="2"/>
  <c r="AD29" i="2" s="1"/>
  <c r="AQ41" i="2"/>
  <c r="V36" i="2"/>
  <c r="Z36" i="2"/>
  <c r="X36" i="2"/>
  <c r="AT15" i="2"/>
  <c r="Y29" i="2"/>
  <c r="H24" i="2"/>
  <c r="H26" i="2" s="1"/>
  <c r="H28" i="2" s="1"/>
  <c r="R40" i="2"/>
  <c r="R41" i="2"/>
  <c r="AR32" i="2"/>
  <c r="V16" i="2"/>
  <c r="U16" i="2"/>
  <c r="Y32" i="2" s="1"/>
  <c r="U36" i="2"/>
  <c r="T16" i="2"/>
  <c r="X32" i="2" s="1"/>
  <c r="T36" i="2"/>
  <c r="S16" i="2"/>
  <c r="W32" i="2" s="1"/>
  <c r="S36" i="2"/>
  <c r="AP38" i="2"/>
  <c r="AP24" i="2"/>
  <c r="AP26" i="2" s="1"/>
  <c r="AN38" i="2"/>
  <c r="AN24" i="2"/>
  <c r="AN26" i="2" s="1"/>
  <c r="AO38" i="2"/>
  <c r="AO24" i="2"/>
  <c r="AO26" i="2" s="1"/>
  <c r="N40" i="2"/>
  <c r="N100" i="2"/>
  <c r="R32" i="2"/>
  <c r="R19" i="2"/>
  <c r="R38" i="2" s="1"/>
  <c r="R100" i="2"/>
  <c r="C29" i="2"/>
  <c r="C68" i="2"/>
  <c r="AQ40" i="2"/>
  <c r="AQ19" i="2"/>
  <c r="AQ38" i="2" s="1"/>
  <c r="AR36" i="2"/>
  <c r="AQ36" i="2"/>
  <c r="Q16" i="2"/>
  <c r="Q41" i="2" s="1"/>
  <c r="G24" i="2"/>
  <c r="G26" i="2" s="1"/>
  <c r="AR19" i="2"/>
  <c r="AR38" i="2" s="1"/>
  <c r="AR40" i="2"/>
  <c r="G28" i="2"/>
  <c r="G39" i="2"/>
  <c r="AS35" i="2"/>
  <c r="AS36" i="2"/>
  <c r="AT37" i="2"/>
  <c r="AS37" i="2"/>
  <c r="AT35" i="2"/>
  <c r="AS23" i="2"/>
  <c r="AT20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AD43" i="2" l="1"/>
  <c r="V100" i="2"/>
  <c r="Z32" i="2"/>
  <c r="U100" i="2"/>
  <c r="U19" i="2"/>
  <c r="U32" i="2"/>
  <c r="H39" i="2"/>
  <c r="S32" i="2"/>
  <c r="S100" i="2"/>
  <c r="S19" i="2"/>
  <c r="S38" i="2" s="1"/>
  <c r="T19" i="2"/>
  <c r="T24" i="2" s="1"/>
  <c r="T100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AW9" i="2"/>
  <c r="AP28" i="2"/>
  <c r="AP39" i="2"/>
  <c r="AO28" i="2"/>
  <c r="AO39" i="2"/>
  <c r="AN28" i="2"/>
  <c r="AN39" i="2"/>
  <c r="Q32" i="2"/>
  <c r="Q100" i="2"/>
  <c r="Q19" i="2"/>
  <c r="Q24" i="2" s="1"/>
  <c r="Q26" i="2" s="1"/>
  <c r="H29" i="2"/>
  <c r="H68" i="2"/>
  <c r="P29" i="2"/>
  <c r="P68" i="2"/>
  <c r="Q40" i="2"/>
  <c r="AS32" i="2"/>
  <c r="AR24" i="2"/>
  <c r="AR26" i="2" s="1"/>
  <c r="AR28" i="2" s="1"/>
  <c r="AR29" i="2" s="1"/>
  <c r="AQ24" i="2"/>
  <c r="AQ26" i="2" s="1"/>
  <c r="AQ39" i="2" s="1"/>
  <c r="G29" i="2"/>
  <c r="G68" i="2"/>
  <c r="AW11" i="2"/>
  <c r="AT23" i="2"/>
  <c r="AU34" i="2"/>
  <c r="M28" i="2"/>
  <c r="M39" i="2"/>
  <c r="O28" i="2"/>
  <c r="O39" i="2"/>
  <c r="K28" i="2"/>
  <c r="K39" i="2"/>
  <c r="L28" i="2"/>
  <c r="L39" i="2"/>
  <c r="J28" i="2"/>
  <c r="J39" i="2"/>
  <c r="I28" i="2"/>
  <c r="I39" i="2"/>
  <c r="AT34" i="2"/>
  <c r="N24" i="2"/>
  <c r="N26" i="2" s="1"/>
  <c r="Q38" i="2"/>
  <c r="R24" i="2"/>
  <c r="R26" i="2" s="1"/>
  <c r="R39" i="2" s="1"/>
  <c r="AU35" i="2" l="1"/>
  <c r="V38" i="2"/>
  <c r="V24" i="2"/>
  <c r="V26" i="2" s="1"/>
  <c r="U38" i="2"/>
  <c r="U24" i="2"/>
  <c r="U26" i="2" s="1"/>
  <c r="T38" i="2"/>
  <c r="T26" i="2"/>
  <c r="S39" i="2"/>
  <c r="AW10" i="2"/>
  <c r="AS40" i="2"/>
  <c r="AX9" i="2"/>
  <c r="AS19" i="2"/>
  <c r="AS38" i="2" s="1"/>
  <c r="AR39" i="2"/>
  <c r="J29" i="2"/>
  <c r="J68" i="2"/>
  <c r="L29" i="2"/>
  <c r="L68" i="2"/>
  <c r="M29" i="2"/>
  <c r="M68" i="2"/>
  <c r="I29" i="2"/>
  <c r="I68" i="2"/>
  <c r="K29" i="2"/>
  <c r="K68" i="2"/>
  <c r="O29" i="2"/>
  <c r="O68" i="2"/>
  <c r="AU37" i="2"/>
  <c r="AU36" i="2"/>
  <c r="AQ28" i="2"/>
  <c r="AQ29" i="2" s="1"/>
  <c r="AV36" i="2"/>
  <c r="AW14" i="2"/>
  <c r="AU23" i="2"/>
  <c r="AW13" i="2"/>
  <c r="AV35" i="2"/>
  <c r="AX11" i="2"/>
  <c r="AT16" i="2"/>
  <c r="AT36" i="2"/>
  <c r="N28" i="2"/>
  <c r="N39" i="2"/>
  <c r="Q28" i="2"/>
  <c r="Q68" i="2" s="1"/>
  <c r="AT19" i="2" l="1"/>
  <c r="AT41" i="2"/>
  <c r="AU38" i="2"/>
  <c r="AU17" i="2"/>
  <c r="AU41" i="2"/>
  <c r="AV37" i="2"/>
  <c r="V39" i="2"/>
  <c r="U39" i="2"/>
  <c r="U28" i="2"/>
  <c r="T39" i="2"/>
  <c r="T28" i="2"/>
  <c r="S28" i="2"/>
  <c r="AS24" i="2"/>
  <c r="AS26" i="2" s="1"/>
  <c r="AV16" i="2"/>
  <c r="AV40" i="2" s="1"/>
  <c r="AU40" i="2"/>
  <c r="AY9" i="2"/>
  <c r="AU32" i="2"/>
  <c r="N29" i="2"/>
  <c r="N68" i="2"/>
  <c r="AW15" i="2"/>
  <c r="AU24" i="2"/>
  <c r="AY11" i="2"/>
  <c r="AW34" i="2"/>
  <c r="AX14" i="2"/>
  <c r="AX10" i="2"/>
  <c r="AW37" i="2"/>
  <c r="AW35" i="2"/>
  <c r="AX13" i="2"/>
  <c r="Q29" i="2"/>
  <c r="AW20" i="2"/>
  <c r="AV23" i="2"/>
  <c r="AS27" i="2"/>
  <c r="Q39" i="2"/>
  <c r="AT32" i="2"/>
  <c r="AT17" i="2"/>
  <c r="AT40" i="2"/>
  <c r="R28" i="2"/>
  <c r="AV38" i="2" l="1"/>
  <c r="AV41" i="2"/>
  <c r="V28" i="2"/>
  <c r="U29" i="2"/>
  <c r="U68" i="2"/>
  <c r="S29" i="2"/>
  <c r="S68" i="2"/>
  <c r="T29" i="2"/>
  <c r="T68" i="2"/>
  <c r="AS39" i="2"/>
  <c r="AW16" i="2"/>
  <c r="AZ9" i="2"/>
  <c r="R29" i="2"/>
  <c r="R68" i="2"/>
  <c r="AS68" i="2" s="1"/>
  <c r="AW36" i="2"/>
  <c r="AV32" i="2"/>
  <c r="AT25" i="2"/>
  <c r="AX20" i="2"/>
  <c r="AW23" i="2"/>
  <c r="AS28" i="2"/>
  <c r="AS29" i="2" s="1"/>
  <c r="AX35" i="2"/>
  <c r="AY13" i="2"/>
  <c r="AX34" i="2"/>
  <c r="AX15" i="2"/>
  <c r="AX16" i="2" s="1"/>
  <c r="AX37" i="2"/>
  <c r="AZ11" i="2"/>
  <c r="AT24" i="2"/>
  <c r="AT38" i="2"/>
  <c r="AW19" i="2" l="1"/>
  <c r="AW38" i="2" s="1"/>
  <c r="AW41" i="2"/>
  <c r="AX19" i="2"/>
  <c r="AX41" i="2"/>
  <c r="V29" i="2"/>
  <c r="V68" i="2"/>
  <c r="AT68" i="2" s="1"/>
  <c r="AY15" i="2"/>
  <c r="AY16" i="2" s="1"/>
  <c r="AW32" i="2"/>
  <c r="AW40" i="2"/>
  <c r="BA9" i="2"/>
  <c r="AV24" i="2"/>
  <c r="AV17" i="2"/>
  <c r="AT26" i="2"/>
  <c r="AT27" i="2" s="1"/>
  <c r="AT39" i="2" s="1"/>
  <c r="AW17" i="2"/>
  <c r="AY37" i="2"/>
  <c r="AY36" i="2"/>
  <c r="BA11" i="2"/>
  <c r="AX36" i="2"/>
  <c r="AZ13" i="2"/>
  <c r="AY35" i="2"/>
  <c r="AY20" i="2"/>
  <c r="AX23" i="2"/>
  <c r="AY34" i="2"/>
  <c r="AW24" i="2"/>
  <c r="AY19" i="2" l="1"/>
  <c r="AY41" i="2"/>
  <c r="AZ34" i="2"/>
  <c r="BA34" i="2"/>
  <c r="AX38" i="2"/>
  <c r="AX32" i="2"/>
  <c r="AX40" i="2"/>
  <c r="AX24" i="2"/>
  <c r="AY23" i="2"/>
  <c r="BA13" i="2"/>
  <c r="BA35" i="2" s="1"/>
  <c r="AZ35" i="2"/>
  <c r="AZ15" i="2"/>
  <c r="AZ16" i="2" s="1"/>
  <c r="AY38" i="2"/>
  <c r="AY32" i="2"/>
  <c r="AY40" i="2"/>
  <c r="BA37" i="2"/>
  <c r="AZ37" i="2"/>
  <c r="AT28" i="2"/>
  <c r="AZ19" i="2" l="1"/>
  <c r="AZ41" i="2"/>
  <c r="AX17" i="2"/>
  <c r="AY17" i="2"/>
  <c r="BA15" i="2"/>
  <c r="BA16" i="2" s="1"/>
  <c r="AZ36" i="2"/>
  <c r="BA23" i="2"/>
  <c r="AZ23" i="2"/>
  <c r="BA36" i="2"/>
  <c r="AY24" i="2"/>
  <c r="AT29" i="2"/>
  <c r="BA19" i="2" l="1"/>
  <c r="BA41" i="2"/>
  <c r="BA38" i="2"/>
  <c r="BA40" i="2"/>
  <c r="BA32" i="2"/>
  <c r="AZ38" i="2"/>
  <c r="AZ40" i="2"/>
  <c r="AZ32" i="2"/>
  <c r="AU26" i="2"/>
  <c r="BA24" i="2" l="1"/>
  <c r="AZ24" i="2"/>
  <c r="AZ17" i="2"/>
  <c r="BA17" i="2"/>
  <c r="AU39" i="2"/>
  <c r="AU28" i="2" l="1"/>
  <c r="AU29" i="2" s="1"/>
  <c r="AV26" i="2" l="1"/>
  <c r="AV39" i="2" l="1"/>
  <c r="AV28" i="2" l="1"/>
  <c r="AV29" i="2" s="1"/>
  <c r="AW25" i="2" l="1"/>
  <c r="AW26" i="2" s="1"/>
  <c r="AW27" i="2" l="1"/>
  <c r="AW39" i="2" s="1"/>
  <c r="AW28" i="2" l="1"/>
  <c r="AW43" i="2" s="1"/>
  <c r="AW29" i="2" l="1"/>
  <c r="AX25" i="2"/>
  <c r="AX26" i="2" s="1"/>
  <c r="AX27" i="2" l="1"/>
  <c r="AX39" i="2" s="1"/>
  <c r="AX28" i="2" l="1"/>
  <c r="AX29" i="2" s="1"/>
  <c r="AX43" i="2" l="1"/>
  <c r="AY25" i="2" s="1"/>
  <c r="AY26" i="2" s="1"/>
  <c r="AY27" i="2" l="1"/>
  <c r="AY39" i="2" s="1"/>
  <c r="AY28" i="2" l="1"/>
  <c r="AY29" i="2" s="1"/>
  <c r="AY43" i="2" l="1"/>
  <c r="AZ25" i="2" s="1"/>
  <c r="AZ26" i="2" s="1"/>
  <c r="AZ27" i="2" l="1"/>
  <c r="AZ39" i="2" s="1"/>
  <c r="AZ28" i="2" l="1"/>
  <c r="AZ29" i="2" s="1"/>
  <c r="AZ43" i="2" l="1"/>
  <c r="BA25" i="2" s="1"/>
  <c r="BA26" i="2" s="1"/>
  <c r="BA27" i="2" l="1"/>
  <c r="BA39" i="2" s="1"/>
  <c r="BA28" i="2" l="1"/>
  <c r="BA43" i="2" l="1"/>
  <c r="BB25" i="2" s="1"/>
  <c r="BB26" i="2" s="1"/>
  <c r="BA29" i="2"/>
  <c r="BB27" i="2" l="1"/>
  <c r="BB39" i="2" s="1"/>
  <c r="BB28" i="2"/>
  <c r="BB29" i="2" s="1"/>
  <c r="BB43" i="2" l="1"/>
  <c r="BC25" i="2" l="1"/>
  <c r="BC26" i="2" s="1"/>
  <c r="BC27" i="2" s="1"/>
  <c r="BC28" i="2" l="1"/>
  <c r="BC29" i="2" s="1"/>
  <c r="BC39" i="2"/>
  <c r="BC43" i="2"/>
  <c r="BD25" i="2" l="1"/>
  <c r="BD26" i="2" s="1"/>
  <c r="BD27" i="2" s="1"/>
  <c r="BD28" i="2" l="1"/>
  <c r="BD29" i="2" s="1"/>
  <c r="BD39" i="2"/>
  <c r="BD43" i="2" l="1"/>
  <c r="BE25" i="2"/>
  <c r="BE26" i="2" s="1"/>
  <c r="BE27" i="2" s="1"/>
  <c r="BE28" i="2" l="1"/>
  <c r="BE29" i="2" s="1"/>
  <c r="BE39" i="2"/>
  <c r="BE43" i="2"/>
  <c r="BF25" i="2" l="1"/>
  <c r="BF26" i="2" s="1"/>
  <c r="BF27" i="2" l="1"/>
  <c r="BF39" i="2" s="1"/>
  <c r="BF28" i="2" l="1"/>
  <c r="BF29" i="2" s="1"/>
  <c r="BG28" i="2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BI37" i="2" s="1"/>
  <c r="BI38" i="2" s="1"/>
  <c r="BI40" i="2" s="1"/>
  <c r="BF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tc={5142EDA3-8698-452C-9A8D-4CD833122C3B}</author>
    <author>tc={7CA9CE49-89FA-4E15-98D4-CE6DD96F43DD}</author>
    <author>tc={E4EBD6E6-A9EB-4DE8-827A-6C71C7B0185D}</author>
    <author>tc={CD258551-BBC6-4BF5-BF08-F7CBE491F646}</author>
    <author>tc={73F90EF2-D9C6-41B7-8FA7-855052591BEB}</author>
    <author>tc={BB174E77-B992-4434-B813-37050944779B}</author>
    <author>tc={C9A375BD-2F32-49DD-A460-C252666E5957}</author>
    <author>tc={98C85431-240B-43D6-9320-F54389B2CF7C}</author>
    <author>tc={7C8D1D3B-4771-4143-BB65-4092E4163BCF}</author>
    <author>tc={7B7B344C-1B40-43A1-8992-C1140C2C51FA}</author>
  </authors>
  <commentList>
    <comment ref="Z10" authorId="0" shapeId="0" xr:uid="{5142EDA3-8698-452C-9A8D-4CD83312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GCP had more demand than capacity</t>
      </text>
    </comment>
    <comment ref="R11" authorId="1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2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B12" authorId="3" shapeId="0" xr:uid="{CD258551-BBC6-4BF5-BF08-F7CBE491F646}">
      <text>
        <t>[Threaded comment]
Your version of Excel allows you to read this threaded comment; however, any edits to it will get removed if the file is opened in a newer version of Excel. Learn more: https://go.microsoft.com/fwlink/?linkid=870924
Comment:
    Much higher TAC rate than search</t>
      </text>
    </comment>
    <comment ref="Z13" authorId="4" shapeId="0" xr:uid="{73F90EF2-D9C6-41B7-8FA7-855052591BEB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Election spending</t>
      </text>
    </comment>
    <comment ref="R14" authorId="5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Z14" authorId="6" shapeId="0" xr:uid="{C9A375BD-2F32-49DD-A460-C252666E59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 financial services, followed by retail</t>
      </text>
    </comment>
    <comment ref="S16" authorId="7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8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9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<sst xmlns="http://schemas.openxmlformats.org/spreadsheetml/2006/main" count="295" uniqueCount="264">
  <si>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</si>
  <si>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</si>
  <si>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</si>
  <si>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</si>
  <si>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</si>
  <si>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</si>
  <si>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</si>
  <si>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</si>
  <si>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</si>
  <si>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</si>
  <si>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</si>
  <si>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</si>
  <si>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</si>
  <si>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</si>
  <si>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</si>
  <si>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</si>
  <si>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</si>
  <si>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</si>
  <si>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</si>
  <si>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</si>
  <si>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</si>
  <si>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</si>
  <si>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</si>
  <si>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</si>
  <si>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</si>
  <si>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</si>
  <si>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</si>
  <si>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</si>
  <si>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</si>
  <si>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</si>
  <si>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</si>
  <si>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</si>
  <si>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</si>
  <si>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</si>
  <si>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</si>
  <si>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</si>
  <si>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</si>
  <si>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</si>
  <si>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</si>
  <si>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</si>
  <si>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</si>
  <si>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</si>
  <si>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</si>
  <si>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</si>
  <si>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</si>
  <si>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</si>
  <si>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</si>
  <si>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</si>
  <si>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</si>
  <si>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</si>
  <si>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</si>
  <si>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</si>
  <si>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</si>
  <si>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</si>
  <si>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</si>
  <si>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</si>
  <si>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</si>
  <si>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</si>
  <si>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</si>
  <si>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</si>
  <si>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</si>
  <si>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</si>
  <si>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</si>
  <si>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</si>
  <si>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</si>
  <si>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</si>
  <si>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</si>
  <si>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</si>
  <si>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</si>
  <si>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</si>
  <si>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</si>
  <si>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</si>
  <si>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</si>
  <si>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</si>
  <si>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</si>
  <si>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</si>
  <si>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</si>
  <si>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</si>
  <si>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</si>
  <si>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</si>
  <si>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</si>
  <si>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</si>
  <si>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</si>
  <si>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</si>
  <si>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</si>
  <si>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</si>
  <si>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</si>
  <si>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</si>
  <si>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</si>
  <si>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</si>
  <si>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</si>
  <si>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</si>
  <si>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</si>
  <si>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</si>
  <si>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</si>
  <si>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</si>
  <si>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</si>
  <si>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</si>
  <si>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</si>
  <si>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</si>
  <si>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</si>
  <si>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</si>
  <si>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</si>
  <si>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</si>
  <si>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</si>
  <si>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</si>
  <si>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</si>
  <si>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</si>
  <si>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</si>
  <si>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</si>
  <si>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</si>
  <si>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</si>
  <si>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</si>
  <si>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</si>
  <si>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</si>
  <si>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</si>
  <si>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</si>
  <si>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</si>
  <si>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</si>
  <si>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</si>
  <si>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</si>
  <si>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</si>
  <si>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</si>
  <si>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</si>
  <si>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</si>
  <si>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</si>
  <si>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</si>
  <si>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</si>
  <si>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</si>
  <si>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</si>
  <si>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</si>
  <si>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</si>
  <si>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</si>
  <si>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</si>
  <si>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</si>
  <si>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</si>
  <si>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</si>
  <si>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</si>
  <si>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</si>
  <si>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</si>
  <si>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</si>
  <si>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</si>
  <si>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</si>
  <si>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</si>
  <si>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</si>
  <si>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</si>
  <si>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</si>
  <si>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</si>
  <si>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</si>
  <si>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</si>
  <si>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</si>
  <si>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</si>
  <si>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</si>
  <si>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</si>
  <si>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</si>
  <si>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</si>
  <si>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</si>
  <si>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</si>
  <si>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</si>
  <si>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</si>
  <si>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</si>
  <si>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</si>
  <si>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</si>
  <si>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</si>
  <si>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</si>
  <si>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</si>
  <si>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</si>
  <si>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</si>
  <si>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</si>
  <si>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</si>
  <si>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</si>
  <si>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</si>
  <si>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</si>
  <si>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</si>
  <si>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</si>
  <si>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</si>
  <si>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</si>
  <si>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</si>
  <si>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</si>
  <si>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</si>
  <si>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</si>
  <si>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</si>
  <si>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</si>
  <si>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</si>
  <si>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</si>
  <si>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</si>
  <si>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</si>
  <si>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</si>
  <si>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</si>
  <si>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</si>
  <si>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</si>
  <si>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</si>
  <si>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</si>
  <si>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</si>
  <si>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</si>
  <si>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</si>
  <si>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</si>
  <si>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</si>
  <si>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</si>
  <si>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</si>
  <si>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</si>
  <si>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</si>
  <si>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</si>
  <si>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</si>
  <si>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</si>
  <si>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</si>
  <si>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</si>
  <si>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</si>
  <si>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</si>
  <si>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</si>
  <si>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</si>
  <si>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</si>
  <si>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</si>
  <si>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</si>
  <si>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</si>
  <si>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</si>
  <si>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</si>
  <si>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</si>
  <si>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</si>
  <si>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</si>
  <si>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</si>
  <si>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</si>
  <si>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</si>
  <si>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</si>
  <si>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</si>
  <si>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</si>
  <si>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</si>
  <si>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</si>
  <si>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</si>
  <si>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</si>
  <si>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</si>
  <si>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</si>
  <si>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</si>
  <si>
    <t>Dividend</t>
  </si>
  <si>
    <t>Q125</t>
  </si>
  <si>
    <t>Q225</t>
  </si>
  <si>
    <t>Q325</t>
  </si>
  <si>
    <t>Q425</t>
  </si>
  <si>
    <t>"Circle to Search", AI overviews</t>
  </si>
  <si>
    <t>-</t>
  </si>
  <si>
    <t>Nasdaq Index Price</t>
  </si>
  <si>
    <t>12/31 Stock Price</t>
  </si>
  <si>
    <t>Mariner</t>
  </si>
  <si>
    <t>reason on browser screen</t>
  </si>
  <si>
    <t>Veo 2</t>
  </si>
  <si>
    <t>video generation</t>
  </si>
  <si>
    <t>Imagen 3</t>
  </si>
  <si>
    <t>text-to-image</t>
  </si>
  <si>
    <t>Deep Research</t>
  </si>
  <si>
    <t>first to launch this</t>
  </si>
  <si>
    <t>Agentspace</t>
  </si>
  <si>
    <t>Tokyo, Miami, Austin, Atlanta, SF</t>
  </si>
  <si>
    <t>Shopping</t>
  </si>
  <si>
    <t>150k trips/week: Q424</t>
  </si>
  <si>
    <t>Shorts</t>
  </si>
  <si>
    <t>Pixel</t>
  </si>
  <si>
    <t>Subscriptions, Platforms, Devices</t>
  </si>
  <si>
    <t>Google One</t>
  </si>
  <si>
    <t>YouTube TV</t>
  </si>
  <si>
    <t>YouTube Music Premium</t>
  </si>
  <si>
    <t>Google Play</t>
  </si>
  <si>
    <t>GCP</t>
  </si>
  <si>
    <t>Workspace</t>
  </si>
  <si>
    <t>Anat Ashkenazi replaced Ruth Porat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</si>
</sst>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7133</xdr:colOff>
      <xdr:row>0</xdr:row>
      <xdr:rowOff>0</xdr:rowOff>
    </xdr:from>
    <xdr:to>
      <xdr:col>26</xdr:col>
      <xdr:colOff>7133</xdr:colOff>
      <xdr:row>116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6801788" y="0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32230</xdr:colOff>
      <xdr:row>0</xdr:row>
      <xdr:rowOff>8759</xdr:rowOff>
    </xdr:from>
    <xdr:to>
      <xdr:col>47</xdr:col>
      <xdr:colOff>32230</xdr:colOff>
      <xdr:row>116</xdr:row>
      <xdr:rowOff>84959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6728506" y="8759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0" dT="2025-02-28T19:14:54.43" personId="{93A3133D-971F-4E59-B338-0D905228406B}" id="{5142EDA3-8698-452C-9A8D-4CD833122C3B}">
    <text>GCP had more demand than capacity</text>
  </threadedComment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B12" dT="2025-02-28T17:26:25.94" personId="{93A3133D-971F-4E59-B338-0D905228406B}" id="{CD258551-BBC6-4BF5-BF08-F7CBE491F646}">
    <text>Much higher TAC rate than search</text>
  </threadedComment>
  <threadedComment ref="Z13" dT="2025-02-28T16:40:32.86" personId="{93A3133D-971F-4E59-B338-0D905228406B}" id="{73F90EF2-D9C6-41B7-8FA7-855052591BEB}">
    <text>Election spending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Z14" dT="2025-02-28T16:39:58.52" personId="{93A3133D-971F-4E59-B338-0D905228406B}" id="{C9A375BD-2F32-49DD-A460-C252666E5957}">
    <text>Strong financial services, followed by retail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zoomScale="130" zoomScaleNormal="130" workbookViewId="0"/>
  </sheetViews>
  <sheetFormatPr defaultColWidth="8.85546875" defaultRowHeight="12.75" x14ac:dyDescent="0.2"/>
  <cols>
    <col min="3" max="3" width="13.28515625" customWidth="1"/>
    <col min="7" max="7" width="7.7109375" customWidth="1"/>
    <col min="8" max="8" width="5.28515625" customWidth="1"/>
    <col min="9" max="9" width="7.7109375" customWidth="1"/>
    <col min="11" max="11" width="21.7109375" customWidth="1"/>
    <col min="12" max="12" width="13.42578125" customWidth="1"/>
    <col min="13" max="13" width="9.42578125" customWidth="1"/>
  </cols>
  <sheetData>
    <row r="1" spans="2:13" x14ac:dyDescent="0.2">
      <c r="K1" s="7"/>
    </row>
    <row r="2" spans="2:13" x14ac:dyDescent="0.2">
      <c r="B2" t="s">
        <v>208</v>
      </c>
      <c r="K2" t="s">
        <v>0</v>
      </c>
      <c r="L2" s="1">
        <v>151</v>
      </c>
    </row>
    <row r="3" spans="2:13" x14ac:dyDescent="0.2">
      <c r="C3" t="s">
        <v>209</v>
      </c>
      <c r="H3" s="4"/>
      <c r="I3" s="3"/>
      <c r="K3" t="s">
        <v>1</v>
      </c>
      <c r="L3" s="3">
        <v>12348</v>
      </c>
      <c r="M3" s="2" t="s">
        <v>204</v>
      </c>
    </row>
    <row r="4" spans="2:13" x14ac:dyDescent="0.2">
      <c r="C4" t="s">
        <v>216</v>
      </c>
      <c r="D4" t="s">
        <v>217</v>
      </c>
      <c r="H4" s="4"/>
      <c r="K4" t="s">
        <v>2</v>
      </c>
      <c r="L4" s="3">
        <f>L2*L3</f>
        <v>1864548</v>
      </c>
    </row>
    <row r="5" spans="2:13" x14ac:dyDescent="0.2">
      <c r="C5" t="s">
        <v>213</v>
      </c>
      <c r="D5" t="s">
        <v>214</v>
      </c>
      <c r="H5" s="6"/>
      <c r="K5" t="s">
        <v>3</v>
      </c>
      <c r="L5" s="3">
        <v>133639</v>
      </c>
      <c r="M5" s="2" t="s">
        <v>204</v>
      </c>
    </row>
    <row r="6" spans="2:13" x14ac:dyDescent="0.2">
      <c r="C6" t="s">
        <v>210</v>
      </c>
      <c r="D6" t="s">
        <v>215</v>
      </c>
      <c r="K6" t="s">
        <v>4</v>
      </c>
      <c r="L6" s="3">
        <v>10883</v>
      </c>
      <c r="M6" s="2" t="s">
        <v>204</v>
      </c>
    </row>
    <row r="7" spans="2:13" x14ac:dyDescent="0.2">
      <c r="C7" t="s">
        <v>211</v>
      </c>
      <c r="K7" t="s">
        <v>5</v>
      </c>
      <c r="L7" s="3">
        <f>L4-L5+L6</f>
        <v>1741792</v>
      </c>
    </row>
    <row r="8" spans="2:13" x14ac:dyDescent="0.2">
      <c r="D8" t="s">
        <v>212</v>
      </c>
      <c r="K8" s="7"/>
    </row>
    <row r="9" spans="2:13" x14ac:dyDescent="0.2">
      <c r="C9" t="s">
        <v>238</v>
      </c>
      <c r="K9" s="7" t="s">
        <v>25</v>
      </c>
      <c r="L9" s="13">
        <v>1998</v>
      </c>
    </row>
    <row r="10" spans="2:13" x14ac:dyDescent="0.2">
      <c r="B10" t="s">
        <v>218</v>
      </c>
      <c r="L10" s="3"/>
    </row>
    <row r="11" spans="2:13" x14ac:dyDescent="0.2">
      <c r="C11" t="s">
        <v>219</v>
      </c>
      <c r="D11" t="s">
        <v>220</v>
      </c>
      <c r="K11" s="8"/>
    </row>
    <row r="12" spans="2:13" x14ac:dyDescent="0.2">
      <c r="C12" t="s">
        <v>223</v>
      </c>
      <c r="K12" t="s">
        <v>101</v>
      </c>
      <c r="L12" s="19" t="s">
        <v>102</v>
      </c>
    </row>
    <row r="13" spans="2:13" x14ac:dyDescent="0.2">
      <c r="C13" t="s">
        <v>224</v>
      </c>
      <c r="D13" t="s">
        <v>225</v>
      </c>
      <c r="K13" t="s">
        <v>103</v>
      </c>
      <c r="L13" s="19" t="s">
        <v>263</v>
      </c>
    </row>
    <row r="14" spans="2:13" x14ac:dyDescent="0.2">
      <c r="C14" t="s">
        <v>228</v>
      </c>
      <c r="D14" t="s">
        <v>243</v>
      </c>
      <c r="K14" s="3" t="s">
        <v>105</v>
      </c>
      <c r="L14" s="20" t="s">
        <v>106</v>
      </c>
      <c r="M14" s="3"/>
    </row>
    <row r="15" spans="2:13" x14ac:dyDescent="0.2">
      <c r="C15" t="s">
        <v>242</v>
      </c>
      <c r="K15" t="s">
        <v>107</v>
      </c>
      <c r="L15" s="19" t="s">
        <v>108</v>
      </c>
    </row>
    <row r="16" spans="2:13" x14ac:dyDescent="0.2">
      <c r="C16" t="s">
        <v>244</v>
      </c>
      <c r="D16" t="s">
        <v>245</v>
      </c>
      <c r="K16" t="s">
        <v>39</v>
      </c>
      <c r="L16" s="19" t="s">
        <v>109</v>
      </c>
    </row>
    <row r="17" spans="2:14" x14ac:dyDescent="0.2">
      <c r="C17" t="s">
        <v>246</v>
      </c>
      <c r="D17" t="s">
        <v>247</v>
      </c>
      <c r="K17" t="s">
        <v>110</v>
      </c>
      <c r="L17" s="19" t="s">
        <v>111</v>
      </c>
    </row>
    <row r="18" spans="2:14" x14ac:dyDescent="0.2">
      <c r="C18" t="s">
        <v>248</v>
      </c>
      <c r="D18" t="s">
        <v>249</v>
      </c>
      <c r="K18" t="s">
        <v>112</v>
      </c>
      <c r="L18" s="19" t="s">
        <v>113</v>
      </c>
    </row>
    <row r="19" spans="2:14" x14ac:dyDescent="0.2">
      <c r="C19" t="s">
        <v>250</v>
      </c>
      <c r="K19" t="s">
        <v>114</v>
      </c>
      <c r="L19" s="19" t="s">
        <v>115</v>
      </c>
    </row>
    <row r="20" spans="2:14" x14ac:dyDescent="0.2">
      <c r="K20" t="s">
        <v>116</v>
      </c>
      <c r="L20" s="19" t="s">
        <v>117</v>
      </c>
    </row>
    <row r="21" spans="2:14" x14ac:dyDescent="0.2">
      <c r="B21" t="s">
        <v>44</v>
      </c>
      <c r="K21" t="s">
        <v>118</v>
      </c>
      <c r="L21" s="19" t="s">
        <v>119</v>
      </c>
    </row>
    <row r="22" spans="2:14" x14ac:dyDescent="0.2">
      <c r="C22" t="s">
        <v>254</v>
      </c>
      <c r="K22" t="s">
        <v>120</v>
      </c>
      <c r="L22" s="19"/>
    </row>
    <row r="23" spans="2:14" x14ac:dyDescent="0.2">
      <c r="C23" t="s">
        <v>258</v>
      </c>
    </row>
    <row r="24" spans="2:14" x14ac:dyDescent="0.2">
      <c r="C24" t="s">
        <v>259</v>
      </c>
    </row>
    <row r="25" spans="2:14" x14ac:dyDescent="0.2">
      <c r="B25" t="s">
        <v>221</v>
      </c>
      <c r="K25" t="s">
        <v>175</v>
      </c>
      <c r="L25" t="s">
        <v>173</v>
      </c>
      <c r="M25" t="s">
        <v>174</v>
      </c>
      <c r="N25" t="s">
        <v>231</v>
      </c>
    </row>
    <row r="26" spans="2:14" x14ac:dyDescent="0.2">
      <c r="B26" t="s">
        <v>222</v>
      </c>
      <c r="K26" t="s">
        <v>171</v>
      </c>
      <c r="L26" t="s">
        <v>170</v>
      </c>
      <c r="M26" t="s">
        <v>172</v>
      </c>
    </row>
    <row r="27" spans="2:14" x14ac:dyDescent="0.2">
      <c r="B27" t="s">
        <v>227</v>
      </c>
      <c r="K27" t="s">
        <v>167</v>
      </c>
      <c r="L27" t="s">
        <v>168</v>
      </c>
      <c r="M27" t="s">
        <v>169</v>
      </c>
    </row>
    <row r="28" spans="2:14" x14ac:dyDescent="0.2">
      <c r="B28" t="s">
        <v>39</v>
      </c>
      <c r="K28" t="s">
        <v>165</v>
      </c>
      <c r="L28" t="s">
        <v>166</v>
      </c>
      <c r="M28" t="s">
        <v>153</v>
      </c>
    </row>
    <row r="29" spans="2:14" x14ac:dyDescent="0.2">
      <c r="C29" t="s">
        <v>261</v>
      </c>
      <c r="K29" t="s">
        <v>162</v>
      </c>
      <c r="L29" t="s">
        <v>163</v>
      </c>
      <c r="M29" t="s">
        <v>164</v>
      </c>
    </row>
    <row r="30" spans="2:14" x14ac:dyDescent="0.2">
      <c r="C30" t="s">
        <v>262</v>
      </c>
      <c r="K30" t="s">
        <v>115</v>
      </c>
      <c r="L30" t="s">
        <v>161</v>
      </c>
      <c r="M30" t="s">
        <v>145</v>
      </c>
    </row>
    <row r="31" spans="2:14" x14ac:dyDescent="0.2">
      <c r="B31" t="s">
        <v>226</v>
      </c>
      <c r="C31" t="s">
        <v>251</v>
      </c>
      <c r="K31" t="s">
        <v>159</v>
      </c>
      <c r="L31" t="s">
        <v>160</v>
      </c>
      <c r="M31" t="s">
        <v>137</v>
      </c>
    </row>
    <row r="32" spans="2:14" x14ac:dyDescent="0.2">
      <c r="C32" t="s">
        <v>253</v>
      </c>
      <c r="K32" t="s">
        <v>157</v>
      </c>
      <c r="L32" t="s">
        <v>158</v>
      </c>
      <c r="M32" t="s">
        <v>145</v>
      </c>
    </row>
    <row r="33" spans="2:14" x14ac:dyDescent="0.2">
      <c r="B33" t="s">
        <v>252</v>
      </c>
      <c r="K33" t="s">
        <v>154</v>
      </c>
      <c r="L33" t="s">
        <v>155</v>
      </c>
      <c r="M33" t="s">
        <v>156</v>
      </c>
    </row>
    <row r="34" spans="2:14" x14ac:dyDescent="0.2">
      <c r="B34" t="s">
        <v>255</v>
      </c>
      <c r="K34" t="s">
        <v>152</v>
      </c>
      <c r="L34" t="s">
        <v>151</v>
      </c>
      <c r="M34" t="s">
        <v>153</v>
      </c>
    </row>
    <row r="35" spans="2:14" x14ac:dyDescent="0.2">
      <c r="B35" t="s">
        <v>257</v>
      </c>
      <c r="K35" t="s">
        <v>148</v>
      </c>
      <c r="L35" t="s">
        <v>149</v>
      </c>
      <c r="M35" t="s">
        <v>150</v>
      </c>
    </row>
    <row r="36" spans="2:14" x14ac:dyDescent="0.2">
      <c r="B36" t="s">
        <v>260</v>
      </c>
      <c r="K36" t="s">
        <v>146</v>
      </c>
      <c r="L36" t="s">
        <v>147</v>
      </c>
      <c r="M36" t="s">
        <v>137</v>
      </c>
    </row>
    <row r="37" spans="2:14" x14ac:dyDescent="0.2">
      <c r="K37" t="s">
        <v>143</v>
      </c>
      <c r="L37" t="s">
        <v>144</v>
      </c>
      <c r="M37" t="s">
        <v>145</v>
      </c>
    </row>
    <row r="38" spans="2:14" x14ac:dyDescent="0.2">
      <c r="K38" s="7" t="s">
        <v>125</v>
      </c>
      <c r="L38" t="s">
        <v>126</v>
      </c>
      <c r="M38" t="s">
        <v>207</v>
      </c>
      <c r="N38" t="s">
        <v>206</v>
      </c>
    </row>
    <row r="39" spans="2:14" x14ac:dyDescent="0.2">
      <c r="K39" t="s">
        <v>140</v>
      </c>
      <c r="L39" t="s">
        <v>141</v>
      </c>
      <c r="M39" t="s">
        <v>142</v>
      </c>
    </row>
    <row r="40" spans="2:14" x14ac:dyDescent="0.2">
      <c r="K40" t="s">
        <v>138</v>
      </c>
      <c r="L40" t="s">
        <v>139</v>
      </c>
      <c r="M40" t="s">
        <v>137</v>
      </c>
    </row>
    <row r="41" spans="2:14" x14ac:dyDescent="0.2">
      <c r="K41" t="s">
        <v>134</v>
      </c>
      <c r="L41" t="s">
        <v>135</v>
      </c>
      <c r="M41" t="s">
        <v>137</v>
      </c>
      <c r="N41" t="s">
        <v>136</v>
      </c>
    </row>
    <row r="42" spans="2:14" x14ac:dyDescent="0.2">
      <c r="K42" t="s">
        <v>130</v>
      </c>
      <c r="L42" t="s">
        <v>131</v>
      </c>
      <c r="M42" t="s">
        <v>133</v>
      </c>
      <c r="N42" t="s">
        <v>132</v>
      </c>
    </row>
    <row r="43" spans="2:14" x14ac:dyDescent="0.2">
      <c r="K43" s="7" t="s">
        <v>127</v>
      </c>
      <c r="L43" t="s">
        <v>124</v>
      </c>
      <c r="M43" t="s">
        <v>129</v>
      </c>
    </row>
    <row r="44" spans="2:14" x14ac:dyDescent="0.2">
      <c r="K44" s="7" t="s">
        <v>123</v>
      </c>
      <c r="L44" t="s">
        <v>122</v>
      </c>
      <c r="N44" t="s">
        <v>232</v>
      </c>
    </row>
    <row r="45" spans="2:14" x14ac:dyDescent="0.2">
      <c r="K45" s="7" t="s">
        <v>121</v>
      </c>
      <c r="L45" t="s">
        <v>128</v>
      </c>
    </row>
    <row r="46" spans="2:14" x14ac:dyDescent="0.2">
      <c r="K46" t="s">
        <v>176</v>
      </c>
    </row>
    <row r="47" spans="2:14" x14ac:dyDescent="0.2">
      <c r="K47" s="7" t="s">
        <v>177</v>
      </c>
    </row>
    <row r="48" spans="2:14" x14ac:dyDescent="0.2">
      <c r="K48" t="s">
        <v>178</v>
      </c>
      <c r="L48" t="s">
        <v>179</v>
      </c>
    </row>
    <row r="49" spans="11:11" x14ac:dyDescent="0.2">
      <c r="K49" t="s">
        <v>180</v>
      </c>
    </row>
    <row r="50" spans="11:11" x14ac:dyDescent="0.2">
      <c r="K50" t="s">
        <v>181</v>
      </c>
    </row>
    <row r="51" spans="11:11" x14ac:dyDescent="0.2">
      <c r="K51" t="s">
        <v>182</v>
      </c>
    </row>
    <row r="52" spans="11:11" x14ac:dyDescent="0.2">
      <c r="K52" s="7" t="s">
        <v>183</v>
      </c>
    </row>
    <row r="53" spans="11:11" x14ac:dyDescent="0.2">
      <c r="K53" t="s">
        <v>184</v>
      </c>
    </row>
    <row r="54" spans="11:11" x14ac:dyDescent="0.2">
      <c r="K54" t="s">
        <v>185</v>
      </c>
    </row>
    <row r="55" spans="11:11" x14ac:dyDescent="0.2">
      <c r="K55" t="s">
        <v>186</v>
      </c>
    </row>
    <row r="56" spans="11:11" x14ac:dyDescent="0.2">
      <c r="K56" t="s">
        <v>187</v>
      </c>
    </row>
    <row r="57" spans="11:11" x14ac:dyDescent="0.2">
      <c r="K57" s="7" t="s">
        <v>188</v>
      </c>
    </row>
    <row r="58" spans="11:11" x14ac:dyDescent="0.2">
      <c r="K58" t="s">
        <v>189</v>
      </c>
    </row>
    <row r="59" spans="11:11" x14ac:dyDescent="0.2">
      <c r="K59" t="s">
        <v>190</v>
      </c>
    </row>
    <row r="60" spans="11:11" x14ac:dyDescent="0.2">
      <c r="K60" t="s">
        <v>191</v>
      </c>
    </row>
    <row r="61" spans="11:11" x14ac:dyDescent="0.2">
      <c r="K61" t="s">
        <v>192</v>
      </c>
    </row>
    <row r="62" spans="11:11" x14ac:dyDescent="0.2">
      <c r="K62" t="s">
        <v>193</v>
      </c>
    </row>
    <row r="63" spans="11:11" x14ac:dyDescent="0.2">
      <c r="K63" t="s">
        <v>194</v>
      </c>
    </row>
    <row r="64" spans="11:11" x14ac:dyDescent="0.2">
      <c r="K64" t="s">
        <v>195</v>
      </c>
    </row>
    <row r="65" spans="11:11" x14ac:dyDescent="0.2">
      <c r="K65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F107"/>
  <sheetViews>
    <sheetView tabSelected="1" zoomScale="145" zoomScaleNormal="145" workbookViewId="0">
      <pane xSplit="2" ySplit="2" topLeftCell="AR3" activePane="bottomRight" state="frozen"/>
      <selection pane="topRight" activeCell="C1" sqref="C1"/>
      <selection pane="bottomLeft" activeCell="A4" sqref="A4"/>
      <selection pane="bottomRight" activeCell="BF10" sqref="BF10"/>
    </sheetView>
  </sheetViews>
  <sheetFormatPr defaultColWidth="8.85546875"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6" width="9.140625" style="2"/>
    <col min="27" max="31" width="8.85546875" style="2"/>
    <col min="45" max="45" width="9.140625" customWidth="1"/>
    <col min="52" max="53" width="9.28515625" customWidth="1"/>
    <col min="54" max="58" width="9.42578125" customWidth="1"/>
    <col min="61" max="61" width="10.5703125" customWidth="1"/>
  </cols>
  <sheetData>
    <row r="1" spans="1:58" x14ac:dyDescent="0.2">
      <c r="A1" s="12" t="s">
        <v>7</v>
      </c>
    </row>
    <row r="2" spans="1:58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201</v>
      </c>
      <c r="X2" s="2" t="s">
        <v>202</v>
      </c>
      <c r="Y2" s="2" t="s">
        <v>203</v>
      </c>
      <c r="Z2" s="2" t="s">
        <v>204</v>
      </c>
      <c r="AA2" s="2" t="s">
        <v>234</v>
      </c>
      <c r="AB2" s="2" t="s">
        <v>235</v>
      </c>
      <c r="AC2" s="2" t="s">
        <v>236</v>
      </c>
      <c r="AD2" s="2" t="s">
        <v>237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f>AR2+1</f>
        <v>2022</v>
      </c>
      <c r="AT2">
        <f t="shared" ref="AT2:BF2" si="0">AS2+1</f>
        <v>2023</v>
      </c>
      <c r="AU2">
        <f t="shared" si="0"/>
        <v>2024</v>
      </c>
      <c r="AV2">
        <f t="shared" si="0"/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</row>
    <row r="3" spans="1:58" x14ac:dyDescent="0.2">
      <c r="B3" t="s">
        <v>197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>
        <v>43139</v>
      </c>
      <c r="Z3" s="11">
        <v>47375</v>
      </c>
      <c r="AA3" s="11"/>
      <c r="AB3" s="11"/>
      <c r="AC3" s="11"/>
      <c r="AD3" s="11"/>
      <c r="AE3" s="11"/>
    </row>
    <row r="4" spans="1:58" x14ac:dyDescent="0.2">
      <c r="B4" t="s">
        <v>198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>
        <v>25472</v>
      </c>
      <c r="Z4" s="11">
        <v>28184</v>
      </c>
      <c r="AA4" s="11"/>
      <c r="AB4" s="11"/>
      <c r="AC4" s="11"/>
      <c r="AD4" s="11"/>
      <c r="AE4" s="11"/>
    </row>
    <row r="5" spans="1:58" x14ac:dyDescent="0.2">
      <c r="B5" t="s">
        <v>199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>
        <v>14547</v>
      </c>
      <c r="Z5" s="11">
        <v>15156</v>
      </c>
      <c r="AA5" s="11"/>
      <c r="AB5" s="11"/>
      <c r="AC5" s="11"/>
      <c r="AD5" s="11"/>
      <c r="AE5" s="11"/>
    </row>
    <row r="6" spans="1:58" x14ac:dyDescent="0.2">
      <c r="B6" t="s">
        <v>200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>
        <v>5093</v>
      </c>
      <c r="Z6" s="11">
        <v>5734</v>
      </c>
      <c r="AA6" s="11"/>
      <c r="AB6" s="11"/>
      <c r="AC6" s="11"/>
      <c r="AD6" s="11"/>
      <c r="AE6" s="11"/>
    </row>
    <row r="8" spans="1:58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>
        <v>20</v>
      </c>
      <c r="AA8" s="11"/>
      <c r="AB8" s="11"/>
      <c r="AC8" s="11"/>
      <c r="AD8" s="11"/>
      <c r="AE8" s="11"/>
      <c r="AN8" s="3">
        <v>-169</v>
      </c>
      <c r="AO8" s="3">
        <v>-138</v>
      </c>
      <c r="AP8" s="3">
        <v>455</v>
      </c>
      <c r="AQ8" s="3">
        <f t="shared" ref="AQ8:AQ14" si="1">SUM(G8:J8)</f>
        <v>176</v>
      </c>
      <c r="AR8" s="3">
        <f t="shared" ref="AR8:AR11" si="2">SUM(K8:N8)</f>
        <v>149</v>
      </c>
      <c r="AS8" s="3">
        <f t="shared" ref="AS8:AS14" si="3">SUM(O8:R8)</f>
        <v>1960</v>
      </c>
      <c r="AT8" s="3">
        <f t="shared" ref="AT8:AT15" si="4">SUM(S8:V8)</f>
        <v>236</v>
      </c>
      <c r="AU8" s="3">
        <f t="shared" ref="AU8:AU15" si="5">SUM(W8:Z8)</f>
        <v>211</v>
      </c>
    </row>
    <row r="9" spans="1:58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>
        <v>400</v>
      </c>
      <c r="AA9" s="11">
        <f>+W9</f>
        <v>495</v>
      </c>
      <c r="AB9" s="11">
        <f>+X9</f>
        <v>365</v>
      </c>
      <c r="AC9" s="11">
        <f>+Y9</f>
        <v>388</v>
      </c>
      <c r="AD9" s="11">
        <f>+Z9</f>
        <v>400</v>
      </c>
      <c r="AE9" s="11"/>
      <c r="AN9" s="3">
        <v>477</v>
      </c>
      <c r="AO9" s="3">
        <v>595</v>
      </c>
      <c r="AP9" s="3">
        <v>659</v>
      </c>
      <c r="AQ9" s="3">
        <f t="shared" si="1"/>
        <v>657</v>
      </c>
      <c r="AR9" s="3">
        <f t="shared" si="2"/>
        <v>753</v>
      </c>
      <c r="AS9" s="3">
        <f>SUM(O9:R9)</f>
        <v>1068</v>
      </c>
      <c r="AT9" s="3">
        <f t="shared" si="4"/>
        <v>1527</v>
      </c>
      <c r="AU9" s="3">
        <f t="shared" si="5"/>
        <v>1648</v>
      </c>
      <c r="AV9" s="3">
        <f>SUM(AA9:AD9)</f>
        <v>1648</v>
      </c>
      <c r="AW9" s="3">
        <f t="shared" ref="AW9:BA9" si="6">+AV9*1.01</f>
        <v>1664.48</v>
      </c>
      <c r="AX9" s="3">
        <f t="shared" si="6"/>
        <v>1681.1248000000001</v>
      </c>
      <c r="AY9" s="3">
        <f t="shared" si="6"/>
        <v>1697.936048</v>
      </c>
      <c r="AZ9" s="3">
        <f t="shared" si="6"/>
        <v>1714.91540848</v>
      </c>
      <c r="BA9" s="3">
        <f t="shared" si="6"/>
        <v>1732.0645625648001</v>
      </c>
      <c r="BB9" s="3">
        <f t="shared" ref="BB9" si="7">+BA9*1.01</f>
        <v>1749.3852081904481</v>
      </c>
      <c r="BC9" s="3">
        <f t="shared" ref="BC9" si="8">+BB9*1.01</f>
        <v>1766.8790602723527</v>
      </c>
      <c r="BD9" s="3">
        <f t="shared" ref="BD9" si="9">+BC9*1.01</f>
        <v>1784.5478508750762</v>
      </c>
      <c r="BE9" s="3">
        <f t="shared" ref="BE9" si="10">+BD9*1.01</f>
        <v>1802.393329383827</v>
      </c>
      <c r="BF9" s="3">
        <f t="shared" ref="BF9" si="11">+BE9*1.01</f>
        <v>1820.4172626776653</v>
      </c>
    </row>
    <row r="10" spans="1:58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A10" s="11">
        <f>+W10*1.3</f>
        <v>12446.2</v>
      </c>
      <c r="AB10" s="11">
        <f>+X10*1.3</f>
        <v>13451.1</v>
      </c>
      <c r="AC10" s="11">
        <f>+Y10*1.3</f>
        <v>14758.9</v>
      </c>
      <c r="AD10" s="11">
        <f>+Z10*1.3</f>
        <v>15541.5</v>
      </c>
      <c r="AE10" s="11"/>
      <c r="AN10" s="3">
        <v>4056</v>
      </c>
      <c r="AO10" s="3">
        <v>5838</v>
      </c>
      <c r="AP10" s="3">
        <v>8918</v>
      </c>
      <c r="AQ10" s="3">
        <f t="shared" si="1"/>
        <v>13059</v>
      </c>
      <c r="AR10" s="3">
        <f t="shared" si="2"/>
        <v>19206</v>
      </c>
      <c r="AS10" s="3">
        <f t="shared" si="3"/>
        <v>26280</v>
      </c>
      <c r="AT10" s="3">
        <f t="shared" si="4"/>
        <v>33088</v>
      </c>
      <c r="AU10" s="3">
        <f t="shared" si="5"/>
        <v>43229</v>
      </c>
      <c r="AV10" s="3">
        <f t="shared" ref="AV10:AV15" si="12">SUM(AA10:AD10)</f>
        <v>56197.700000000004</v>
      </c>
      <c r="AW10" s="3">
        <f>+AV10*1.3</f>
        <v>73057.010000000009</v>
      </c>
      <c r="AX10" s="3">
        <f>+AW10*1.3</f>
        <v>94974.113000000012</v>
      </c>
      <c r="AY10" s="3">
        <f>+AX10*1.1</f>
        <v>104471.52430000002</v>
      </c>
      <c r="AZ10" s="3">
        <f>+AY10*1.1</f>
        <v>114918.67673000004</v>
      </c>
      <c r="BA10" s="3">
        <f>+AZ10*1.1</f>
        <v>126410.54440300005</v>
      </c>
      <c r="BB10" s="3">
        <f t="shared" ref="BB10:BF10" si="13">+BA10*1.1</f>
        <v>139051.59884330007</v>
      </c>
      <c r="BC10" s="3">
        <f t="shared" si="13"/>
        <v>152956.75872763011</v>
      </c>
      <c r="BD10" s="3">
        <f t="shared" si="13"/>
        <v>168252.43460039314</v>
      </c>
      <c r="BE10" s="3">
        <f t="shared" si="13"/>
        <v>185077.67806043246</v>
      </c>
      <c r="BF10" s="3">
        <f t="shared" si="13"/>
        <v>203585.44586647573</v>
      </c>
    </row>
    <row r="11" spans="1:58" s="3" customFormat="1" x14ac:dyDescent="0.2">
      <c r="B11" s="3" t="s">
        <v>256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A11" s="11">
        <f>+W11*1.1</f>
        <v>9612.9000000000015</v>
      </c>
      <c r="AB11" s="11">
        <f>+X11*1.1</f>
        <v>10243.200000000001</v>
      </c>
      <c r="AC11" s="11">
        <f>+Y11*1.1</f>
        <v>11721.6</v>
      </c>
      <c r="AD11" s="11">
        <f>+Z11*1.1</f>
        <v>12796.300000000001</v>
      </c>
      <c r="AE11" s="11"/>
      <c r="AN11" s="3">
        <v>10914</v>
      </c>
      <c r="AO11" s="3">
        <v>14063</v>
      </c>
      <c r="AP11" s="3">
        <v>17014</v>
      </c>
      <c r="AQ11" s="3">
        <f t="shared" si="1"/>
        <v>21711</v>
      </c>
      <c r="AR11" s="3">
        <f t="shared" si="2"/>
        <v>28032</v>
      </c>
      <c r="AS11" s="3">
        <f t="shared" si="3"/>
        <v>29055</v>
      </c>
      <c r="AT11" s="3">
        <f t="shared" si="4"/>
        <v>34688</v>
      </c>
      <c r="AU11" s="3">
        <f t="shared" si="5"/>
        <v>40340</v>
      </c>
      <c r="AV11" s="3">
        <f t="shared" si="12"/>
        <v>44374.000000000007</v>
      </c>
      <c r="AW11" s="3">
        <f t="shared" ref="AW11:BA11" si="14">+AV11*1.03</f>
        <v>45705.220000000008</v>
      </c>
      <c r="AX11" s="3">
        <f t="shared" si="14"/>
        <v>47076.376600000011</v>
      </c>
      <c r="AY11" s="3">
        <f t="shared" si="14"/>
        <v>48488.667898000014</v>
      </c>
      <c r="AZ11" s="3">
        <f t="shared" si="14"/>
        <v>49943.327934940018</v>
      </c>
      <c r="BA11" s="3">
        <f t="shared" si="14"/>
        <v>51441.62777298822</v>
      </c>
      <c r="BB11" s="3">
        <f t="shared" ref="BB11:BB12" si="15">+BA11*1.03</f>
        <v>52984.876606177866</v>
      </c>
      <c r="BC11" s="3">
        <f t="shared" ref="BC11:BC12" si="16">+BB11*1.03</f>
        <v>54574.4229043632</v>
      </c>
      <c r="BD11" s="3">
        <f t="shared" ref="BD11:BD12" si="17">+BC11*1.03</f>
        <v>56211.655591494098</v>
      </c>
      <c r="BE11" s="3">
        <f t="shared" ref="BE11:BE12" si="18">+BD11*1.03</f>
        <v>57898.005259238926</v>
      </c>
      <c r="BF11" s="3">
        <f t="shared" ref="BF11:BF12" si="19">+BE11*1.03</f>
        <v>59634.945417016097</v>
      </c>
    </row>
    <row r="12" spans="1:58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A12" s="11">
        <f>+W12*1.01</f>
        <v>7487.13</v>
      </c>
      <c r="AB12" s="11">
        <f>+X12*1.01</f>
        <v>7518.4400000000005</v>
      </c>
      <c r="AC12" s="11">
        <f>+Y12*1.01</f>
        <v>7623.4800000000005</v>
      </c>
      <c r="AD12" s="11">
        <f>+Z12*1.01</f>
        <v>8033.54</v>
      </c>
      <c r="AE12" s="11"/>
      <c r="AN12" s="3">
        <v>17616</v>
      </c>
      <c r="AO12" s="3">
        <v>20010</v>
      </c>
      <c r="AP12" s="3">
        <v>21547</v>
      </c>
      <c r="AQ12" s="3">
        <f t="shared" si="1"/>
        <v>23090</v>
      </c>
      <c r="AR12" s="3">
        <f>SUM(K12:N12)</f>
        <v>31701</v>
      </c>
      <c r="AS12" s="3">
        <f t="shared" si="3"/>
        <v>32780</v>
      </c>
      <c r="AT12" s="3">
        <f t="shared" si="4"/>
        <v>31312</v>
      </c>
      <c r="AU12" s="3">
        <f t="shared" si="5"/>
        <v>30359</v>
      </c>
      <c r="AV12" s="3">
        <f t="shared" si="12"/>
        <v>30662.59</v>
      </c>
      <c r="AW12" s="3">
        <f t="shared" ref="AW12:BA12" si="20">+AV12*1.03</f>
        <v>31582.467700000001</v>
      </c>
      <c r="AX12" s="3">
        <f t="shared" si="20"/>
        <v>32529.941731000003</v>
      </c>
      <c r="AY12" s="3">
        <f t="shared" si="20"/>
        <v>33505.839982930003</v>
      </c>
      <c r="AZ12" s="3">
        <f t="shared" si="20"/>
        <v>34511.015182417905</v>
      </c>
      <c r="BA12" s="3">
        <f t="shared" si="20"/>
        <v>35546.345637890445</v>
      </c>
      <c r="BB12" s="3">
        <f t="shared" si="15"/>
        <v>36612.736007027161</v>
      </c>
      <c r="BC12" s="3">
        <f t="shared" si="16"/>
        <v>37711.118087237977</v>
      </c>
      <c r="BD12" s="3">
        <f t="shared" si="17"/>
        <v>38842.451629855117</v>
      </c>
      <c r="BE12" s="3">
        <f t="shared" si="18"/>
        <v>40007.72517875077</v>
      </c>
      <c r="BF12" s="3">
        <f t="shared" si="19"/>
        <v>41207.956934113296</v>
      </c>
    </row>
    <row r="13" spans="1:58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A13" s="11">
        <f>+W13*1.12</f>
        <v>9060.8000000000011</v>
      </c>
      <c r="AB13" s="11">
        <f>+X13*1.12</f>
        <v>9702.5600000000013</v>
      </c>
      <c r="AC13" s="11">
        <f>+Y13*1.12</f>
        <v>9991.52</v>
      </c>
      <c r="AD13" s="11">
        <f>+Z13*1.12</f>
        <v>11729.76</v>
      </c>
      <c r="AE13" s="11"/>
      <c r="AN13" s="3">
        <v>8150</v>
      </c>
      <c r="AO13" s="3">
        <v>11155</v>
      </c>
      <c r="AP13" s="3">
        <v>15149</v>
      </c>
      <c r="AQ13" s="3">
        <f t="shared" si="1"/>
        <v>19772</v>
      </c>
      <c r="AR13" s="3">
        <f>SUM(K13:N13)</f>
        <v>28845</v>
      </c>
      <c r="AS13" s="3">
        <f t="shared" si="3"/>
        <v>29243</v>
      </c>
      <c r="AT13" s="3">
        <f t="shared" si="4"/>
        <v>31510</v>
      </c>
      <c r="AU13" s="3">
        <f t="shared" si="5"/>
        <v>36147</v>
      </c>
      <c r="AV13" s="3">
        <f t="shared" si="12"/>
        <v>40484.639999999999</v>
      </c>
      <c r="AW13" s="3">
        <f t="shared" ref="AW13:BA13" si="21">+AV13*1.05</f>
        <v>42508.872000000003</v>
      </c>
      <c r="AX13" s="3">
        <f t="shared" si="21"/>
        <v>44634.315600000002</v>
      </c>
      <c r="AY13" s="3">
        <f t="shared" si="21"/>
        <v>46866.03138</v>
      </c>
      <c r="AZ13" s="3">
        <f t="shared" si="21"/>
        <v>49209.332949000003</v>
      </c>
      <c r="BA13" s="3">
        <f t="shared" si="21"/>
        <v>51669.799596450008</v>
      </c>
      <c r="BB13" s="3">
        <f t="shared" ref="BB13:BB14" si="22">+BA13*1.05</f>
        <v>54253.289576272509</v>
      </c>
      <c r="BC13" s="3">
        <f t="shared" ref="BC13:BC14" si="23">+BB13*1.05</f>
        <v>56965.954055086135</v>
      </c>
      <c r="BD13" s="3">
        <f t="shared" ref="BD13:BD14" si="24">+BC13*1.05</f>
        <v>59814.251757840444</v>
      </c>
      <c r="BE13" s="3">
        <f t="shared" ref="BE13:BE14" si="25">+BD13*1.05</f>
        <v>62804.964345732471</v>
      </c>
      <c r="BF13" s="3">
        <f t="shared" ref="BF13:BF14" si="26">+BE13*1.05</f>
        <v>65945.2125630191</v>
      </c>
    </row>
    <row r="14" spans="1:58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A14" s="11">
        <f>+W14*1.11</f>
        <v>51233.16</v>
      </c>
      <c r="AB14" s="11">
        <f t="shared" ref="AB14:AD14" si="27">+X14*1.11</f>
        <v>53844.990000000005</v>
      </c>
      <c r="AC14" s="11">
        <f t="shared" si="27"/>
        <v>54817.350000000006</v>
      </c>
      <c r="AD14" s="11">
        <f t="shared" si="27"/>
        <v>59977.740000000005</v>
      </c>
      <c r="AE14" s="11"/>
      <c r="AN14" s="3">
        <v>69811</v>
      </c>
      <c r="AO14" s="3">
        <v>85296</v>
      </c>
      <c r="AP14" s="3">
        <v>98115</v>
      </c>
      <c r="AQ14" s="3">
        <f t="shared" si="1"/>
        <v>104062</v>
      </c>
      <c r="AR14" s="3">
        <f>SUM(K14:N14)</f>
        <v>148951</v>
      </c>
      <c r="AS14" s="3">
        <f t="shared" si="3"/>
        <v>162450</v>
      </c>
      <c r="AT14" s="3">
        <f t="shared" si="4"/>
        <v>175033</v>
      </c>
      <c r="AU14" s="3">
        <f t="shared" si="5"/>
        <v>198084</v>
      </c>
      <c r="AV14" s="3">
        <f t="shared" si="12"/>
        <v>219873.24</v>
      </c>
      <c r="AW14" s="3">
        <f t="shared" ref="AW14:AX14" si="28">+AV14*1.1</f>
        <v>241860.56400000001</v>
      </c>
      <c r="AX14" s="3">
        <f t="shared" si="28"/>
        <v>266046.62040000001</v>
      </c>
      <c r="AY14" s="3">
        <f>+AX14*1.07</f>
        <v>284669.88382800005</v>
      </c>
      <c r="AZ14" s="3">
        <f>+AY14*1.07</f>
        <v>304596.7756959601</v>
      </c>
      <c r="BA14" s="3">
        <f>+AZ14*1.05</f>
        <v>319826.61448075809</v>
      </c>
      <c r="BB14" s="3">
        <f t="shared" si="22"/>
        <v>335817.94520479598</v>
      </c>
      <c r="BC14" s="3">
        <f t="shared" si="23"/>
        <v>352608.84246503579</v>
      </c>
      <c r="BD14" s="3">
        <f t="shared" si="24"/>
        <v>370239.28458828758</v>
      </c>
      <c r="BE14" s="3">
        <f t="shared" si="25"/>
        <v>388751.248817702</v>
      </c>
      <c r="BF14" s="3">
        <f t="shared" si="26"/>
        <v>408188.81125858711</v>
      </c>
    </row>
    <row r="15" spans="1:58" s="3" customFormat="1" x14ac:dyDescent="0.2">
      <c r="B15" s="3" t="s">
        <v>38</v>
      </c>
      <c r="C15" s="11">
        <f t="shared" ref="C15:G15" si="29">SUM(C11:C14)</f>
        <v>34207</v>
      </c>
      <c r="D15" s="11">
        <f t="shared" si="29"/>
        <v>0</v>
      </c>
      <c r="E15" s="11">
        <f t="shared" si="29"/>
        <v>0</v>
      </c>
      <c r="F15" s="11">
        <f t="shared" si="29"/>
        <v>0</v>
      </c>
      <c r="G15" s="11">
        <f t="shared" si="29"/>
        <v>38198</v>
      </c>
      <c r="H15" s="11">
        <f t="shared" ref="H15" si="30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31">SUM(L11:L14)</f>
        <v>57067</v>
      </c>
      <c r="M15" s="11">
        <f t="shared" ref="M15:Q15" si="32">SUM(M11:M14)</f>
        <v>59884</v>
      </c>
      <c r="N15" s="11">
        <f t="shared" si="32"/>
        <v>69400</v>
      </c>
      <c r="O15" s="11">
        <f t="shared" si="32"/>
        <v>61472</v>
      </c>
      <c r="P15" s="11">
        <f t="shared" si="32"/>
        <v>62841</v>
      </c>
      <c r="Q15" s="11">
        <f t="shared" si="32"/>
        <v>61377</v>
      </c>
      <c r="R15" s="11">
        <f t="shared" ref="R15:Y15" si="33">SUM(R11:R14)</f>
        <v>67838</v>
      </c>
      <c r="S15" s="11">
        <f t="shared" si="33"/>
        <v>61961</v>
      </c>
      <c r="T15" s="11">
        <f t="shared" si="33"/>
        <v>66285</v>
      </c>
      <c r="U15" s="11">
        <f t="shared" si="33"/>
        <v>67986</v>
      </c>
      <c r="V15" s="11">
        <f t="shared" si="33"/>
        <v>76311</v>
      </c>
      <c r="W15" s="11">
        <f t="shared" si="33"/>
        <v>70398</v>
      </c>
      <c r="X15" s="11">
        <f t="shared" si="33"/>
        <v>73928</v>
      </c>
      <c r="Y15" s="11">
        <f t="shared" si="33"/>
        <v>76510</v>
      </c>
      <c r="Z15" s="11">
        <f>SUM(Z11:Z14)</f>
        <v>84094</v>
      </c>
      <c r="AA15" s="11">
        <f>SUM(AA11:AA14)</f>
        <v>77393.990000000005</v>
      </c>
      <c r="AB15" s="11">
        <f>SUM(AB11:AB14)</f>
        <v>81309.19</v>
      </c>
      <c r="AC15" s="11">
        <f>SUM(AC11:AC14)</f>
        <v>84153.950000000012</v>
      </c>
      <c r="AD15" s="11">
        <f>SUM(AD11:AD14)</f>
        <v>92537.34</v>
      </c>
      <c r="AE15" s="11"/>
      <c r="AN15" s="11">
        <f t="shared" ref="AN15:AQ15" si="34">SUM(AN11:AN14)</f>
        <v>106491</v>
      </c>
      <c r="AO15" s="11">
        <f t="shared" si="34"/>
        <v>130524</v>
      </c>
      <c r="AP15" s="11">
        <f t="shared" si="34"/>
        <v>151825</v>
      </c>
      <c r="AQ15" s="11">
        <f t="shared" si="34"/>
        <v>168635</v>
      </c>
      <c r="AR15" s="11">
        <f>SUM(AR11:AR14)</f>
        <v>237529</v>
      </c>
      <c r="AS15" s="11">
        <f>SUM(AS11:AS14)</f>
        <v>253528</v>
      </c>
      <c r="AT15" s="3">
        <f t="shared" si="4"/>
        <v>272543</v>
      </c>
      <c r="AU15" s="3">
        <f t="shared" si="5"/>
        <v>304930</v>
      </c>
      <c r="AV15" s="3">
        <f t="shared" si="12"/>
        <v>335394.46999999997</v>
      </c>
      <c r="AW15" s="11">
        <f t="shared" ref="AW15:BA15" si="35">SUM(AW11:AW14)</f>
        <v>361657.1237</v>
      </c>
      <c r="AX15" s="11">
        <f t="shared" si="35"/>
        <v>390287.25433100003</v>
      </c>
      <c r="AY15" s="11">
        <f t="shared" si="35"/>
        <v>413530.42308893008</v>
      </c>
      <c r="AZ15" s="11">
        <f t="shared" si="35"/>
        <v>438260.45176231803</v>
      </c>
      <c r="BA15" s="11">
        <f t="shared" si="35"/>
        <v>458484.38748808677</v>
      </c>
      <c r="BB15" s="11">
        <f t="shared" ref="BB15:BF15" si="36">SUM(BB11:BB14)</f>
        <v>479668.8473942735</v>
      </c>
      <c r="BC15" s="11">
        <f t="shared" si="36"/>
        <v>501860.3375117231</v>
      </c>
      <c r="BD15" s="11">
        <f t="shared" si="36"/>
        <v>525107.64356747724</v>
      </c>
      <c r="BE15" s="11">
        <f t="shared" si="36"/>
        <v>549461.94360142411</v>
      </c>
      <c r="BF15" s="11">
        <f t="shared" si="36"/>
        <v>574976.92617273564</v>
      </c>
    </row>
    <row r="16" spans="1:58" s="9" customFormat="1" x14ac:dyDescent="0.2">
      <c r="B16" s="9" t="s">
        <v>8</v>
      </c>
      <c r="C16" s="10">
        <f t="shared" ref="C16:G16" si="37">C15+C10+C9+C8</f>
        <v>36339</v>
      </c>
      <c r="D16" s="10">
        <f t="shared" si="37"/>
        <v>0</v>
      </c>
      <c r="E16" s="10">
        <f t="shared" si="37"/>
        <v>0</v>
      </c>
      <c r="F16" s="10">
        <f t="shared" si="37"/>
        <v>0</v>
      </c>
      <c r="G16" s="10">
        <f t="shared" si="37"/>
        <v>41159</v>
      </c>
      <c r="H16" s="10">
        <f t="shared" ref="H16" si="38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39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AD16" si="40">Q15+Q10+Q9+Q8</f>
        <v>69092</v>
      </c>
      <c r="R16" s="10">
        <f>R15+R10+R9+R8</f>
        <v>76048</v>
      </c>
      <c r="S16" s="10">
        <f t="shared" si="40"/>
        <v>69787</v>
      </c>
      <c r="T16" s="10">
        <f t="shared" si="40"/>
        <v>74604</v>
      </c>
      <c r="U16" s="10">
        <f t="shared" si="40"/>
        <v>76693</v>
      </c>
      <c r="V16" s="10">
        <f t="shared" si="40"/>
        <v>86310</v>
      </c>
      <c r="W16" s="10">
        <f t="shared" si="40"/>
        <v>80539</v>
      </c>
      <c r="X16" s="10">
        <f t="shared" si="40"/>
        <v>84742</v>
      </c>
      <c r="Y16" s="10">
        <f t="shared" si="40"/>
        <v>88268</v>
      </c>
      <c r="Z16" s="10">
        <f t="shared" si="40"/>
        <v>96469</v>
      </c>
      <c r="AA16" s="10">
        <f t="shared" si="40"/>
        <v>90335.19</v>
      </c>
      <c r="AB16" s="10">
        <f t="shared" si="40"/>
        <v>95125.290000000008</v>
      </c>
      <c r="AC16" s="10">
        <f t="shared" si="40"/>
        <v>99300.85</v>
      </c>
      <c r="AD16" s="10">
        <f t="shared" si="40"/>
        <v>108478.84</v>
      </c>
      <c r="AE16" s="10"/>
      <c r="AF16" s="10"/>
      <c r="AG16" s="10"/>
      <c r="AH16" s="10"/>
      <c r="AI16" s="10">
        <v>46039</v>
      </c>
      <c r="AJ16" s="10">
        <v>55519</v>
      </c>
      <c r="AK16" s="10">
        <v>66001</v>
      </c>
      <c r="AL16" s="10">
        <v>74989</v>
      </c>
      <c r="AM16" s="10">
        <v>90272</v>
      </c>
      <c r="AN16" s="10">
        <f t="shared" ref="AN16:AQ16" si="41">AN15+AN10+AN9+AN8</f>
        <v>110855</v>
      </c>
      <c r="AO16" s="10">
        <f t="shared" si="41"/>
        <v>136819</v>
      </c>
      <c r="AP16" s="10">
        <f t="shared" si="41"/>
        <v>161857</v>
      </c>
      <c r="AQ16" s="10">
        <f t="shared" si="41"/>
        <v>182527</v>
      </c>
      <c r="AR16" s="10">
        <f>AR15+AR10+AR9+AR8</f>
        <v>257637</v>
      </c>
      <c r="AS16" s="10">
        <f>AS15+AS10+AS9+AS8</f>
        <v>282836</v>
      </c>
      <c r="AT16" s="10">
        <f t="shared" ref="AT16" si="42">AT15+AT10+AT9+AT8</f>
        <v>307394</v>
      </c>
      <c r="AU16" s="10">
        <f>AU15+AU10+AU9+AU8</f>
        <v>350018</v>
      </c>
      <c r="AV16" s="10">
        <f t="shared" ref="AV16" si="43">AV15+AV10+AV9+AV8</f>
        <v>393240.17</v>
      </c>
      <c r="AW16" s="10">
        <f t="shared" ref="AW16" si="44">AW15+AW10+AW9+AW8</f>
        <v>436378.61369999999</v>
      </c>
      <c r="AX16" s="10">
        <f t="shared" ref="AX16" si="45">AX15+AX10+AX9+AX8</f>
        <v>486942.49213100004</v>
      </c>
      <c r="AY16" s="10">
        <f t="shared" ref="AY16" si="46">AY15+AY10+AY9+AY8</f>
        <v>519699.88343693013</v>
      </c>
      <c r="AZ16" s="10">
        <f t="shared" ref="AZ16" si="47">AZ15+AZ10+AZ9+AZ8</f>
        <v>554894.04390079807</v>
      </c>
      <c r="BA16" s="10">
        <f t="shared" ref="BA16:BF16" si="48">BA15+BA10+BA9+BA8</f>
        <v>586626.99645365169</v>
      </c>
      <c r="BB16" s="10">
        <f t="shared" si="48"/>
        <v>620469.83144576405</v>
      </c>
      <c r="BC16" s="10">
        <f t="shared" si="48"/>
        <v>656583.97529962554</v>
      </c>
      <c r="BD16" s="10">
        <f t="shared" si="48"/>
        <v>695144.62601874548</v>
      </c>
      <c r="BE16" s="10">
        <f t="shared" si="48"/>
        <v>736342.01499124034</v>
      </c>
      <c r="BF16" s="10">
        <f t="shared" si="48"/>
        <v>780382.78930188902</v>
      </c>
    </row>
    <row r="17" spans="2:110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>
        <v>40613</v>
      </c>
      <c r="AA17" s="11">
        <f>+AA16-AA19</f>
        <v>37940.779800000004</v>
      </c>
      <c r="AB17" s="11">
        <f>+AB16-AB19</f>
        <v>39952.621800000008</v>
      </c>
      <c r="AC17" s="11">
        <f>+AC16-AC19</f>
        <v>41706.357000000004</v>
      </c>
      <c r="AD17" s="11">
        <f>+AD16-AD19</f>
        <v>45561.112800000003</v>
      </c>
      <c r="AE17" s="11"/>
      <c r="AK17" s="3">
        <v>25691</v>
      </c>
      <c r="AL17" s="3">
        <v>28164</v>
      </c>
      <c r="AM17" s="3">
        <v>35138</v>
      </c>
      <c r="AN17" s="3">
        <v>45583</v>
      </c>
      <c r="AO17" s="3">
        <v>59549</v>
      </c>
      <c r="AP17" s="3">
        <v>71896</v>
      </c>
      <c r="AQ17" s="3">
        <v>84732</v>
      </c>
      <c r="AR17" s="3">
        <v>110939</v>
      </c>
      <c r="AS17" s="3">
        <f>SUM(O17:R17)</f>
        <v>126203</v>
      </c>
      <c r="AT17" s="3">
        <f>+AT16-AT19</f>
        <v>135253.35999999999</v>
      </c>
      <c r="AU17" s="3">
        <f>+AU16-AU19</f>
        <v>146306</v>
      </c>
      <c r="AV17" s="3">
        <f t="shared" ref="AV17:BA17" si="49">+AV16-AV19</f>
        <v>165160.87139999997</v>
      </c>
      <c r="AW17" s="3">
        <f t="shared" si="49"/>
        <v>192006.59002799998</v>
      </c>
      <c r="AX17" s="3">
        <f t="shared" si="49"/>
        <v>214254.69653764</v>
      </c>
      <c r="AY17" s="3">
        <f t="shared" si="49"/>
        <v>228667.94871224923</v>
      </c>
      <c r="AZ17" s="3">
        <f t="shared" si="49"/>
        <v>244153.37931635114</v>
      </c>
      <c r="BA17" s="3">
        <f t="shared" si="49"/>
        <v>258115.87843960669</v>
      </c>
      <c r="BB17" s="3">
        <f t="shared" ref="BB17:BF17" si="50">+BB16-BB19</f>
        <v>273006.72583613615</v>
      </c>
      <c r="BC17" s="3">
        <f t="shared" si="50"/>
        <v>288896.94913183519</v>
      </c>
      <c r="BD17" s="3">
        <f t="shared" si="50"/>
        <v>305863.63544824795</v>
      </c>
      <c r="BE17" s="3">
        <f t="shared" si="50"/>
        <v>323990.48659614573</v>
      </c>
      <c r="BF17" s="3">
        <f t="shared" si="50"/>
        <v>343368.42729283113</v>
      </c>
    </row>
    <row r="18" spans="2:110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  <c r="AA18" s="11" t="s">
        <v>239</v>
      </c>
      <c r="AB18" s="11" t="s">
        <v>239</v>
      </c>
      <c r="AC18" s="11" t="s">
        <v>239</v>
      </c>
      <c r="AD18" s="11" t="s">
        <v>239</v>
      </c>
      <c r="AE18" s="11"/>
    </row>
    <row r="19" spans="2:110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51">H16-H17</f>
        <v>19744</v>
      </c>
      <c r="I19" s="11">
        <f t="shared" ref="I19" si="52">I16-I17</f>
        <v>25056</v>
      </c>
      <c r="J19" s="11">
        <f t="shared" ref="J19:N19" si="53">J16-J17</f>
        <v>30818</v>
      </c>
      <c r="K19" s="11">
        <f t="shared" si="53"/>
        <v>31211</v>
      </c>
      <c r="L19" s="11">
        <f t="shared" si="53"/>
        <v>35653</v>
      </c>
      <c r="M19" s="11">
        <f t="shared" si="53"/>
        <v>37497</v>
      </c>
      <c r="N19" s="11">
        <f t="shared" si="53"/>
        <v>42337</v>
      </c>
      <c r="O19" s="11">
        <f>O16-O17</f>
        <v>38412</v>
      </c>
      <c r="P19" s="11">
        <f t="shared" ref="P19:Q19" si="54">P16-P17</f>
        <v>39581</v>
      </c>
      <c r="Q19" s="11">
        <f t="shared" si="54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55">V16-V17</f>
        <v>48735</v>
      </c>
      <c r="W19" s="11">
        <f t="shared" si="55"/>
        <v>46827</v>
      </c>
      <c r="X19" s="11">
        <f t="shared" si="55"/>
        <v>49235</v>
      </c>
      <c r="Y19" s="11">
        <f>+Y16-Y17</f>
        <v>51794</v>
      </c>
      <c r="Z19" s="11">
        <f>+Z16-Z17</f>
        <v>55856</v>
      </c>
      <c r="AA19" s="11">
        <f>+AA16*0.58</f>
        <v>52394.410199999998</v>
      </c>
      <c r="AB19" s="11">
        <f>+AB16*0.58</f>
        <v>55172.6682</v>
      </c>
      <c r="AC19" s="11">
        <f>+AC16*0.58</f>
        <v>57594.493000000002</v>
      </c>
      <c r="AD19" s="11">
        <f>+AD16*0.58</f>
        <v>62917.727199999994</v>
      </c>
      <c r="AE19" s="11"/>
      <c r="AK19" s="3">
        <f t="shared" ref="AK19:AP19" si="56">+AK16-AK17</f>
        <v>40310</v>
      </c>
      <c r="AL19" s="3">
        <f t="shared" si="56"/>
        <v>46825</v>
      </c>
      <c r="AM19" s="3">
        <f t="shared" si="56"/>
        <v>55134</v>
      </c>
      <c r="AN19" s="3">
        <f t="shared" si="56"/>
        <v>65272</v>
      </c>
      <c r="AO19" s="3">
        <f t="shared" si="56"/>
        <v>77270</v>
      </c>
      <c r="AP19" s="3">
        <f t="shared" si="56"/>
        <v>89961</v>
      </c>
      <c r="AQ19" s="3">
        <f>AQ16-AQ17</f>
        <v>97795</v>
      </c>
      <c r="AR19" s="3">
        <f t="shared" ref="AR19" si="57">AR16-AR17</f>
        <v>146698</v>
      </c>
      <c r="AS19" s="3">
        <f>+AS16-AS17</f>
        <v>156633</v>
      </c>
      <c r="AT19" s="3">
        <f>+AT16*0.56</f>
        <v>172140.64</v>
      </c>
      <c r="AU19" s="3">
        <f>SUM(W19:Z19)</f>
        <v>203712</v>
      </c>
      <c r="AV19" s="3">
        <f>SUM(AA19:AD19)</f>
        <v>228079.29860000001</v>
      </c>
      <c r="AW19" s="3">
        <f t="shared" ref="AW19:BF19" si="58">+AW16*0.56</f>
        <v>244372.02367200001</v>
      </c>
      <c r="AX19" s="3">
        <f t="shared" si="58"/>
        <v>272687.79559336003</v>
      </c>
      <c r="AY19" s="3">
        <f t="shared" si="58"/>
        <v>291031.9347246809</v>
      </c>
      <c r="AZ19" s="3">
        <f t="shared" si="58"/>
        <v>310740.66458444693</v>
      </c>
      <c r="BA19" s="3">
        <f t="shared" si="58"/>
        <v>328511.118014045</v>
      </c>
      <c r="BB19" s="3">
        <f t="shared" si="58"/>
        <v>347463.10560962791</v>
      </c>
      <c r="BC19" s="3">
        <f t="shared" si="58"/>
        <v>367687.02616779035</v>
      </c>
      <c r="BD19" s="3">
        <f t="shared" si="58"/>
        <v>389280.99057049752</v>
      </c>
      <c r="BE19" s="3">
        <f t="shared" si="58"/>
        <v>412351.52839509462</v>
      </c>
      <c r="BF19" s="3">
        <f t="shared" si="58"/>
        <v>437014.36200905789</v>
      </c>
    </row>
    <row r="20" spans="2:110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v>13116</v>
      </c>
      <c r="AA20" s="11">
        <f>+W20*1.05</f>
        <v>12498.15</v>
      </c>
      <c r="AB20" s="11">
        <f t="shared" ref="AB20:AB22" si="59">+X20*1.05</f>
        <v>12453</v>
      </c>
      <c r="AC20" s="11">
        <f t="shared" ref="AC20:AC22" si="60">+Y20*1.05</f>
        <v>13069.35</v>
      </c>
      <c r="AD20" s="11">
        <f t="shared" ref="AD20:AD22" si="61">+Z20*1.05</f>
        <v>13771.800000000001</v>
      </c>
      <c r="AE20" s="11"/>
      <c r="AK20" s="3">
        <v>9832</v>
      </c>
      <c r="AL20" s="3">
        <v>12282</v>
      </c>
      <c r="AM20" s="3">
        <v>13948</v>
      </c>
      <c r="AN20" s="3">
        <v>16625</v>
      </c>
      <c r="AO20" s="3">
        <v>21419</v>
      </c>
      <c r="AP20" s="3">
        <v>26018</v>
      </c>
      <c r="AQ20" s="3">
        <v>27573</v>
      </c>
      <c r="AR20" s="3">
        <v>31562</v>
      </c>
      <c r="AS20" s="3">
        <f t="shared" ref="AS20:AS22" si="62">SUM(O20:R20)</f>
        <v>39500</v>
      </c>
      <c r="AT20" s="3">
        <f>+AS20*1.05</f>
        <v>41475</v>
      </c>
      <c r="AU20" s="3">
        <f>SUM(W20:Z20)</f>
        <v>49326</v>
      </c>
      <c r="AV20" s="3">
        <f t="shared" ref="AV20:AV22" si="63">SUM(AA20:AD20)</f>
        <v>51792.3</v>
      </c>
      <c r="AW20" s="3">
        <f t="shared" ref="AW20:AY20" si="64">+AV20*1.05</f>
        <v>54381.915000000008</v>
      </c>
      <c r="AX20" s="3">
        <f t="shared" si="64"/>
        <v>57101.010750000009</v>
      </c>
      <c r="AY20" s="3">
        <f t="shared" si="64"/>
        <v>59956.061287500008</v>
      </c>
      <c r="AZ20" s="3">
        <f>+AY20*1.03</f>
        <v>61754.743126125009</v>
      </c>
      <c r="BA20" s="3">
        <f t="shared" ref="BA20:BF20" si="65">+AZ20*1.03</f>
        <v>63607.385419908758</v>
      </c>
      <c r="BB20" s="3">
        <f t="shared" si="65"/>
        <v>65515.606982506026</v>
      </c>
      <c r="BC20" s="3">
        <f t="shared" si="65"/>
        <v>67481.075191981203</v>
      </c>
      <c r="BD20" s="3">
        <f t="shared" si="65"/>
        <v>69505.507447740645</v>
      </c>
      <c r="BE20" s="3">
        <f t="shared" si="65"/>
        <v>71590.67267117287</v>
      </c>
      <c r="BF20" s="3">
        <f t="shared" si="65"/>
        <v>73738.392851308061</v>
      </c>
    </row>
    <row r="21" spans="2:110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v>7363</v>
      </c>
      <c r="AA21" s="11">
        <f t="shared" ref="AA21:AA22" si="66">+W21*1.05</f>
        <v>6747.3</v>
      </c>
      <c r="AB21" s="11">
        <f t="shared" si="59"/>
        <v>7131.6</v>
      </c>
      <c r="AC21" s="11">
        <f t="shared" si="60"/>
        <v>7588.35</v>
      </c>
      <c r="AD21" s="11">
        <f t="shared" si="61"/>
        <v>7731.1500000000005</v>
      </c>
      <c r="AE21" s="11"/>
      <c r="AK21" s="3">
        <v>8131</v>
      </c>
      <c r="AL21" s="3">
        <v>9047</v>
      </c>
      <c r="AM21" s="3">
        <v>10485</v>
      </c>
      <c r="AN21" s="3">
        <v>12893</v>
      </c>
      <c r="AO21" s="3">
        <v>16333</v>
      </c>
      <c r="AP21" s="3">
        <v>18464</v>
      </c>
      <c r="AQ21" s="3">
        <v>17946</v>
      </c>
      <c r="AR21" s="3">
        <v>22912</v>
      </c>
      <c r="AS21" s="3">
        <f t="shared" si="62"/>
        <v>26567</v>
      </c>
      <c r="AT21" s="3">
        <f>+AS21*1.05</f>
        <v>27895.350000000002</v>
      </c>
      <c r="AU21" s="3">
        <f>SUM(W21:Z21)</f>
        <v>27808</v>
      </c>
      <c r="AV21" s="3">
        <f t="shared" si="63"/>
        <v>29198.400000000001</v>
      </c>
      <c r="AW21" s="3">
        <f t="shared" ref="AW21:AY21" si="67">+AV21*1.05</f>
        <v>30658.320000000003</v>
      </c>
      <c r="AX21" s="3">
        <f t="shared" si="67"/>
        <v>32191.236000000004</v>
      </c>
      <c r="AY21" s="3">
        <f t="shared" si="67"/>
        <v>33800.797800000008</v>
      </c>
      <c r="AZ21" s="3">
        <f t="shared" ref="AZ21:BF22" si="68">+AY21*1.03</f>
        <v>34814.821734000012</v>
      </c>
      <c r="BA21" s="3">
        <f t="shared" si="68"/>
        <v>35859.266386020012</v>
      </c>
      <c r="BB21" s="3">
        <f t="shared" si="68"/>
        <v>36935.044377600614</v>
      </c>
      <c r="BC21" s="3">
        <f t="shared" si="68"/>
        <v>38043.095708928631</v>
      </c>
      <c r="BD21" s="3">
        <f t="shared" si="68"/>
        <v>39184.388580196493</v>
      </c>
      <c r="BE21" s="3">
        <f t="shared" si="68"/>
        <v>40359.92023760239</v>
      </c>
      <c r="BF21" s="3">
        <f t="shared" si="68"/>
        <v>41570.717844730461</v>
      </c>
    </row>
    <row r="22" spans="2:110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v>4405</v>
      </c>
      <c r="AA22" s="11">
        <f t="shared" si="66"/>
        <v>3177.3</v>
      </c>
      <c r="AB22" s="11">
        <f t="shared" si="59"/>
        <v>3315.9</v>
      </c>
      <c r="AC22" s="11">
        <f t="shared" si="60"/>
        <v>3778.9500000000003</v>
      </c>
      <c r="AD22" s="11">
        <f t="shared" si="61"/>
        <v>4625.25</v>
      </c>
      <c r="AE22" s="11"/>
      <c r="AK22" s="3">
        <v>5851</v>
      </c>
      <c r="AL22" s="3">
        <v>6136</v>
      </c>
      <c r="AM22" s="3">
        <v>6985</v>
      </c>
      <c r="AN22" s="3">
        <v>6872</v>
      </c>
      <c r="AO22" s="3">
        <v>8126</v>
      </c>
      <c r="AP22" s="3">
        <v>9551</v>
      </c>
      <c r="AQ22" s="3">
        <v>11052</v>
      </c>
      <c r="AR22" s="3">
        <v>13510</v>
      </c>
      <c r="AS22" s="3">
        <f t="shared" si="62"/>
        <v>15724</v>
      </c>
      <c r="AT22" s="3">
        <f>+AS22*1.05</f>
        <v>16510.2</v>
      </c>
      <c r="AU22" s="3">
        <f>SUM(W22:Z22)</f>
        <v>14188</v>
      </c>
      <c r="AV22" s="3">
        <f t="shared" si="63"/>
        <v>14897.400000000001</v>
      </c>
      <c r="AW22" s="3">
        <f t="shared" ref="AW22:AY22" si="69">+AV22*1.05</f>
        <v>15642.270000000002</v>
      </c>
      <c r="AX22" s="3">
        <f t="shared" si="69"/>
        <v>16424.383500000004</v>
      </c>
      <c r="AY22" s="3">
        <f t="shared" si="69"/>
        <v>17245.602675000006</v>
      </c>
      <c r="AZ22" s="3">
        <f t="shared" si="68"/>
        <v>17762.970755250008</v>
      </c>
      <c r="BA22" s="3">
        <f t="shared" si="68"/>
        <v>18295.859877907507</v>
      </c>
      <c r="BB22" s="3">
        <f t="shared" si="68"/>
        <v>18844.735674244734</v>
      </c>
      <c r="BC22" s="3">
        <f t="shared" si="68"/>
        <v>19410.077744472077</v>
      </c>
      <c r="BD22" s="3">
        <f t="shared" si="68"/>
        <v>19992.380076806239</v>
      </c>
      <c r="BE22" s="3">
        <f t="shared" si="68"/>
        <v>20592.151479110427</v>
      </c>
      <c r="BF22" s="3">
        <f t="shared" si="68"/>
        <v>21209.91602348374</v>
      </c>
    </row>
    <row r="23" spans="2:110" s="3" customFormat="1" x14ac:dyDescent="0.2">
      <c r="B23" s="3" t="s">
        <v>26</v>
      </c>
      <c r="C23" s="11">
        <f t="shared" ref="C23" si="70">SUM(C20:C22)</f>
        <v>12022</v>
      </c>
      <c r="D23" s="11"/>
      <c r="E23" s="11"/>
      <c r="F23" s="11"/>
      <c r="G23" s="11">
        <f t="shared" ref="G23" si="71">SUM(G20:G22)</f>
        <v>14200</v>
      </c>
      <c r="H23" s="11">
        <f t="shared" ref="H23" si="72">SUM(H20:H22)</f>
        <v>13361</v>
      </c>
      <c r="I23" s="11">
        <f t="shared" ref="I23" si="73">SUM(I20:I22)</f>
        <v>13843</v>
      </c>
      <c r="J23" s="11">
        <f t="shared" ref="J23" si="74">SUM(J20:J22)</f>
        <v>15167</v>
      </c>
      <c r="K23" s="11">
        <f>SUM(K20:K22)</f>
        <v>14774</v>
      </c>
      <c r="L23" s="11">
        <f t="shared" ref="L23:O23" si="75">SUM(L20:L22)</f>
        <v>16292</v>
      </c>
      <c r="M23" s="11">
        <f t="shared" si="75"/>
        <v>16466</v>
      </c>
      <c r="N23" s="11">
        <f t="shared" si="75"/>
        <v>20452</v>
      </c>
      <c r="O23" s="11">
        <f t="shared" si="75"/>
        <v>18318</v>
      </c>
      <c r="P23" s="11">
        <f t="shared" ref="P23:Q23" si="76">SUM(P20:P22)</f>
        <v>20128</v>
      </c>
      <c r="Q23" s="11">
        <f t="shared" si="76"/>
        <v>20799</v>
      </c>
      <c r="R23" s="11">
        <f>SUM(R20:R22)</f>
        <v>22546</v>
      </c>
      <c r="S23" s="11">
        <f t="shared" ref="S23:W23" si="77">SUM(S20:S22)</f>
        <v>21760</v>
      </c>
      <c r="T23" s="11">
        <f>SUM(T20:T22)</f>
        <v>20850</v>
      </c>
      <c r="U23" s="11">
        <f t="shared" si="77"/>
        <v>22121</v>
      </c>
      <c r="V23" s="11">
        <f t="shared" si="77"/>
        <v>25038</v>
      </c>
      <c r="W23" s="11">
        <f t="shared" si="77"/>
        <v>21355</v>
      </c>
      <c r="X23" s="11">
        <f t="shared" ref="X23:Z23" si="78">SUM(X20:X22)</f>
        <v>21810</v>
      </c>
      <c r="Y23" s="11">
        <f t="shared" si="78"/>
        <v>23273</v>
      </c>
      <c r="Z23" s="11">
        <f t="shared" si="78"/>
        <v>24884</v>
      </c>
      <c r="AA23" s="11">
        <f t="shared" ref="AA23:AD23" si="79">SUM(AA20:AA22)</f>
        <v>22422.75</v>
      </c>
      <c r="AB23" s="11">
        <f t="shared" si="79"/>
        <v>22900.5</v>
      </c>
      <c r="AC23" s="11">
        <f t="shared" si="79"/>
        <v>24436.65</v>
      </c>
      <c r="AD23" s="11">
        <f t="shared" si="79"/>
        <v>26128.2</v>
      </c>
      <c r="AE23" s="11"/>
      <c r="AK23" s="3">
        <f>SUM(AK20:AK22)</f>
        <v>23814</v>
      </c>
      <c r="AL23" s="3">
        <f t="shared" ref="AL23:AP23" si="80">SUM(AL20:AL22)</f>
        <v>27465</v>
      </c>
      <c r="AM23" s="3">
        <f t="shared" si="80"/>
        <v>31418</v>
      </c>
      <c r="AN23" s="3">
        <f t="shared" si="80"/>
        <v>36390</v>
      </c>
      <c r="AO23" s="3">
        <f t="shared" si="80"/>
        <v>45878</v>
      </c>
      <c r="AP23" s="3">
        <f t="shared" si="80"/>
        <v>54033</v>
      </c>
      <c r="AQ23" s="3">
        <f>SUM(AQ20:AQ22)</f>
        <v>56571</v>
      </c>
      <c r="AR23" s="3">
        <f t="shared" ref="AR23:AT23" si="81">SUM(AR20:AR22)</f>
        <v>67984</v>
      </c>
      <c r="AS23" s="3">
        <f t="shared" si="81"/>
        <v>81791</v>
      </c>
      <c r="AT23" s="3">
        <f t="shared" si="81"/>
        <v>85880.55</v>
      </c>
      <c r="AU23" s="3">
        <f t="shared" ref="AU23:BA23" si="82">SUM(AU20:AU22)</f>
        <v>91322</v>
      </c>
      <c r="AV23" s="3">
        <f t="shared" si="82"/>
        <v>95888.1</v>
      </c>
      <c r="AW23" s="3">
        <f t="shared" si="82"/>
        <v>100682.50500000002</v>
      </c>
      <c r="AX23" s="3">
        <f t="shared" si="82"/>
        <v>105716.63025000002</v>
      </c>
      <c r="AY23" s="3">
        <f t="shared" si="82"/>
        <v>111002.46176250002</v>
      </c>
      <c r="AZ23" s="3">
        <f t="shared" si="82"/>
        <v>114332.53561537502</v>
      </c>
      <c r="BA23" s="3">
        <f t="shared" si="82"/>
        <v>117762.51168383627</v>
      </c>
      <c r="BB23" s="3">
        <f t="shared" ref="BB23:BF23" si="83">SUM(BB20:BB22)</f>
        <v>121295.38703435137</v>
      </c>
      <c r="BC23" s="3">
        <f t="shared" si="83"/>
        <v>124934.24864538191</v>
      </c>
      <c r="BD23" s="3">
        <f t="shared" si="83"/>
        <v>128682.27610474337</v>
      </c>
      <c r="BE23" s="3">
        <f t="shared" si="83"/>
        <v>132542.74438788567</v>
      </c>
      <c r="BF23" s="3">
        <f t="shared" si="83"/>
        <v>136519.02671952226</v>
      </c>
    </row>
    <row r="24" spans="2:110" s="3" customFormat="1" x14ac:dyDescent="0.2">
      <c r="B24" s="3" t="s">
        <v>27</v>
      </c>
      <c r="C24" s="11">
        <f t="shared" ref="C24" si="84">C19-C23</f>
        <v>8305</v>
      </c>
      <c r="D24" s="11"/>
      <c r="E24" s="11"/>
      <c r="F24" s="11"/>
      <c r="G24" s="11">
        <f t="shared" ref="G24" si="85">G19-G23</f>
        <v>7977</v>
      </c>
      <c r="H24" s="11">
        <f t="shared" ref="H24" si="86">H19-H23</f>
        <v>6383</v>
      </c>
      <c r="I24" s="11">
        <f t="shared" ref="I24" si="87">I19-I23</f>
        <v>11213</v>
      </c>
      <c r="J24" s="11">
        <f t="shared" ref="J24" si="88">J19-J23</f>
        <v>15651</v>
      </c>
      <c r="K24" s="11">
        <f t="shared" ref="K24:N24" si="89">K19-K23</f>
        <v>16437</v>
      </c>
      <c r="L24" s="11">
        <f t="shared" si="89"/>
        <v>19361</v>
      </c>
      <c r="M24" s="11">
        <f t="shared" si="89"/>
        <v>21031</v>
      </c>
      <c r="N24" s="11">
        <f t="shared" si="89"/>
        <v>21885</v>
      </c>
      <c r="O24" s="11">
        <f>O19-O23</f>
        <v>20094</v>
      </c>
      <c r="P24" s="11">
        <f t="shared" ref="P24:R24" si="90">P19-P23</f>
        <v>19453</v>
      </c>
      <c r="Q24" s="11">
        <f t="shared" si="90"/>
        <v>17135</v>
      </c>
      <c r="R24" s="11">
        <f t="shared" si="90"/>
        <v>18160</v>
      </c>
      <c r="S24" s="11">
        <f t="shared" ref="S24:W24" si="91">S19-S23</f>
        <v>17415</v>
      </c>
      <c r="T24" s="11">
        <f>T19-T23</f>
        <v>21838</v>
      </c>
      <c r="U24" s="11">
        <f t="shared" si="91"/>
        <v>21343</v>
      </c>
      <c r="V24" s="11">
        <f t="shared" si="91"/>
        <v>23697</v>
      </c>
      <c r="W24" s="11">
        <f t="shared" si="91"/>
        <v>25472</v>
      </c>
      <c r="X24" s="11">
        <f t="shared" ref="X24:Z24" si="92">X19-X23</f>
        <v>27425</v>
      </c>
      <c r="Y24" s="11">
        <f t="shared" si="92"/>
        <v>28521</v>
      </c>
      <c r="Z24" s="11">
        <f t="shared" si="92"/>
        <v>30972</v>
      </c>
      <c r="AA24" s="11">
        <f t="shared" ref="AA24:AD24" si="93">AA19-AA23</f>
        <v>29971.660199999998</v>
      </c>
      <c r="AB24" s="11">
        <f t="shared" si="93"/>
        <v>32272.1682</v>
      </c>
      <c r="AC24" s="11">
        <f t="shared" si="93"/>
        <v>33157.843000000001</v>
      </c>
      <c r="AD24" s="11">
        <f t="shared" si="93"/>
        <v>36789.527199999997</v>
      </c>
      <c r="AE24" s="11"/>
      <c r="AK24" s="3">
        <f>AK19-AK23</f>
        <v>16496</v>
      </c>
      <c r="AL24" s="3">
        <f t="shared" ref="AL24:AP24" si="94">AL19-AL23</f>
        <v>19360</v>
      </c>
      <c r="AM24" s="3">
        <f t="shared" si="94"/>
        <v>23716</v>
      </c>
      <c r="AN24" s="3">
        <f t="shared" si="94"/>
        <v>28882</v>
      </c>
      <c r="AO24" s="3">
        <f t="shared" si="94"/>
        <v>31392</v>
      </c>
      <c r="AP24" s="3">
        <f t="shared" si="94"/>
        <v>35928</v>
      </c>
      <c r="AQ24" s="3">
        <f>AQ19-AQ23</f>
        <v>41224</v>
      </c>
      <c r="AR24" s="3">
        <f t="shared" ref="AR24:AT24" si="95">AR19-AR23</f>
        <v>78714</v>
      </c>
      <c r="AS24" s="3">
        <f t="shared" si="95"/>
        <v>74842</v>
      </c>
      <c r="AT24" s="3">
        <f t="shared" si="95"/>
        <v>86260.090000000011</v>
      </c>
      <c r="AU24" s="3">
        <f t="shared" ref="AU24:BA24" si="96">AU19-AU23</f>
        <v>112390</v>
      </c>
      <c r="AV24" s="3">
        <f t="shared" si="96"/>
        <v>132191.1986</v>
      </c>
      <c r="AW24" s="3">
        <f t="shared" si="96"/>
        <v>143689.51867199998</v>
      </c>
      <c r="AX24" s="3">
        <f t="shared" si="96"/>
        <v>166971.16534336001</v>
      </c>
      <c r="AY24" s="3">
        <f t="shared" si="96"/>
        <v>180029.47296218088</v>
      </c>
      <c r="AZ24" s="3">
        <f t="shared" si="96"/>
        <v>196408.1289690719</v>
      </c>
      <c r="BA24" s="3">
        <f t="shared" si="96"/>
        <v>210748.60633020871</v>
      </c>
      <c r="BB24" s="3">
        <f t="shared" ref="BB24:BF24" si="97">BB19-BB23</f>
        <v>226167.71857527655</v>
      </c>
      <c r="BC24" s="3">
        <f t="shared" si="97"/>
        <v>242752.77752240843</v>
      </c>
      <c r="BD24" s="3">
        <f t="shared" si="97"/>
        <v>260598.71446575416</v>
      </c>
      <c r="BE24" s="3">
        <f t="shared" si="97"/>
        <v>279808.78400720895</v>
      </c>
      <c r="BF24" s="3">
        <f t="shared" si="97"/>
        <v>300495.33528953564</v>
      </c>
    </row>
    <row r="25" spans="2:110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f>715-586+115</f>
        <v>244</v>
      </c>
      <c r="W25" s="11">
        <v>2843</v>
      </c>
      <c r="X25" s="11">
        <v>126</v>
      </c>
      <c r="Y25" s="11">
        <v>0</v>
      </c>
      <c r="Z25" s="11">
        <f>1271-364+431</f>
        <v>1338</v>
      </c>
      <c r="AA25" s="11">
        <f>+W25</f>
        <v>2843</v>
      </c>
      <c r="AB25" s="11">
        <f>+X25</f>
        <v>126</v>
      </c>
      <c r="AC25" s="11">
        <f>+Y25</f>
        <v>0</v>
      </c>
      <c r="AD25" s="11">
        <f>+Z25</f>
        <v>1338</v>
      </c>
      <c r="AE25" s="11"/>
      <c r="AK25" s="3">
        <v>763</v>
      </c>
      <c r="AL25" s="3">
        <v>291</v>
      </c>
      <c r="AM25" s="3">
        <v>434</v>
      </c>
      <c r="AN25" s="3">
        <v>1047</v>
      </c>
      <c r="AO25" s="3">
        <v>8592</v>
      </c>
      <c r="AP25" s="3">
        <v>5394</v>
      </c>
      <c r="AQ25" s="3">
        <v>6858</v>
      </c>
      <c r="AR25" s="3">
        <v>12020</v>
      </c>
      <c r="AS25" s="3">
        <f t="shared" ref="AS25:AS27" si="98">SUM(O25:R25)</f>
        <v>-3514</v>
      </c>
      <c r="AT25" s="3">
        <f>+AS43*$BI$36</f>
        <v>3886.5899999999997</v>
      </c>
      <c r="AU25" s="3">
        <f>SUM(W25:Z25)</f>
        <v>4307</v>
      </c>
      <c r="AV25" s="3">
        <f t="shared" ref="AV25:AV27" si="99">SUM(AA25:AD25)</f>
        <v>4307</v>
      </c>
      <c r="AW25" s="3">
        <f t="shared" ref="AW25:BF25" si="100">+AV43*$BI$36</f>
        <v>7040.5356855600003</v>
      </c>
      <c r="AX25" s="3">
        <f t="shared" si="100"/>
        <v>10748.495022755975</v>
      </c>
      <c r="AY25" s="3">
        <f t="shared" si="100"/>
        <v>15120.398667762427</v>
      </c>
      <c r="AZ25" s="3">
        <f t="shared" si="100"/>
        <v>19921.085509859033</v>
      </c>
      <c r="BA25" s="3">
        <f t="shared" si="100"/>
        <v>25242.784186040732</v>
      </c>
      <c r="BB25" s="3">
        <f t="shared" si="100"/>
        <v>31048.172392740471</v>
      </c>
      <c r="BC25" s="3">
        <f t="shared" si="100"/>
        <v>37375.683310553693</v>
      </c>
      <c r="BD25" s="3">
        <f t="shared" si="100"/>
        <v>44266.843447044557</v>
      </c>
      <c r="BE25" s="3">
        <f t="shared" si="100"/>
        <v>51766.536171699408</v>
      </c>
      <c r="BF25" s="3">
        <f t="shared" si="100"/>
        <v>59923.289048100552</v>
      </c>
    </row>
    <row r="26" spans="2:110" s="3" customFormat="1" x14ac:dyDescent="0.2">
      <c r="B26" s="3" t="s">
        <v>29</v>
      </c>
      <c r="C26" s="11">
        <f t="shared" ref="C26" si="101">C24+C25</f>
        <v>9843</v>
      </c>
      <c r="D26" s="11"/>
      <c r="E26" s="11"/>
      <c r="F26" s="11"/>
      <c r="G26" s="11">
        <f t="shared" ref="G26" si="102">G24+G25</f>
        <v>7757</v>
      </c>
      <c r="H26" s="11">
        <f t="shared" ref="H26" si="103">H24+H25</f>
        <v>8277</v>
      </c>
      <c r="I26" s="11">
        <f t="shared" ref="I26" si="104">I24+I25</f>
        <v>13359</v>
      </c>
      <c r="J26" s="11">
        <f t="shared" ref="J26" si="105">J24+J25</f>
        <v>18689</v>
      </c>
      <c r="K26" s="11">
        <f>K24+K25</f>
        <v>21283</v>
      </c>
      <c r="L26" s="11">
        <f t="shared" ref="L26:O26" si="106">L24+L25</f>
        <v>21625</v>
      </c>
      <c r="M26" s="11">
        <f t="shared" si="106"/>
        <v>23064</v>
      </c>
      <c r="N26" s="11">
        <f t="shared" si="106"/>
        <v>24402</v>
      </c>
      <c r="O26" s="11">
        <f t="shared" si="106"/>
        <v>18934</v>
      </c>
      <c r="P26" s="11">
        <f t="shared" ref="P26:AD26" si="107">P24+P25</f>
        <v>19014</v>
      </c>
      <c r="Q26" s="11">
        <f t="shared" si="107"/>
        <v>16233</v>
      </c>
      <c r="R26" s="11">
        <f t="shared" si="107"/>
        <v>17147</v>
      </c>
      <c r="S26" s="11">
        <f t="shared" si="107"/>
        <v>18205</v>
      </c>
      <c r="T26" s="11">
        <f t="shared" si="107"/>
        <v>21903</v>
      </c>
      <c r="U26" s="11">
        <f t="shared" si="107"/>
        <v>21197</v>
      </c>
      <c r="V26" s="11">
        <f t="shared" si="107"/>
        <v>23941</v>
      </c>
      <c r="W26" s="11">
        <f t="shared" si="107"/>
        <v>28315</v>
      </c>
      <c r="X26" s="11">
        <f t="shared" si="107"/>
        <v>27551</v>
      </c>
      <c r="Y26" s="11">
        <f t="shared" si="107"/>
        <v>28521</v>
      </c>
      <c r="Z26" s="11">
        <f t="shared" si="107"/>
        <v>32310</v>
      </c>
      <c r="AA26" s="11">
        <f t="shared" si="107"/>
        <v>32814.660199999998</v>
      </c>
      <c r="AB26" s="11">
        <f t="shared" si="107"/>
        <v>32398.1682</v>
      </c>
      <c r="AC26" s="11">
        <f t="shared" si="107"/>
        <v>33157.843000000001</v>
      </c>
      <c r="AD26" s="11">
        <f t="shared" si="107"/>
        <v>38127.527199999997</v>
      </c>
      <c r="AE26" s="11"/>
      <c r="AK26" s="3">
        <f t="shared" ref="AK26:AP26" si="108">+AK24+AK25</f>
        <v>17259</v>
      </c>
      <c r="AL26" s="3">
        <f t="shared" si="108"/>
        <v>19651</v>
      </c>
      <c r="AM26" s="3">
        <f t="shared" si="108"/>
        <v>24150</v>
      </c>
      <c r="AN26" s="3">
        <f t="shared" si="108"/>
        <v>29929</v>
      </c>
      <c r="AO26" s="3">
        <f t="shared" si="108"/>
        <v>39984</v>
      </c>
      <c r="AP26" s="3">
        <f t="shared" si="108"/>
        <v>41322</v>
      </c>
      <c r="AQ26" s="3">
        <f>AQ24+AQ25</f>
        <v>48082</v>
      </c>
      <c r="AR26" s="3">
        <f t="shared" ref="AR26:AT26" si="109">AR24+AR25</f>
        <v>90734</v>
      </c>
      <c r="AS26" s="3">
        <f t="shared" si="109"/>
        <v>71328</v>
      </c>
      <c r="AT26" s="3">
        <f t="shared" si="109"/>
        <v>90146.680000000008</v>
      </c>
      <c r="AU26" s="3">
        <f t="shared" ref="AU26:BF26" si="110">AU24+AU25</f>
        <v>116697</v>
      </c>
      <c r="AV26" s="3">
        <f t="shared" si="110"/>
        <v>136498.1986</v>
      </c>
      <c r="AW26" s="3">
        <f t="shared" si="110"/>
        <v>150730.05435755997</v>
      </c>
      <c r="AX26" s="3">
        <f t="shared" si="110"/>
        <v>177719.66036611598</v>
      </c>
      <c r="AY26" s="3">
        <f t="shared" si="110"/>
        <v>195149.87162994331</v>
      </c>
      <c r="AZ26" s="3">
        <f t="shared" si="110"/>
        <v>216329.21447893092</v>
      </c>
      <c r="BA26" s="3">
        <f t="shared" si="110"/>
        <v>235991.39051624943</v>
      </c>
      <c r="BB26" s="3">
        <f t="shared" si="110"/>
        <v>257215.89096801702</v>
      </c>
      <c r="BC26" s="3">
        <f t="shared" si="110"/>
        <v>280128.46083296213</v>
      </c>
      <c r="BD26" s="3">
        <f t="shared" si="110"/>
        <v>304865.55791279871</v>
      </c>
      <c r="BE26" s="3">
        <f t="shared" si="110"/>
        <v>331575.32017890835</v>
      </c>
      <c r="BF26" s="3">
        <f t="shared" si="110"/>
        <v>360418.62433763617</v>
      </c>
    </row>
    <row r="27" spans="2:110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v>5707</v>
      </c>
      <c r="AA27" s="11">
        <f>+AA26*0.18</f>
        <v>5906.6388359999992</v>
      </c>
      <c r="AB27" s="11">
        <f>+AB26*0.18</f>
        <v>5831.6702759999998</v>
      </c>
      <c r="AC27" s="11">
        <f>+AC26*0.18</f>
        <v>5968.4117399999996</v>
      </c>
      <c r="AD27" s="11">
        <f>+AD26*0.18</f>
        <v>6862.9548959999993</v>
      </c>
      <c r="AE27" s="11"/>
      <c r="AK27" s="3">
        <v>3639</v>
      </c>
      <c r="AL27" s="3">
        <v>3303</v>
      </c>
      <c r="AM27" s="3">
        <v>4672</v>
      </c>
      <c r="AN27" s="3">
        <v>14531</v>
      </c>
      <c r="AO27" s="3">
        <v>4177</v>
      </c>
      <c r="AP27" s="3">
        <v>5282</v>
      </c>
      <c r="AQ27" s="3">
        <v>7813</v>
      </c>
      <c r="AR27" s="3">
        <v>14701</v>
      </c>
      <c r="AS27" s="3">
        <f t="shared" si="98"/>
        <v>11356</v>
      </c>
      <c r="AT27" s="3">
        <f>+AT26*0.18</f>
        <v>16226.402400000001</v>
      </c>
      <c r="AU27" s="3">
        <f>SUM(W27:Z27)</f>
        <v>19697</v>
      </c>
      <c r="AV27" s="3">
        <f t="shared" si="99"/>
        <v>24569.675747999998</v>
      </c>
      <c r="AW27" s="3">
        <f t="shared" ref="AW27:BF27" si="111">+AW26*0.18</f>
        <v>27131.409784360792</v>
      </c>
      <c r="AX27" s="3">
        <f t="shared" si="111"/>
        <v>31989.538865900875</v>
      </c>
      <c r="AY27" s="3">
        <f t="shared" si="111"/>
        <v>35126.976893389794</v>
      </c>
      <c r="AZ27" s="3">
        <f t="shared" si="111"/>
        <v>38939.258606207564</v>
      </c>
      <c r="BA27" s="3">
        <f t="shared" si="111"/>
        <v>42478.450292924899</v>
      </c>
      <c r="BB27" s="3">
        <f t="shared" si="111"/>
        <v>46298.860374243064</v>
      </c>
      <c r="BC27" s="3">
        <f t="shared" si="111"/>
        <v>50423.122949933182</v>
      </c>
      <c r="BD27" s="3">
        <f t="shared" si="111"/>
        <v>54875.800424303765</v>
      </c>
      <c r="BE27" s="3">
        <f t="shared" si="111"/>
        <v>59683.557632203505</v>
      </c>
      <c r="BF27" s="3">
        <f t="shared" si="111"/>
        <v>64875.352380774508</v>
      </c>
    </row>
    <row r="28" spans="2:110" s="3" customFormat="1" x14ac:dyDescent="0.2">
      <c r="B28" s="3" t="s">
        <v>31</v>
      </c>
      <c r="C28" s="11">
        <f t="shared" ref="C28" si="112">C26-C27</f>
        <v>8354</v>
      </c>
      <c r="D28" s="11"/>
      <c r="E28" s="11"/>
      <c r="F28" s="11"/>
      <c r="G28" s="11">
        <f t="shared" ref="G28" si="113">G26-G27</f>
        <v>6836</v>
      </c>
      <c r="H28" s="11">
        <f t="shared" ref="H28" si="114">H26-H27</f>
        <v>6959</v>
      </c>
      <c r="I28" s="11">
        <f t="shared" ref="I28" si="115">I26-I27</f>
        <v>11247</v>
      </c>
      <c r="J28" s="11">
        <f t="shared" ref="J28" si="116">J26-J27</f>
        <v>15227</v>
      </c>
      <c r="K28" s="11">
        <f>K26-K27</f>
        <v>17930</v>
      </c>
      <c r="L28" s="11">
        <f t="shared" ref="L28:O28" si="117">L26-L27</f>
        <v>18165</v>
      </c>
      <c r="M28" s="11">
        <f t="shared" si="117"/>
        <v>18936</v>
      </c>
      <c r="N28" s="11">
        <f t="shared" si="117"/>
        <v>20642</v>
      </c>
      <c r="O28" s="11">
        <f t="shared" si="117"/>
        <v>16436</v>
      </c>
      <c r="P28" s="11">
        <f t="shared" ref="P28:AD28" si="118">P26-P27</f>
        <v>16002</v>
      </c>
      <c r="Q28" s="11">
        <f t="shared" si="118"/>
        <v>13910</v>
      </c>
      <c r="R28" s="11">
        <f t="shared" si="118"/>
        <v>13624</v>
      </c>
      <c r="S28" s="11">
        <f t="shared" si="118"/>
        <v>15051</v>
      </c>
      <c r="T28" s="11">
        <f t="shared" si="118"/>
        <v>18368</v>
      </c>
      <c r="U28" s="11">
        <f t="shared" si="118"/>
        <v>19689</v>
      </c>
      <c r="V28" s="11">
        <f t="shared" si="118"/>
        <v>20216</v>
      </c>
      <c r="W28" s="11">
        <f t="shared" si="118"/>
        <v>23662</v>
      </c>
      <c r="X28" s="11">
        <f t="shared" si="118"/>
        <v>23619</v>
      </c>
      <c r="Y28" s="11">
        <f t="shared" si="118"/>
        <v>23116</v>
      </c>
      <c r="Z28" s="11">
        <f t="shared" si="118"/>
        <v>26603</v>
      </c>
      <c r="AA28" s="11">
        <f t="shared" si="118"/>
        <v>26908.021364</v>
      </c>
      <c r="AB28" s="11">
        <f t="shared" si="118"/>
        <v>26566.497923999999</v>
      </c>
      <c r="AC28" s="11">
        <f t="shared" si="118"/>
        <v>27189.431260000001</v>
      </c>
      <c r="AD28" s="11">
        <f t="shared" si="118"/>
        <v>31264.572303999998</v>
      </c>
      <c r="AE28" s="11"/>
      <c r="AK28" s="3">
        <f t="shared" ref="AK28:AP28" si="119">+AK26-AK27</f>
        <v>13620</v>
      </c>
      <c r="AL28" s="3">
        <f t="shared" si="119"/>
        <v>16348</v>
      </c>
      <c r="AM28" s="3">
        <f t="shared" si="119"/>
        <v>19478</v>
      </c>
      <c r="AN28" s="3">
        <f t="shared" si="119"/>
        <v>15398</v>
      </c>
      <c r="AO28" s="3">
        <f t="shared" si="119"/>
        <v>35807</v>
      </c>
      <c r="AP28" s="3">
        <f t="shared" si="119"/>
        <v>36040</v>
      </c>
      <c r="AQ28" s="3">
        <f>AQ26-AQ27</f>
        <v>40269</v>
      </c>
      <c r="AR28" s="3">
        <f t="shared" ref="AR28:AT28" si="120">AR26-AR27</f>
        <v>76033</v>
      </c>
      <c r="AS28" s="3">
        <f t="shared" si="120"/>
        <v>59972</v>
      </c>
      <c r="AT28" s="3">
        <f t="shared" si="120"/>
        <v>73920.277600000001</v>
      </c>
      <c r="AU28" s="3">
        <f t="shared" ref="AU28:BF28" si="121">AU26-AU27</f>
        <v>97000</v>
      </c>
      <c r="AV28" s="3">
        <f t="shared" si="121"/>
        <v>111928.52285200001</v>
      </c>
      <c r="AW28" s="3">
        <f t="shared" si="121"/>
        <v>123598.64457319918</v>
      </c>
      <c r="AX28" s="3">
        <f t="shared" si="121"/>
        <v>145730.12150021509</v>
      </c>
      <c r="AY28" s="3">
        <f t="shared" si="121"/>
        <v>160022.89473655351</v>
      </c>
      <c r="AZ28" s="3">
        <f t="shared" si="121"/>
        <v>177389.95587272337</v>
      </c>
      <c r="BA28" s="3">
        <f t="shared" si="121"/>
        <v>193512.94022332452</v>
      </c>
      <c r="BB28" s="3">
        <f t="shared" si="121"/>
        <v>210917.03059377396</v>
      </c>
      <c r="BC28" s="3">
        <f t="shared" si="121"/>
        <v>229705.33788302896</v>
      </c>
      <c r="BD28" s="3">
        <f t="shared" si="121"/>
        <v>249989.75748849494</v>
      </c>
      <c r="BE28" s="3">
        <f t="shared" si="121"/>
        <v>271891.76254670485</v>
      </c>
      <c r="BF28" s="3">
        <f t="shared" si="121"/>
        <v>295543.27195686166</v>
      </c>
      <c r="BG28" s="3">
        <f t="shared" ref="BG28:CL28" si="122">+BF28*(1+$BI$34)</f>
        <v>301454.13739599887</v>
      </c>
      <c r="BH28" s="3">
        <f t="shared" si="122"/>
        <v>307483.22014391888</v>
      </c>
      <c r="BI28" s="3">
        <f t="shared" si="122"/>
        <v>313632.88454679726</v>
      </c>
      <c r="BJ28" s="3">
        <f t="shared" si="122"/>
        <v>319905.5422377332</v>
      </c>
      <c r="BK28" s="3">
        <f t="shared" si="122"/>
        <v>326303.65308248787</v>
      </c>
      <c r="BL28" s="3">
        <f t="shared" si="122"/>
        <v>332829.72614413762</v>
      </c>
      <c r="BM28" s="3">
        <f t="shared" si="122"/>
        <v>339486.32066702039</v>
      </c>
      <c r="BN28" s="3">
        <f t="shared" si="122"/>
        <v>346276.04708036082</v>
      </c>
      <c r="BO28" s="3">
        <f t="shared" si="122"/>
        <v>353201.56802196807</v>
      </c>
      <c r="BP28" s="3">
        <f t="shared" si="122"/>
        <v>360265.59938240744</v>
      </c>
      <c r="BQ28" s="3">
        <f t="shared" si="122"/>
        <v>367470.91137005558</v>
      </c>
      <c r="BR28" s="3">
        <f t="shared" si="122"/>
        <v>374820.32959745667</v>
      </c>
      <c r="BS28" s="3">
        <f t="shared" si="122"/>
        <v>382316.73618940578</v>
      </c>
      <c r="BT28" s="3">
        <f t="shared" si="122"/>
        <v>389963.07091319392</v>
      </c>
      <c r="BU28" s="3">
        <f t="shared" si="122"/>
        <v>397762.33233145782</v>
      </c>
      <c r="BV28" s="3">
        <f t="shared" si="122"/>
        <v>405717.578978087</v>
      </c>
      <c r="BW28" s="3">
        <f t="shared" si="122"/>
        <v>413831.93055764877</v>
      </c>
      <c r="BX28" s="3">
        <f t="shared" si="122"/>
        <v>422108.56916880177</v>
      </c>
      <c r="BY28" s="3">
        <f t="shared" si="122"/>
        <v>430550.74055217783</v>
      </c>
      <c r="BZ28" s="3">
        <f t="shared" si="122"/>
        <v>439161.7553632214</v>
      </c>
      <c r="CA28" s="3">
        <f t="shared" si="122"/>
        <v>447944.99047048582</v>
      </c>
      <c r="CB28" s="3">
        <f t="shared" si="122"/>
        <v>456903.89027989557</v>
      </c>
      <c r="CC28" s="3">
        <f t="shared" si="122"/>
        <v>466041.96808549348</v>
      </c>
      <c r="CD28" s="3">
        <f t="shared" si="122"/>
        <v>475362.80744720338</v>
      </c>
      <c r="CE28" s="3">
        <f t="shared" si="122"/>
        <v>484870.06359614746</v>
      </c>
      <c r="CF28" s="3">
        <f t="shared" si="122"/>
        <v>494567.46486807044</v>
      </c>
      <c r="CG28" s="3">
        <f t="shared" si="122"/>
        <v>504458.81416543183</v>
      </c>
      <c r="CH28" s="3">
        <f t="shared" si="122"/>
        <v>514547.99044874049</v>
      </c>
      <c r="CI28" s="3">
        <f t="shared" si="122"/>
        <v>524838.9502577153</v>
      </c>
      <c r="CJ28" s="3">
        <f t="shared" si="122"/>
        <v>535335.72926286957</v>
      </c>
      <c r="CK28" s="3">
        <f t="shared" si="122"/>
        <v>546042.44384812692</v>
      </c>
      <c r="CL28" s="3">
        <f t="shared" si="122"/>
        <v>556963.29272508947</v>
      </c>
      <c r="CM28" s="3">
        <f t="shared" ref="CM28:DF28" si="123">+CL28*(1+$BI$34)</f>
        <v>568102.55857959122</v>
      </c>
      <c r="CN28" s="3">
        <f t="shared" si="123"/>
        <v>579464.60975118307</v>
      </c>
      <c r="CO28" s="3">
        <f t="shared" si="123"/>
        <v>591053.90194620669</v>
      </c>
      <c r="CP28" s="3">
        <f t="shared" si="123"/>
        <v>602874.97998513083</v>
      </c>
      <c r="CQ28" s="3">
        <f t="shared" si="123"/>
        <v>614932.47958483349</v>
      </c>
      <c r="CR28" s="3">
        <f t="shared" si="123"/>
        <v>627231.12917653017</v>
      </c>
      <c r="CS28" s="3">
        <f t="shared" si="123"/>
        <v>639775.75176006078</v>
      </c>
      <c r="CT28" s="3">
        <f t="shared" si="123"/>
        <v>652571.266795262</v>
      </c>
      <c r="CU28" s="3">
        <f t="shared" si="123"/>
        <v>665622.69213116728</v>
      </c>
      <c r="CV28" s="3">
        <f t="shared" si="123"/>
        <v>678935.14597379067</v>
      </c>
      <c r="CW28" s="3">
        <f t="shared" si="123"/>
        <v>692513.84889326652</v>
      </c>
      <c r="CX28" s="3">
        <f t="shared" si="123"/>
        <v>706364.1258711319</v>
      </c>
      <c r="CY28" s="3">
        <f t="shared" si="123"/>
        <v>720491.40838855458</v>
      </c>
      <c r="CZ28" s="3">
        <f t="shared" si="123"/>
        <v>734901.23655632569</v>
      </c>
      <c r="DA28" s="3">
        <f t="shared" si="123"/>
        <v>749599.26128745219</v>
      </c>
      <c r="DB28" s="3">
        <f t="shared" si="123"/>
        <v>764591.24651320127</v>
      </c>
      <c r="DC28" s="3">
        <f t="shared" si="123"/>
        <v>779883.07144346531</v>
      </c>
      <c r="DD28" s="3">
        <f t="shared" si="123"/>
        <v>795480.73287233466</v>
      </c>
      <c r="DE28" s="3">
        <f t="shared" si="123"/>
        <v>811390.3475297814</v>
      </c>
      <c r="DF28" s="3">
        <f t="shared" si="123"/>
        <v>827618.1544803771</v>
      </c>
    </row>
    <row r="29" spans="2:110" s="7" customFormat="1" x14ac:dyDescent="0.2">
      <c r="B29" s="9" t="s">
        <v>32</v>
      </c>
      <c r="C29" s="14">
        <f t="shared" ref="C29" si="124">C28/C30</f>
        <v>11.919318455824756</v>
      </c>
      <c r="D29" s="14"/>
      <c r="E29" s="14"/>
      <c r="F29" s="14"/>
      <c r="G29" s="14">
        <f t="shared" ref="G29" si="125">G28/G30</f>
        <v>9.8748026411774639</v>
      </c>
      <c r="H29" s="14">
        <f t="shared" ref="H29" si="126">H28/H30</f>
        <v>10.129194904399265</v>
      </c>
      <c r="I29" s="14">
        <f t="shared" ref="I29" si="127">I28/I30</f>
        <v>16.398605528022852</v>
      </c>
      <c r="J29" s="14">
        <f t="shared" ref="J29" si="128">J28/J30</f>
        <v>22.295301836540162</v>
      </c>
      <c r="K29" s="14">
        <f t="shared" ref="K29:N29" si="129">K28/K30</f>
        <v>26.287585896482916</v>
      </c>
      <c r="L29" s="14">
        <f t="shared" si="129"/>
        <v>1.3364479105356091</v>
      </c>
      <c r="M29" s="14">
        <f t="shared" si="129"/>
        <v>27.990344690984287</v>
      </c>
      <c r="N29" s="14">
        <f t="shared" si="129"/>
        <v>30.69474329100823</v>
      </c>
      <c r="O29" s="14">
        <f>O28/O30</f>
        <v>24.621339792764896</v>
      </c>
      <c r="P29" s="14">
        <f t="shared" ref="P29:AD29" si="130">P28/P30</f>
        <v>1.2087015635622025</v>
      </c>
      <c r="Q29" s="14">
        <f t="shared" si="130"/>
        <v>1.0620752844162786</v>
      </c>
      <c r="R29" s="14">
        <f t="shared" si="130"/>
        <v>1.0522901058160192</v>
      </c>
      <c r="S29" s="14">
        <f t="shared" si="130"/>
        <v>1.1737502924432659</v>
      </c>
      <c r="T29" s="14">
        <f t="shared" si="130"/>
        <v>1.4544302795154012</v>
      </c>
      <c r="U29" s="14">
        <f t="shared" si="130"/>
        <v>1.5508034026465027</v>
      </c>
      <c r="V29" s="14">
        <f t="shared" si="130"/>
        <v>1.6041898111410886</v>
      </c>
      <c r="W29" s="14">
        <f t="shared" si="130"/>
        <v>1.8888800191586175</v>
      </c>
      <c r="X29" s="14">
        <f t="shared" si="130"/>
        <v>1.8902761104441776</v>
      </c>
      <c r="Y29" s="14">
        <f t="shared" si="130"/>
        <v>1.8613414928738223</v>
      </c>
      <c r="Z29" s="14">
        <f t="shared" si="130"/>
        <v>2.1544379656624555</v>
      </c>
      <c r="AA29" s="14">
        <f t="shared" si="130"/>
        <v>2.179140052154195</v>
      </c>
      <c r="AB29" s="14">
        <f t="shared" si="130"/>
        <v>2.1514818532555879</v>
      </c>
      <c r="AC29" s="14">
        <f t="shared" si="130"/>
        <v>2.2019299692257857</v>
      </c>
      <c r="AD29" s="14">
        <f t="shared" si="130"/>
        <v>2.531954349206349</v>
      </c>
      <c r="AE29" s="14"/>
      <c r="AQ29" s="17">
        <f>AQ28/AQ30</f>
        <v>58.613331625494155</v>
      </c>
      <c r="AR29" s="17">
        <f>AR28/AR30</f>
        <v>112.19701508394893</v>
      </c>
      <c r="AS29" s="17">
        <f>AS28/AS30</f>
        <v>4.5799964361174039</v>
      </c>
      <c r="AT29" s="17">
        <f>AT28/AT30</f>
        <v>5.8262287763546796</v>
      </c>
      <c r="AU29" s="17">
        <f t="shared" ref="AU29:BA29" si="131">AU28/AU30</f>
        <v>7.8555231616456105</v>
      </c>
      <c r="AV29" s="17">
        <f t="shared" si="131"/>
        <v>9.064506223841919</v>
      </c>
      <c r="AW29" s="17">
        <f t="shared" si="131"/>
        <v>10.009608404049173</v>
      </c>
      <c r="AX29" s="17">
        <f t="shared" si="131"/>
        <v>11.801921080354315</v>
      </c>
      <c r="AY29" s="17">
        <f t="shared" si="131"/>
        <v>12.959418103057459</v>
      </c>
      <c r="AZ29" s="17">
        <f t="shared" si="131"/>
        <v>14.365885639190425</v>
      </c>
      <c r="BA29" s="17">
        <f t="shared" si="131"/>
        <v>15.671601896932662</v>
      </c>
      <c r="BB29" s="17">
        <f t="shared" ref="BB29:BF29" si="132">BB28/BB30</f>
        <v>17.081068237267086</v>
      </c>
      <c r="BC29" s="17">
        <f t="shared" si="132"/>
        <v>18.602635073131598</v>
      </c>
      <c r="BD29" s="17">
        <f t="shared" si="132"/>
        <v>20.245364228093209</v>
      </c>
      <c r="BE29" s="17">
        <f t="shared" si="132"/>
        <v>22.01909317676586</v>
      </c>
      <c r="BF29" s="17">
        <f t="shared" si="132"/>
        <v>23.934505341501591</v>
      </c>
    </row>
    <row r="30" spans="2:110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v>12348</v>
      </c>
      <c r="AA30" s="11">
        <f>+Z30</f>
        <v>12348</v>
      </c>
      <c r="AB30" s="11">
        <f>+AA30</f>
        <v>12348</v>
      </c>
      <c r="AC30" s="11">
        <f>+AB30</f>
        <v>12348</v>
      </c>
      <c r="AD30" s="11">
        <f>+AC30</f>
        <v>12348</v>
      </c>
      <c r="AE30" s="11"/>
      <c r="AL30" s="3">
        <v>687.34799999999996</v>
      </c>
      <c r="AM30" s="3">
        <v>691.29300000000001</v>
      </c>
      <c r="AQ30" s="3">
        <v>687.02800000000002</v>
      </c>
      <c r="AR30" s="3">
        <v>677.67399999999998</v>
      </c>
      <c r="AS30" s="3">
        <f>AVERAGE(P30:R30)</f>
        <v>13094.333333333334</v>
      </c>
      <c r="AT30" s="3">
        <f>AVERAGE(S30:V30)</f>
        <v>12687.5</v>
      </c>
      <c r="AU30" s="3">
        <f>AVERAGE(AA30:AD30)</f>
        <v>12348</v>
      </c>
      <c r="AV30" s="3">
        <f t="shared" ref="AV30:BA30" si="133">+AU30</f>
        <v>12348</v>
      </c>
      <c r="AW30" s="3">
        <f t="shared" si="133"/>
        <v>12348</v>
      </c>
      <c r="AX30" s="3">
        <f t="shared" si="133"/>
        <v>12348</v>
      </c>
      <c r="AY30" s="3">
        <f t="shared" si="133"/>
        <v>12348</v>
      </c>
      <c r="AZ30" s="3">
        <f t="shared" si="133"/>
        <v>12348</v>
      </c>
      <c r="BA30" s="3">
        <f t="shared" si="133"/>
        <v>12348</v>
      </c>
      <c r="BB30" s="3">
        <f t="shared" ref="BB30" si="134">+BA30</f>
        <v>12348</v>
      </c>
      <c r="BC30" s="3">
        <f t="shared" ref="BC30" si="135">+BB30</f>
        <v>12348</v>
      </c>
      <c r="BD30" s="3">
        <f t="shared" ref="BD30" si="136">+BC30</f>
        <v>12348</v>
      </c>
      <c r="BE30" s="3">
        <f t="shared" ref="BE30" si="137">+BD30</f>
        <v>12348</v>
      </c>
      <c r="BF30" s="3">
        <f t="shared" ref="BF30" si="138">+BE30</f>
        <v>12348</v>
      </c>
    </row>
    <row r="32" spans="2:110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39">K16/G16-1</f>
        <v>0.34391020189994892</v>
      </c>
      <c r="L32" s="16">
        <f t="shared" si="139"/>
        <v>0.61579235971486024</v>
      </c>
      <c r="M32" s="16">
        <f t="shared" ref="M32" si="140">M16/I16-1</f>
        <v>0.41030472353973102</v>
      </c>
      <c r="N32" s="16">
        <f t="shared" ref="N32" si="141">N16/J16-1</f>
        <v>0.32386024113325607</v>
      </c>
      <c r="O32" s="16">
        <f>O16/K16-1</f>
        <v>0.22954405756228069</v>
      </c>
      <c r="P32" s="16">
        <f t="shared" ref="P32:T32" si="142">P16/L16-1</f>
        <v>0.12613122171945701</v>
      </c>
      <c r="Q32" s="16">
        <f t="shared" si="142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42"/>
        <v>7.0589079428858392E-2</v>
      </c>
      <c r="U32" s="16">
        <f t="shared" ref="U32:Z32" si="143">U16/Q16-1</f>
        <v>0.11001273664100042</v>
      </c>
      <c r="V32" s="16">
        <f t="shared" si="143"/>
        <v>0.13494108983799702</v>
      </c>
      <c r="W32" s="16">
        <f t="shared" si="143"/>
        <v>0.15406880937710454</v>
      </c>
      <c r="X32" s="16">
        <f t="shared" si="143"/>
        <v>0.13589083695244231</v>
      </c>
      <c r="Y32" s="16">
        <f t="shared" si="143"/>
        <v>0.15092642092498654</v>
      </c>
      <c r="Z32" s="16">
        <f t="shared" si="143"/>
        <v>0.11770362646275045</v>
      </c>
      <c r="AA32" s="16">
        <f t="shared" ref="AA32" si="144">AA16/W16-1</f>
        <v>0.12163287351469476</v>
      </c>
      <c r="AB32" s="16">
        <f t="shared" ref="AB32" si="145">AB16/X16-1</f>
        <v>0.12252826225484426</v>
      </c>
      <c r="AC32" s="16">
        <f t="shared" ref="AC32" si="146">AC16/Y16-1</f>
        <v>0.12499263606289945</v>
      </c>
      <c r="AD32" s="16">
        <f t="shared" ref="AD32" si="147">AD16/Z16-1</f>
        <v>0.12449429350361263</v>
      </c>
      <c r="AE32" s="16"/>
      <c r="AF32" s="16"/>
      <c r="AJ32" s="18">
        <f t="shared" ref="AJ32:AS32" si="148">AJ16/AI16-1</f>
        <v>0.2059123786355046</v>
      </c>
      <c r="AK32" s="18">
        <f t="shared" si="148"/>
        <v>0.18880023055170292</v>
      </c>
      <c r="AL32" s="18">
        <f t="shared" si="148"/>
        <v>0.13617975485219924</v>
      </c>
      <c r="AM32" s="18">
        <f t="shared" si="148"/>
        <v>0.20380322447292265</v>
      </c>
      <c r="AN32" s="18">
        <f t="shared" si="148"/>
        <v>0.22801090038993266</v>
      </c>
      <c r="AO32" s="18">
        <f t="shared" si="148"/>
        <v>0.23421586757475987</v>
      </c>
      <c r="AP32" s="18">
        <f t="shared" si="148"/>
        <v>0.18300089899794614</v>
      </c>
      <c r="AQ32" s="18">
        <f t="shared" si="148"/>
        <v>0.12770532012826141</v>
      </c>
      <c r="AR32" s="18">
        <f t="shared" si="148"/>
        <v>0.41150076427049154</v>
      </c>
      <c r="AS32" s="18">
        <f t="shared" si="148"/>
        <v>9.7808156437157789E-2</v>
      </c>
      <c r="AT32" s="18">
        <f t="shared" ref="AT32:BA32" si="149">AT16/AS16-1</f>
        <v>8.6827702272695095E-2</v>
      </c>
      <c r="AU32" s="18">
        <f t="shared" si="149"/>
        <v>0.13866243322901561</v>
      </c>
      <c r="AV32" s="18">
        <f t="shared" si="149"/>
        <v>0.12348556359958618</v>
      </c>
      <c r="AW32" s="18">
        <f t="shared" si="149"/>
        <v>0.10969999250076623</v>
      </c>
      <c r="AX32" s="18">
        <f t="shared" si="149"/>
        <v>0.11587157767030609</v>
      </c>
      <c r="AY32" s="18">
        <f t="shared" si="149"/>
        <v>6.7271581008620407E-2</v>
      </c>
      <c r="AZ32" s="18">
        <f t="shared" si="149"/>
        <v>6.7720162319680588E-2</v>
      </c>
      <c r="BA32" s="18">
        <f t="shared" si="149"/>
        <v>5.7187408842555021E-2</v>
      </c>
      <c r="BB32" s="18">
        <f t="shared" ref="BB32" si="150">BB16/BA16-1</f>
        <v>5.7690551571446758E-2</v>
      </c>
      <c r="BC32" s="18">
        <f t="shared" ref="BC32" si="151">BC16/BB16-1</f>
        <v>5.8204512167354672E-2</v>
      </c>
      <c r="BD32" s="18">
        <f t="shared" ref="BD32" si="152">BD16/BC16-1</f>
        <v>5.8729198655089299E-2</v>
      </c>
      <c r="BE32" s="18">
        <f t="shared" ref="BE32" si="153">BE16/BD16-1</f>
        <v>5.9264486022774676E-2</v>
      </c>
      <c r="BF32" s="18">
        <f t="shared" ref="BF32" si="154">BF16/BE16-1</f>
        <v>5.9810215109309839E-2</v>
      </c>
    </row>
    <row r="33" spans="2:61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>
        <v>0.12</v>
      </c>
      <c r="AA33" s="16"/>
      <c r="AB33" s="16"/>
      <c r="AC33" s="16"/>
      <c r="AD33" s="16"/>
      <c r="AE33" s="16"/>
      <c r="AS33" s="18">
        <v>0.14000000000000001</v>
      </c>
      <c r="AU33" s="18">
        <v>0.15</v>
      </c>
    </row>
    <row r="34" spans="2:61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55">+K14/G14-1</f>
        <v>0.30107746306423966</v>
      </c>
      <c r="L34" s="15">
        <f t="shared" ref="L34:N34" si="156">+L14/H14-1</f>
        <v>0.68136404146535945</v>
      </c>
      <c r="M34" s="15">
        <f t="shared" si="156"/>
        <v>0.43997266307236682</v>
      </c>
      <c r="N34" s="15">
        <f t="shared" si="156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57">+S14/O14-1</f>
        <v>1.8703619566863505E-2</v>
      </c>
      <c r="T34" s="15">
        <f t="shared" si="157"/>
        <v>4.7654157143208309E-2</v>
      </c>
      <c r="U34" s="15">
        <f t="shared" si="157"/>
        <v>0.11348289031083225</v>
      </c>
      <c r="V34" s="15">
        <f t="shared" si="157"/>
        <v>0.12712421368885551</v>
      </c>
      <c r="W34" s="15">
        <f t="shared" ref="W34:X34" si="158">+W14/S14-1</f>
        <v>0.14363586808394668</v>
      </c>
      <c r="X34" s="15">
        <f t="shared" si="158"/>
        <v>0.13796096462419061</v>
      </c>
      <c r="Y34" s="15">
        <f t="shared" ref="Y34" si="159">+Y14/U14-1</f>
        <v>0.12172352700676869</v>
      </c>
      <c r="Z34" s="15">
        <f t="shared" ref="Z34" si="160">+Z14/V14-1</f>
        <v>0.12523948354852155</v>
      </c>
      <c r="AA34" s="15">
        <f t="shared" ref="AA34" si="161">+AA14/W14-1</f>
        <v>0.1100000000000001</v>
      </c>
      <c r="AB34" s="15">
        <f t="shared" ref="AB34" si="162">+AB14/X14-1</f>
        <v>0.1100000000000001</v>
      </c>
      <c r="AC34" s="15">
        <f t="shared" ref="AC34" si="163">+AC14/Y14-1</f>
        <v>0.1100000000000001</v>
      </c>
      <c r="AD34" s="15">
        <f t="shared" ref="AD34" si="164">+AD14/Z14-1</f>
        <v>0.1100000000000001</v>
      </c>
      <c r="AE34" s="15"/>
      <c r="AO34" s="5">
        <f t="shared" ref="AO34:AS34" si="165">+AO14/AN14-1</f>
        <v>0.22181318130380601</v>
      </c>
      <c r="AP34" s="5">
        <f t="shared" si="165"/>
        <v>0.15028840742824978</v>
      </c>
      <c r="AQ34" s="5">
        <f t="shared" si="165"/>
        <v>6.0612546501554343E-2</v>
      </c>
      <c r="AR34" s="5">
        <f t="shared" si="165"/>
        <v>0.43136783840402826</v>
      </c>
      <c r="AS34" s="5">
        <f t="shared" si="165"/>
        <v>9.0627118985438182E-2</v>
      </c>
      <c r="AT34" s="5">
        <f>+AT14/AS14-1</f>
        <v>7.7457679285934056E-2</v>
      </c>
      <c r="AU34" s="15">
        <f t="shared" ref="AU34:BA34" si="166">+AU14/AT14-1</f>
        <v>0.13169516605440124</v>
      </c>
      <c r="AV34" s="15">
        <f>+AV14/AU14-1</f>
        <v>0.10999999999999988</v>
      </c>
      <c r="AW34" s="15">
        <f t="shared" si="166"/>
        <v>0.10000000000000009</v>
      </c>
      <c r="AX34" s="15">
        <f t="shared" si="166"/>
        <v>0.10000000000000009</v>
      </c>
      <c r="AY34" s="15">
        <f t="shared" si="166"/>
        <v>7.0000000000000062E-2</v>
      </c>
      <c r="AZ34" s="15">
        <f t="shared" si="166"/>
        <v>7.0000000000000062E-2</v>
      </c>
      <c r="BA34" s="15">
        <f t="shared" si="166"/>
        <v>5.0000000000000044E-2</v>
      </c>
      <c r="BB34" s="15">
        <f t="shared" ref="BB34" si="167">+BB14/BA14-1</f>
        <v>5.0000000000000044E-2</v>
      </c>
      <c r="BC34" s="15">
        <f t="shared" ref="BC34" si="168">+BC14/BB14-1</f>
        <v>5.0000000000000044E-2</v>
      </c>
      <c r="BD34" s="15">
        <f t="shared" ref="BD34" si="169">+BD14/BC14-1</f>
        <v>5.0000000000000044E-2</v>
      </c>
      <c r="BE34" s="15">
        <f t="shared" ref="BE34" si="170">+BE14/BD14-1</f>
        <v>5.0000000000000044E-2</v>
      </c>
      <c r="BF34" s="15">
        <f t="shared" ref="BF34" si="171">+BF14/BE14-1</f>
        <v>5.0000000000000044E-2</v>
      </c>
      <c r="BH34" s="18" t="s">
        <v>72</v>
      </c>
      <c r="BI34" s="18">
        <v>0.02</v>
      </c>
    </row>
    <row r="35" spans="2:61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72">+K13/G13-1</f>
        <v>0.48712233779098568</v>
      </c>
      <c r="L35" s="15">
        <f t="shared" ref="L35:Q35" si="173">+L13/H13-1</f>
        <v>0.83683105981112282</v>
      </c>
      <c r="M35" s="15">
        <f t="shared" si="173"/>
        <v>0.4304149295215407</v>
      </c>
      <c r="N35" s="15">
        <f t="shared" si="173"/>
        <v>0.25388525780682647</v>
      </c>
      <c r="O35" s="15">
        <f t="shared" si="173"/>
        <v>0.143880099916736</v>
      </c>
      <c r="P35" s="15">
        <f t="shared" si="173"/>
        <v>4.8271922307911996E-2</v>
      </c>
      <c r="Q35" s="15">
        <f t="shared" si="173"/>
        <v>-1.8598195697432374E-2</v>
      </c>
      <c r="R35" s="15">
        <f>+R13/N13-1</f>
        <v>-7.7609174099386058E-2</v>
      </c>
      <c r="S35" s="15">
        <f t="shared" ref="S35:V35" si="174">+S13/O13-1</f>
        <v>-2.5622361333527466E-2</v>
      </c>
      <c r="T35" s="15">
        <f t="shared" si="174"/>
        <v>4.4277929155313256E-2</v>
      </c>
      <c r="U35" s="15">
        <f t="shared" si="174"/>
        <v>0.12459340970159816</v>
      </c>
      <c r="V35" s="15">
        <f t="shared" si="174"/>
        <v>0.15534346351877426</v>
      </c>
      <c r="W35" s="15">
        <f t="shared" ref="W35:X35" si="175">+W13/S13-1</f>
        <v>0.20872553414014638</v>
      </c>
      <c r="X35" s="15">
        <f t="shared" si="175"/>
        <v>0.13020221787345077</v>
      </c>
      <c r="Y35" s="15">
        <f t="shared" ref="Y35" si="176">+Y13/U13-1</f>
        <v>0.12185613682092544</v>
      </c>
      <c r="Z35" s="15">
        <f t="shared" ref="Z35" si="177">+Z13/V13-1</f>
        <v>0.1383695652173913</v>
      </c>
      <c r="AA35" s="15">
        <f t="shared" ref="AA35" si="178">+AA13/W13-1</f>
        <v>0.12000000000000011</v>
      </c>
      <c r="AB35" s="15">
        <f t="shared" ref="AB35" si="179">+AB13/X13-1</f>
        <v>0.12000000000000011</v>
      </c>
      <c r="AC35" s="15">
        <f t="shared" ref="AC35" si="180">+AC13/Y13-1</f>
        <v>0.12000000000000011</v>
      </c>
      <c r="AD35" s="15">
        <f t="shared" ref="AD35" si="181">+AD13/Z13-1</f>
        <v>0.12000000000000011</v>
      </c>
      <c r="AE35" s="15"/>
      <c r="AO35" s="5">
        <f t="shared" ref="AO35:AR35" si="182">+AO13/AN13-1</f>
        <v>0.36871165644171788</v>
      </c>
      <c r="AP35" s="5">
        <f t="shared" si="182"/>
        <v>0.35804571940833707</v>
      </c>
      <c r="AQ35" s="5">
        <f t="shared" si="182"/>
        <v>0.30516865799722748</v>
      </c>
      <c r="AR35" s="5">
        <f t="shared" si="182"/>
        <v>0.45888124620675708</v>
      </c>
      <c r="AS35" s="5">
        <f>+AS13/AR13-1</f>
        <v>1.3797885248743258E-2</v>
      </c>
      <c r="AT35" s="5">
        <f>+AT13/AS13-1</f>
        <v>7.7522825975447018E-2</v>
      </c>
      <c r="AU35" s="15">
        <f t="shared" ref="AU35:BA35" si="183">+AU13/AT13-1</f>
        <v>0.14715963186290071</v>
      </c>
      <c r="AV35" s="15">
        <f t="shared" si="183"/>
        <v>0.11999999999999988</v>
      </c>
      <c r="AW35" s="15">
        <f t="shared" si="183"/>
        <v>5.0000000000000044E-2</v>
      </c>
      <c r="AX35" s="15">
        <f t="shared" si="183"/>
        <v>5.0000000000000044E-2</v>
      </c>
      <c r="AY35" s="15">
        <f t="shared" si="183"/>
        <v>5.0000000000000044E-2</v>
      </c>
      <c r="AZ35" s="15">
        <f t="shared" si="183"/>
        <v>5.0000000000000044E-2</v>
      </c>
      <c r="BA35" s="15">
        <f t="shared" si="183"/>
        <v>5.0000000000000044E-2</v>
      </c>
      <c r="BB35" s="15">
        <f t="shared" ref="BB35" si="184">+BB13/BA13-1</f>
        <v>5.0000000000000044E-2</v>
      </c>
      <c r="BC35" s="15">
        <f t="shared" ref="BC35" si="185">+BC13/BB13-1</f>
        <v>5.0000000000000044E-2</v>
      </c>
      <c r="BD35" s="15">
        <f t="shared" ref="BD35" si="186">+BD13/BC13-1</f>
        <v>5.0000000000000044E-2</v>
      </c>
      <c r="BE35" s="15">
        <f t="shared" ref="BE35" si="187">+BE13/BD13-1</f>
        <v>5.0000000000000044E-2</v>
      </c>
      <c r="BF35" s="15">
        <f t="shared" ref="BF35" si="188">+BF13/BE13-1</f>
        <v>5.0000000000000044E-2</v>
      </c>
      <c r="BH35" s="18" t="s">
        <v>73</v>
      </c>
      <c r="BI35" s="21">
        <v>0.08</v>
      </c>
    </row>
    <row r="36" spans="2:61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89">K15/G15-1</f>
        <v>0.33980836693020566</v>
      </c>
      <c r="L36" s="15">
        <f t="shared" ref="L36" si="190">L15/H15-1</f>
        <v>0.63090508988025484</v>
      </c>
      <c r="M36" s="15">
        <f t="shared" ref="M36" si="191">M15/I15-1</f>
        <v>0.40661921875367013</v>
      </c>
      <c r="N36" s="15">
        <f t="shared" ref="N36" si="192">N15/J15-1</f>
        <v>0.31257919921320898</v>
      </c>
      <c r="O36" s="15">
        <f>O15/K15-1</f>
        <v>0.20114111532299028</v>
      </c>
      <c r="P36" s="15">
        <f t="shared" ref="P36:Q36" si="193">P15/L15-1</f>
        <v>0.10117931554138115</v>
      </c>
      <c r="Q36" s="15">
        <f t="shared" si="193"/>
        <v>2.4931534299645897E-2</v>
      </c>
      <c r="R36" s="15">
        <f>R15/N15-1</f>
        <v>-2.2507204610951015E-2</v>
      </c>
      <c r="S36" s="15">
        <f t="shared" ref="S36:V36" si="194">S15/O15-1</f>
        <v>7.9548412285268544E-3</v>
      </c>
      <c r="T36" s="15">
        <f t="shared" si="194"/>
        <v>5.4804984007256419E-2</v>
      </c>
      <c r="U36" s="15">
        <f t="shared" si="194"/>
        <v>0.1076787721785033</v>
      </c>
      <c r="V36" s="15">
        <f t="shared" si="194"/>
        <v>0.12490049824582083</v>
      </c>
      <c r="W36" s="15">
        <f t="shared" ref="W36:X36" si="195">W15/S15-1</f>
        <v>0.13616629815529113</v>
      </c>
      <c r="X36" s="15">
        <f t="shared" si="195"/>
        <v>0.11530512182243347</v>
      </c>
      <c r="Y36" s="15">
        <f t="shared" ref="Y36" si="196">Y15/U15-1</f>
        <v>0.12537875444944557</v>
      </c>
      <c r="Z36" s="15">
        <f t="shared" ref="Z36" si="197">Z15/V15-1</f>
        <v>0.10199053871656782</v>
      </c>
      <c r="AA36" s="15">
        <f t="shared" ref="AA36" si="198">AA15/W15-1</f>
        <v>9.9377681184124711E-2</v>
      </c>
      <c r="AB36" s="15">
        <f t="shared" ref="AB36" si="199">AB15/X15-1</f>
        <v>9.9842955307867243E-2</v>
      </c>
      <c r="AC36" s="15">
        <f t="shared" ref="AC36" si="200">AC15/Y15-1</f>
        <v>9.9907855182329364E-2</v>
      </c>
      <c r="AD36" s="15">
        <f t="shared" ref="AD36" si="201">AD15/Z15-1</f>
        <v>0.10040359597593174</v>
      </c>
      <c r="AE36" s="15"/>
      <c r="AO36" s="5">
        <f t="shared" ref="AO36:AS36" si="202">+AO15/AN15-1</f>
        <v>0.22568104346846218</v>
      </c>
      <c r="AP36" s="5">
        <f t="shared" si="202"/>
        <v>0.16319604057491333</v>
      </c>
      <c r="AQ36" s="5">
        <f t="shared" si="202"/>
        <v>0.11071957846204517</v>
      </c>
      <c r="AR36" s="5">
        <f t="shared" si="202"/>
        <v>0.40853915260770313</v>
      </c>
      <c r="AS36" s="5">
        <f t="shared" si="202"/>
        <v>6.7355986005919188E-2</v>
      </c>
      <c r="AT36" s="5">
        <f>+AT15/AS15-1</f>
        <v>7.5001577735003711E-2</v>
      </c>
      <c r="AU36" s="15">
        <f t="shared" ref="AU36:BA36" si="203">+AU15/AT15-1</f>
        <v>0.11883262457667221</v>
      </c>
      <c r="AV36" s="15">
        <f t="shared" si="203"/>
        <v>9.9906437543042514E-2</v>
      </c>
      <c r="AW36" s="15">
        <f t="shared" si="203"/>
        <v>7.8303776743844367E-2</v>
      </c>
      <c r="AX36" s="15">
        <f t="shared" si="203"/>
        <v>7.9163740335304933E-2</v>
      </c>
      <c r="AY36" s="15">
        <f t="shared" si="203"/>
        <v>5.9554004134138694E-2</v>
      </c>
      <c r="AZ36" s="15">
        <f t="shared" si="203"/>
        <v>5.9802199046597782E-2</v>
      </c>
      <c r="BA36" s="15">
        <f t="shared" si="203"/>
        <v>4.6145929080401604E-2</v>
      </c>
      <c r="BB36" s="15">
        <f t="shared" ref="BB36" si="204">+BB15/BA15-1</f>
        <v>4.6205411752951342E-2</v>
      </c>
      <c r="BC36" s="15">
        <f t="shared" ref="BC36" si="205">+BC15/BB15-1</f>
        <v>4.6264188800255512E-2</v>
      </c>
      <c r="BD36" s="15">
        <f t="shared" ref="BD36" si="206">+BD15/BC15-1</f>
        <v>4.6322262028150485E-2</v>
      </c>
      <c r="BE36" s="15">
        <f t="shared" ref="BE36" si="207">+BE15/BD15-1</f>
        <v>4.6379633456653968E-2</v>
      </c>
      <c r="BF36" s="15">
        <f t="shared" ref="BF36" si="208">+BF15/BE15-1</f>
        <v>4.6436305313657833E-2</v>
      </c>
      <c r="BH36" s="5" t="s">
        <v>74</v>
      </c>
      <c r="BI36" s="5">
        <v>0.03</v>
      </c>
    </row>
    <row r="37" spans="2:61" s="5" customFormat="1" x14ac:dyDescent="0.2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209">K10/G10-1</f>
        <v>0.4573280518545193</v>
      </c>
      <c r="L37" s="15">
        <f t="shared" ref="L37" si="210">L10/H10-1</f>
        <v>0.53907549052211512</v>
      </c>
      <c r="M37" s="15">
        <f t="shared" ref="M37" si="211">M10/I10-1</f>
        <v>0.44889663182346107</v>
      </c>
      <c r="N37" s="15">
        <f t="shared" ref="N37" si="212">N10/J10-1</f>
        <v>0.44635865309318712</v>
      </c>
      <c r="O37" s="15">
        <f>O10/K10-1</f>
        <v>0.4383493946132937</v>
      </c>
      <c r="P37" s="15">
        <f t="shared" ref="P37:Q37" si="213">P10/L10-1</f>
        <v>0.35609334485738975</v>
      </c>
      <c r="Q37" s="15">
        <f t="shared" si="213"/>
        <v>0.37635270541082155</v>
      </c>
      <c r="R37" s="15">
        <f>R10/N10-1</f>
        <v>0.3201588160981772</v>
      </c>
      <c r="S37" s="15">
        <f t="shared" ref="S37:V37" si="214">S10/O10-1</f>
        <v>0.28053599037965982</v>
      </c>
      <c r="T37" s="15">
        <f t="shared" si="214"/>
        <v>0.2796367112810707</v>
      </c>
      <c r="U37" s="15">
        <f t="shared" si="214"/>
        <v>0.22466511357018049</v>
      </c>
      <c r="V37" s="15">
        <f t="shared" si="214"/>
        <v>0.25659603554340404</v>
      </c>
      <c r="W37" s="15">
        <f t="shared" ref="W37:X37" si="215">W10/S10-1</f>
        <v>0.28441105446740012</v>
      </c>
      <c r="X37" s="15">
        <f t="shared" si="215"/>
        <v>0.28838251774374291</v>
      </c>
      <c r="Y37" s="15">
        <f>Y10/U10-1</f>
        <v>0.34978004993460954</v>
      </c>
      <c r="Z37" s="15">
        <f t="shared" ref="Z37" si="216">Z10/V10-1</f>
        <v>0.3005874673629243</v>
      </c>
      <c r="AA37" s="15">
        <f t="shared" ref="AA37" si="217">AA10/W10-1</f>
        <v>0.30000000000000004</v>
      </c>
      <c r="AB37" s="15">
        <f t="shared" ref="AB37" si="218">AB10/X10-1</f>
        <v>0.30000000000000004</v>
      </c>
      <c r="AC37" s="15">
        <f t="shared" ref="AC37" si="219">AC10/Y10-1</f>
        <v>0.30000000000000004</v>
      </c>
      <c r="AD37" s="15">
        <f t="shared" ref="AD37" si="220">AD10/Z10-1</f>
        <v>0.30000000000000004</v>
      </c>
      <c r="AE37" s="15"/>
      <c r="AO37" s="5">
        <f t="shared" ref="AO37:AS37" si="221">+AO10/AN10-1</f>
        <v>0.43934911242603558</v>
      </c>
      <c r="AP37" s="5">
        <f t="shared" si="221"/>
        <v>0.52757793764988015</v>
      </c>
      <c r="AQ37" s="5">
        <f t="shared" si="221"/>
        <v>0.46434178066831122</v>
      </c>
      <c r="AR37" s="5">
        <f t="shared" si="221"/>
        <v>0.47070985527222597</v>
      </c>
      <c r="AS37" s="5">
        <f t="shared" si="221"/>
        <v>0.36832239925023424</v>
      </c>
      <c r="AT37" s="5">
        <f>+AT10/AS10-1</f>
        <v>0.25905631659056327</v>
      </c>
      <c r="AU37" s="15">
        <f t="shared" ref="AU37:BA37" si="222">+AU10/AT10-1</f>
        <v>0.30648573500967125</v>
      </c>
      <c r="AV37" s="15">
        <f t="shared" si="222"/>
        <v>0.30000000000000004</v>
      </c>
      <c r="AW37" s="15">
        <f t="shared" si="222"/>
        <v>0.30000000000000004</v>
      </c>
      <c r="AX37" s="15">
        <f t="shared" si="222"/>
        <v>0.30000000000000004</v>
      </c>
      <c r="AY37" s="15">
        <f t="shared" si="222"/>
        <v>0.10000000000000009</v>
      </c>
      <c r="AZ37" s="15">
        <f t="shared" si="222"/>
        <v>0.10000000000000009</v>
      </c>
      <c r="BA37" s="15">
        <f t="shared" si="222"/>
        <v>0.10000000000000009</v>
      </c>
      <c r="BB37" s="15">
        <f t="shared" ref="BB37" si="223">+BB10/BA10-1</f>
        <v>0.10000000000000009</v>
      </c>
      <c r="BC37" s="15">
        <f t="shared" ref="BC37" si="224">+BC10/BB10-1</f>
        <v>0.10000000000000009</v>
      </c>
      <c r="BD37" s="15">
        <f t="shared" ref="BD37" si="225">+BD10/BC10-1</f>
        <v>0.10000000000000009</v>
      </c>
      <c r="BE37" s="15">
        <f t="shared" ref="BE37" si="226">+BE10/BD10-1</f>
        <v>0.10000000000000009</v>
      </c>
      <c r="BF37" s="15">
        <f t="shared" ref="BF37" si="227">+BF10/BE10-1</f>
        <v>0.10000000000000009</v>
      </c>
      <c r="BH37" s="5" t="s">
        <v>75</v>
      </c>
      <c r="BI37" s="3">
        <f>NPV(BI35,AT28:DF28)+Main!L5-Main!L6</f>
        <v>3150744.1537115783</v>
      </c>
    </row>
    <row r="38" spans="2:61" s="18" customFormat="1" x14ac:dyDescent="0.2">
      <c r="B38" s="18" t="s">
        <v>33</v>
      </c>
      <c r="C38" s="16"/>
      <c r="D38" s="16"/>
      <c r="E38" s="16"/>
      <c r="F38" s="16"/>
      <c r="G38" s="16">
        <f t="shared" ref="G38:H38" si="228">G19/G16</f>
        <v>0.53881289632887097</v>
      </c>
      <c r="H38" s="16">
        <f t="shared" si="228"/>
        <v>0.51554952085019712</v>
      </c>
      <c r="I38" s="16">
        <f t="shared" ref="I38" si="229">I19/I16</f>
        <v>0.54265479825872265</v>
      </c>
      <c r="J38" s="16">
        <f t="shared" ref="J38" si="230">J19/J16</f>
        <v>0.54163590987380927</v>
      </c>
      <c r="K38" s="16">
        <f>K19/K16</f>
        <v>0.56425136493473627</v>
      </c>
      <c r="L38" s="16">
        <f t="shared" ref="L38:O38" si="231">L19/L16</f>
        <v>0.57616354234001288</v>
      </c>
      <c r="M38" s="16">
        <f t="shared" si="231"/>
        <v>0.57583156730857832</v>
      </c>
      <c r="N38" s="16">
        <f t="shared" si="231"/>
        <v>0.56205774975107869</v>
      </c>
      <c r="O38" s="16">
        <f t="shared" si="231"/>
        <v>0.5647909896928438</v>
      </c>
      <c r="P38" s="16">
        <f t="shared" ref="P38:Q38" si="232">P19/P16</f>
        <v>0.56799885197675248</v>
      </c>
      <c r="Q38" s="16">
        <f t="shared" si="232"/>
        <v>0.54903606785156023</v>
      </c>
      <c r="R38" s="16">
        <f>R19/R16</f>
        <v>0.53526719966337055</v>
      </c>
      <c r="S38" s="16">
        <f t="shared" ref="S38:V38" si="233">S19/S16</f>
        <v>0.56135096794531936</v>
      </c>
      <c r="T38" s="16">
        <f t="shared" si="233"/>
        <v>0.5721945204010509</v>
      </c>
      <c r="U38" s="16">
        <f t="shared" si="233"/>
        <v>0.56672708069836886</v>
      </c>
      <c r="V38" s="16">
        <f t="shared" si="233"/>
        <v>0.56465067778936395</v>
      </c>
      <c r="W38" s="16">
        <f t="shared" ref="W38:AD38" si="234">W19/W16</f>
        <v>0.58142018152696207</v>
      </c>
      <c r="X38" s="16">
        <f t="shared" si="234"/>
        <v>0.58099879634655782</v>
      </c>
      <c r="Y38" s="16">
        <f t="shared" si="234"/>
        <v>0.58678116644763678</v>
      </c>
      <c r="Z38" s="16">
        <f t="shared" si="234"/>
        <v>0.5790046543449191</v>
      </c>
      <c r="AA38" s="16">
        <f t="shared" si="234"/>
        <v>0.57999999999999996</v>
      </c>
      <c r="AB38" s="16">
        <f t="shared" si="234"/>
        <v>0.57999999999999996</v>
      </c>
      <c r="AC38" s="16">
        <f t="shared" si="234"/>
        <v>0.57999999999999996</v>
      </c>
      <c r="AD38" s="16">
        <f t="shared" si="234"/>
        <v>0.57999999999999996</v>
      </c>
      <c r="AE38" s="16"/>
      <c r="AK38" s="18">
        <f t="shared" ref="AK38" si="235">AK19/AK16</f>
        <v>0.6107483219951213</v>
      </c>
      <c r="AL38" s="18">
        <f t="shared" ref="AL38" si="236">AL19/AL16</f>
        <v>0.62442491565429592</v>
      </c>
      <c r="AM38" s="18">
        <f t="shared" ref="AM38:AN38" si="237">AM19/AM16</f>
        <v>0.61075416518964909</v>
      </c>
      <c r="AN38" s="18">
        <f t="shared" si="237"/>
        <v>0.58880519597672631</v>
      </c>
      <c r="AO38" s="18">
        <f t="shared" ref="AO38:AQ38" si="238">AO19/AO16</f>
        <v>0.5647607422945643</v>
      </c>
      <c r="AP38" s="18">
        <f t="shared" si="238"/>
        <v>0.5558054331910266</v>
      </c>
      <c r="AQ38" s="18">
        <f t="shared" si="238"/>
        <v>0.53578374706207854</v>
      </c>
      <c r="AR38" s="18">
        <f>AR19/AR16</f>
        <v>0.5693980290098084</v>
      </c>
      <c r="AS38" s="18">
        <f>AS19/AS16</f>
        <v>0.55379442503783116</v>
      </c>
      <c r="AT38" s="18">
        <f t="shared" ref="AT38" si="239">AT19/AT16</f>
        <v>0.56000000000000005</v>
      </c>
      <c r="AU38" s="16">
        <f t="shared" ref="AU38:BA38" si="240">AU19/AU16</f>
        <v>0.58200435406179107</v>
      </c>
      <c r="AV38" s="16">
        <f t="shared" si="240"/>
        <v>0.58000000000000007</v>
      </c>
      <c r="AW38" s="16">
        <f t="shared" si="240"/>
        <v>0.56000000000000005</v>
      </c>
      <c r="AX38" s="16">
        <f t="shared" si="240"/>
        <v>0.56000000000000005</v>
      </c>
      <c r="AY38" s="16">
        <f t="shared" si="240"/>
        <v>0.56000000000000005</v>
      </c>
      <c r="AZ38" s="16">
        <f t="shared" si="240"/>
        <v>0.56000000000000005</v>
      </c>
      <c r="BA38" s="16">
        <f t="shared" si="240"/>
        <v>0.56000000000000005</v>
      </c>
      <c r="BB38" s="16">
        <f t="shared" ref="BB38:BF38" si="241">BB19/BB16</f>
        <v>0.56000000000000005</v>
      </c>
      <c r="BC38" s="16">
        <f t="shared" si="241"/>
        <v>0.56000000000000005</v>
      </c>
      <c r="BD38" s="16">
        <f t="shared" si="241"/>
        <v>0.56000000000000005</v>
      </c>
      <c r="BE38" s="16">
        <f t="shared" si="241"/>
        <v>0.56000000000000005</v>
      </c>
      <c r="BF38" s="16">
        <f t="shared" si="241"/>
        <v>0.56000000000000005</v>
      </c>
      <c r="BH38" s="5" t="s">
        <v>76</v>
      </c>
      <c r="BI38" s="1">
        <f>+BI37/Main!L3</f>
        <v>255.16230593712166</v>
      </c>
    </row>
    <row r="39" spans="2:61" s="5" customFormat="1" x14ac:dyDescent="0.2">
      <c r="B39" s="5" t="s">
        <v>70</v>
      </c>
      <c r="C39" s="15"/>
      <c r="D39" s="15"/>
      <c r="E39" s="15"/>
      <c r="F39" s="15"/>
      <c r="G39" s="15">
        <f t="shared" ref="G39" si="242">+G27/G26</f>
        <v>0.11873146835116669</v>
      </c>
      <c r="H39" s="15">
        <f>+H27/H26</f>
        <v>0.15923643832306392</v>
      </c>
      <c r="I39" s="15">
        <f t="shared" ref="I39:Q39" si="243">+I27/I26</f>
        <v>0.15809566584325174</v>
      </c>
      <c r="J39" s="15">
        <f t="shared" si="243"/>
        <v>0.18524265610787094</v>
      </c>
      <c r="K39" s="15">
        <f t="shared" si="243"/>
        <v>0.15754357938260583</v>
      </c>
      <c r="L39" s="15">
        <f t="shared" si="243"/>
        <v>0.16</v>
      </c>
      <c r="M39" s="15">
        <f t="shared" si="243"/>
        <v>0.17898022892819979</v>
      </c>
      <c r="N39" s="15">
        <f t="shared" si="243"/>
        <v>0.15408573067781328</v>
      </c>
      <c r="O39" s="15">
        <f t="shared" si="243"/>
        <v>0.13193197422625963</v>
      </c>
      <c r="P39" s="15">
        <f t="shared" si="243"/>
        <v>0.15840959293152415</v>
      </c>
      <c r="Q39" s="15">
        <f t="shared" si="243"/>
        <v>0.14310355448777182</v>
      </c>
      <c r="R39" s="15">
        <f>+R27/R26</f>
        <v>0.20545868081880211</v>
      </c>
      <c r="S39" s="15">
        <f t="shared" ref="S39:V39" si="244">+S27/S26</f>
        <v>0.17324910738808019</v>
      </c>
      <c r="T39" s="15">
        <f t="shared" si="244"/>
        <v>0.16139341642697347</v>
      </c>
      <c r="U39" s="15">
        <f t="shared" si="244"/>
        <v>7.1142142756050381E-2</v>
      </c>
      <c r="V39" s="15">
        <f t="shared" si="244"/>
        <v>0.15559082745081659</v>
      </c>
      <c r="W39" s="15">
        <f t="shared" ref="W39:X39" si="245">+W27/W26</f>
        <v>0.16432986049796927</v>
      </c>
      <c r="X39" s="15">
        <f t="shared" si="245"/>
        <v>0.14271714275343908</v>
      </c>
      <c r="Y39" s="15">
        <f t="shared" ref="Y39:Z39" si="246">+Y27/Y26</f>
        <v>0.18950948423968303</v>
      </c>
      <c r="Z39" s="15">
        <f t="shared" si="246"/>
        <v>0.17663262147941813</v>
      </c>
      <c r="AA39" s="15">
        <f t="shared" ref="AA39:AD39" si="247">+AA27/AA26</f>
        <v>0.18</v>
      </c>
      <c r="AB39" s="15">
        <f t="shared" si="247"/>
        <v>0.18</v>
      </c>
      <c r="AC39" s="15">
        <f t="shared" si="247"/>
        <v>0.18</v>
      </c>
      <c r="AD39" s="15">
        <f t="shared" si="247"/>
        <v>0.18</v>
      </c>
      <c r="AE39" s="15"/>
      <c r="AK39" s="15">
        <f t="shared" ref="AK39" si="248">+AK27/AK26</f>
        <v>0.21084651486181122</v>
      </c>
      <c r="AL39" s="15">
        <f t="shared" ref="AL39" si="249">+AL27/AL26</f>
        <v>0.16808304920869166</v>
      </c>
      <c r="AM39" s="15">
        <f t="shared" ref="AM39:AN39" si="250">+AM27/AM26</f>
        <v>0.19345755693581781</v>
      </c>
      <c r="AN39" s="15">
        <f t="shared" si="250"/>
        <v>0.48551572053860803</v>
      </c>
      <c r="AO39" s="15">
        <f t="shared" ref="AO39:AQ39" si="251">+AO27/AO26</f>
        <v>0.10446678671468587</v>
      </c>
      <c r="AP39" s="15">
        <f t="shared" si="251"/>
        <v>0.12782537147282319</v>
      </c>
      <c r="AQ39" s="15">
        <f t="shared" si="251"/>
        <v>0.16249324071378063</v>
      </c>
      <c r="AR39" s="15">
        <f t="shared" ref="AR39:AT39" si="252">+AR27/AR26</f>
        <v>0.16202305640663919</v>
      </c>
      <c r="AS39" s="15">
        <f>+AS27/AS26</f>
        <v>0.1592081650964558</v>
      </c>
      <c r="AT39" s="15">
        <f t="shared" si="252"/>
        <v>0.18</v>
      </c>
      <c r="AU39" s="15">
        <f t="shared" ref="AU39:BA39" si="253">+AU27/AU26</f>
        <v>0.16878754381003797</v>
      </c>
      <c r="AV39" s="15">
        <f t="shared" si="253"/>
        <v>0.18</v>
      </c>
      <c r="AW39" s="15">
        <f t="shared" si="253"/>
        <v>0.18</v>
      </c>
      <c r="AX39" s="15">
        <f t="shared" si="253"/>
        <v>0.18</v>
      </c>
      <c r="AY39" s="15">
        <f t="shared" si="253"/>
        <v>0.18</v>
      </c>
      <c r="AZ39" s="15">
        <f t="shared" si="253"/>
        <v>0.18</v>
      </c>
      <c r="BA39" s="15">
        <f t="shared" si="253"/>
        <v>0.18</v>
      </c>
      <c r="BB39" s="15">
        <f t="shared" ref="BB39:BF39" si="254">+BB27/BB26</f>
        <v>0.18</v>
      </c>
      <c r="BC39" s="15">
        <f t="shared" si="254"/>
        <v>0.18</v>
      </c>
      <c r="BD39" s="15">
        <f t="shared" si="254"/>
        <v>0.18</v>
      </c>
      <c r="BE39" s="15">
        <f t="shared" si="254"/>
        <v>0.18</v>
      </c>
      <c r="BF39" s="15">
        <f t="shared" si="254"/>
        <v>0.18</v>
      </c>
      <c r="BH39" s="5" t="s">
        <v>229</v>
      </c>
      <c r="BI39" s="1">
        <v>171</v>
      </c>
    </row>
    <row r="40" spans="2:61" s="5" customFormat="1" x14ac:dyDescent="0.2">
      <c r="B40" s="5" t="s">
        <v>47</v>
      </c>
      <c r="C40" s="15"/>
      <c r="D40" s="15"/>
      <c r="E40" s="15"/>
      <c r="F40" s="15"/>
      <c r="G40" s="15">
        <f t="shared" ref="G40:H40" si="255">G14/G16</f>
        <v>0.5953011492018756</v>
      </c>
      <c r="H40" s="15">
        <f t="shared" si="255"/>
        <v>0.55667545760764547</v>
      </c>
      <c r="I40" s="15">
        <f t="shared" ref="I40" si="256">I14/I16</f>
        <v>0.57041994239057459</v>
      </c>
      <c r="J40" s="15">
        <f>J14/J16</f>
        <v>0.56070512144539353</v>
      </c>
      <c r="K40" s="15">
        <f t="shared" ref="K40:O40" si="257">K14/K16</f>
        <v>0.57632787359438842</v>
      </c>
      <c r="L40" s="15">
        <f t="shared" si="257"/>
        <v>0.57926632191338079</v>
      </c>
      <c r="M40" s="15">
        <f t="shared" si="257"/>
        <v>0.58241960748180222</v>
      </c>
      <c r="N40" s="15">
        <f t="shared" si="257"/>
        <v>0.5748556256223033</v>
      </c>
      <c r="O40" s="15">
        <f t="shared" si="257"/>
        <v>0.58252341532987306</v>
      </c>
      <c r="P40" s="15">
        <f t="shared" ref="P40:Q40" si="258">P14/P16</f>
        <v>0.58389897395422252</v>
      </c>
      <c r="Q40" s="15">
        <f t="shared" si="258"/>
        <v>0.57226596422161757</v>
      </c>
      <c r="R40" s="15">
        <f>R14/R16</f>
        <v>0.56022512097622557</v>
      </c>
      <c r="S40" s="15">
        <f t="shared" ref="S40:V40" si="259">S14/S16</f>
        <v>0.57831687850172664</v>
      </c>
      <c r="T40" s="15">
        <f t="shared" si="259"/>
        <v>0.57139027397994746</v>
      </c>
      <c r="U40" s="15">
        <f t="shared" si="259"/>
        <v>0.574054998500515</v>
      </c>
      <c r="V40" s="15">
        <f t="shared" si="259"/>
        <v>0.55636658556366581</v>
      </c>
      <c r="W40" s="15">
        <f t="shared" ref="W40:X40" si="260">W14/W16</f>
        <v>0.57308881411490087</v>
      </c>
      <c r="X40" s="15">
        <f t="shared" si="260"/>
        <v>0.57243161596374881</v>
      </c>
      <c r="Y40" s="15">
        <f t="shared" ref="Y40:Z40" si="261">Y14/Y16</f>
        <v>0.55948928263923503</v>
      </c>
      <c r="Z40" s="15">
        <f t="shared" si="261"/>
        <v>0.5601177580362604</v>
      </c>
      <c r="AA40" s="15">
        <f t="shared" ref="AA40:AD40" si="262">AA14/AA16</f>
        <v>0.56714509594765894</v>
      </c>
      <c r="AB40" s="15">
        <f t="shared" si="262"/>
        <v>0.56604284728067589</v>
      </c>
      <c r="AC40" s="15">
        <f t="shared" si="262"/>
        <v>0.55203303899211342</v>
      </c>
      <c r="AD40" s="15">
        <f t="shared" si="262"/>
        <v>0.55289805827569694</v>
      </c>
      <c r="AE40" s="15"/>
      <c r="AQ40" s="15">
        <f t="shared" ref="AQ40:AT40" si="263">AQ14/AQ16</f>
        <v>0.57011839344316184</v>
      </c>
      <c r="AR40" s="15">
        <f t="shared" si="263"/>
        <v>0.57814289096674776</v>
      </c>
      <c r="AS40" s="15">
        <f t="shared" si="263"/>
        <v>0.57436111386103605</v>
      </c>
      <c r="AT40" s="15">
        <f t="shared" si="263"/>
        <v>0.56940929230889348</v>
      </c>
      <c r="AU40" s="15">
        <f t="shared" ref="AU40:BA40" si="264">AU14/AU16</f>
        <v>0.56592518099069189</v>
      </c>
      <c r="AV40" s="15">
        <f t="shared" si="264"/>
        <v>0.55913219648948886</v>
      </c>
      <c r="AW40" s="15">
        <f t="shared" si="264"/>
        <v>0.55424476912214915</v>
      </c>
      <c r="AX40" s="15">
        <f t="shared" si="264"/>
        <v>0.54636147943405733</v>
      </c>
      <c r="AY40" s="15">
        <f t="shared" si="264"/>
        <v>0.54775822142847774</v>
      </c>
      <c r="AZ40" s="15">
        <f t="shared" si="264"/>
        <v>0.54892781611909824</v>
      </c>
      <c r="BA40" s="15">
        <f t="shared" si="264"/>
        <v>0.54519586792665953</v>
      </c>
      <c r="BB40" s="15">
        <f t="shared" ref="BB40:BF40" si="265">BB14/BB16</f>
        <v>0.54123170569357515</v>
      </c>
      <c r="BC40" s="15">
        <f t="shared" si="265"/>
        <v>0.53703540709187469</v>
      </c>
      <c r="BD40" s="15">
        <f t="shared" si="265"/>
        <v>0.53260756212521398</v>
      </c>
      <c r="BE40" s="15">
        <f t="shared" si="265"/>
        <v>0.52794929652673239</v>
      </c>
      <c r="BF40" s="15">
        <f t="shared" si="265"/>
        <v>0.52306229308791219</v>
      </c>
      <c r="BH40" s="18" t="s">
        <v>230</v>
      </c>
      <c r="BI40" s="18">
        <f>+BI38/BI39-1</f>
        <v>0.49217722770246586</v>
      </c>
    </row>
    <row r="41" spans="2:61" s="5" customFormat="1" x14ac:dyDescent="0.2">
      <c r="B41" s="5" t="s">
        <v>104</v>
      </c>
      <c r="C41" s="15"/>
      <c r="D41" s="15"/>
      <c r="E41" s="15"/>
      <c r="F41" s="15"/>
      <c r="G41" s="15">
        <f t="shared" ref="G41:J41" si="266">(G14+G13+G12)/G16</f>
        <v>0.82030661580699238</v>
      </c>
      <c r="H41" s="15">
        <f t="shared" si="266"/>
        <v>0.7798783194506097</v>
      </c>
      <c r="I41" s="15">
        <f t="shared" si="266"/>
        <v>0.80339159248911707</v>
      </c>
      <c r="J41" s="15">
        <f t="shared" si="266"/>
        <v>0.81196175612499566</v>
      </c>
      <c r="K41" s="15">
        <f t="shared" ref="K41:Q41" si="267">(K14+K13+K12)/K16</f>
        <v>0.80782442058068482</v>
      </c>
      <c r="L41" s="15">
        <f t="shared" si="267"/>
        <v>0.81519069166127989</v>
      </c>
      <c r="M41" s="15">
        <f t="shared" si="267"/>
        <v>0.81590343683774069</v>
      </c>
      <c r="N41" s="15">
        <f t="shared" si="267"/>
        <v>0.81299701294390969</v>
      </c>
      <c r="O41" s="15">
        <f t="shared" si="267"/>
        <v>0.80370822366970052</v>
      </c>
      <c r="P41" s="15">
        <f t="shared" si="267"/>
        <v>0.80774915692042759</v>
      </c>
      <c r="Q41" s="15">
        <f t="shared" si="267"/>
        <v>0.78854281248190816</v>
      </c>
      <c r="R41" s="15">
        <f>(R14+R13+R12)/R16</f>
        <v>0.77637807700399752</v>
      </c>
      <c r="S41" s="15">
        <f t="shared" ref="S41:V41" si="268">(S14+S13+S12)/S16</f>
        <v>0.78163554816799685</v>
      </c>
      <c r="T41" s="15">
        <f t="shared" si="268"/>
        <v>0.779354994370275</v>
      </c>
      <c r="U41" s="15">
        <f t="shared" si="268"/>
        <v>0.77773721200109525</v>
      </c>
      <c r="V41" s="15">
        <f t="shared" si="268"/>
        <v>0.75908932916232186</v>
      </c>
      <c r="W41" s="15">
        <f t="shared" ref="W41:X41" si="269">(W14+W13+W12)/W16</f>
        <v>0.76557940873365704</v>
      </c>
      <c r="X41" s="15">
        <f t="shared" si="269"/>
        <v>0.76250265511788728</v>
      </c>
      <c r="Y41" s="15">
        <f t="shared" ref="Y41:Z41" si="270">(Y14+Y13+Y12)/Y16</f>
        <v>0.74606879050165409</v>
      </c>
      <c r="Z41" s="15">
        <f t="shared" si="270"/>
        <v>0.75113248815681721</v>
      </c>
      <c r="AA41" s="15">
        <f t="shared" ref="AA41:AD41" si="271">(AA14+AA13+AA12)/AA16</f>
        <v>0.75032874785562531</v>
      </c>
      <c r="AB41" s="15">
        <f t="shared" si="271"/>
        <v>0.7470777750059947</v>
      </c>
      <c r="AC41" s="15">
        <f t="shared" si="271"/>
        <v>0.72942326274145686</v>
      </c>
      <c r="AD41" s="15">
        <f t="shared" si="271"/>
        <v>0.73508381911163501</v>
      </c>
      <c r="AE41" s="15"/>
      <c r="AK41" s="15">
        <f t="shared" ref="AK41:BA41" si="272">(AK14+AK13+AK12)/AK16</f>
        <v>0</v>
      </c>
      <c r="AL41" s="15"/>
      <c r="AM41" s="15"/>
      <c r="AN41" s="15">
        <f t="shared" si="272"/>
        <v>0.86218032565062463</v>
      </c>
      <c r="AO41" s="15">
        <f t="shared" si="272"/>
        <v>0.85120487651568866</v>
      </c>
      <c r="AP41" s="15">
        <f t="shared" si="272"/>
        <v>0.83290188252593333</v>
      </c>
      <c r="AQ41" s="15">
        <f t="shared" si="272"/>
        <v>0.80494392610408327</v>
      </c>
      <c r="AR41" s="15">
        <f t="shared" si="272"/>
        <v>0.81314795623299452</v>
      </c>
      <c r="AS41" s="15">
        <f t="shared" si="272"/>
        <v>0.79365073752987592</v>
      </c>
      <c r="AT41" s="15">
        <f t="shared" si="272"/>
        <v>0.7737789286713469</v>
      </c>
      <c r="AU41" s="15">
        <f t="shared" si="272"/>
        <v>0.75593255204018084</v>
      </c>
      <c r="AV41" s="15">
        <f t="shared" si="272"/>
        <v>0.74005783793654667</v>
      </c>
      <c r="AW41" s="15">
        <f t="shared" si="272"/>
        <v>0.72403159499747949</v>
      </c>
      <c r="AX41" s="15">
        <f t="shared" si="272"/>
        <v>0.70482835915389264</v>
      </c>
      <c r="AY41" s="15">
        <f t="shared" si="272"/>
        <v>0.70240876864701252</v>
      </c>
      <c r="AZ41" s="15">
        <f t="shared" si="272"/>
        <v>0.69980409430525436</v>
      </c>
      <c r="BA41" s="15">
        <f t="shared" si="272"/>
        <v>0.69386980513307872</v>
      </c>
      <c r="BB41" s="15">
        <f t="shared" ref="BB41:BF41" si="273">(BB14+BB13+BB12)/BB16</f>
        <v>0.68767883491430093</v>
      </c>
      <c r="BC41" s="15">
        <f t="shared" si="273"/>
        <v>0.68123184761438238</v>
      </c>
      <c r="BD41" s="15">
        <f t="shared" si="273"/>
        <v>0.67453011995713652</v>
      </c>
      <c r="BE41" s="15">
        <f t="shared" si="273"/>
        <v>0.66757556724239475</v>
      </c>
      <c r="BF41" s="15">
        <f t="shared" si="273"/>
        <v>0.66037076652693938</v>
      </c>
    </row>
    <row r="43" spans="2:61" x14ac:dyDescent="0.2">
      <c r="B43" s="3" t="s">
        <v>71</v>
      </c>
      <c r="G43" s="11">
        <f>+G44-G62</f>
        <v>124580</v>
      </c>
      <c r="N43" s="11">
        <f t="shared" ref="N43:O43" si="274">+N44-N62</f>
        <v>154381</v>
      </c>
      <c r="O43" s="11">
        <f t="shared" si="274"/>
        <v>149723</v>
      </c>
      <c r="P43" s="11">
        <f t="shared" ref="P43:Y43" si="275">+P44-P62</f>
        <v>140928</v>
      </c>
      <c r="Q43" s="11">
        <f t="shared" si="275"/>
        <v>132025</v>
      </c>
      <c r="R43" s="11">
        <f t="shared" si="275"/>
        <v>129553</v>
      </c>
      <c r="S43" s="11">
        <f t="shared" si="275"/>
        <v>132618</v>
      </c>
      <c r="T43" s="11">
        <f t="shared" si="275"/>
        <v>135851</v>
      </c>
      <c r="U43" s="11">
        <f t="shared" si="275"/>
        <v>137061</v>
      </c>
      <c r="V43" s="11">
        <f t="shared" si="275"/>
        <v>128671</v>
      </c>
      <c r="W43" s="11">
        <f t="shared" si="275"/>
        <v>128856</v>
      </c>
      <c r="X43" s="11">
        <f t="shared" si="275"/>
        <v>121659</v>
      </c>
      <c r="Y43" s="11">
        <f t="shared" si="275"/>
        <v>117110</v>
      </c>
      <c r="Z43" s="11">
        <f>+Z44-Z62</f>
        <v>122756</v>
      </c>
      <c r="AA43" s="11">
        <f>+Z43+AA28</f>
        <v>149664.02136399999</v>
      </c>
      <c r="AB43" s="11">
        <f>+AA43+AB28</f>
        <v>176230.51928799998</v>
      </c>
      <c r="AC43" s="11">
        <f>+AB43+AC28</f>
        <v>203419.95054799999</v>
      </c>
      <c r="AD43" s="11">
        <f>+AC43+AD28</f>
        <v>234684.52285199999</v>
      </c>
      <c r="AE43" s="11"/>
      <c r="AM43" s="3">
        <v>72053</v>
      </c>
      <c r="AS43" s="11">
        <f>+AS44-AS62</f>
        <v>129553</v>
      </c>
      <c r="AT43" s="11">
        <f>+AT44-AT62</f>
        <v>128671</v>
      </c>
      <c r="AU43" s="11">
        <f>+AU44-AU62</f>
        <v>122756</v>
      </c>
      <c r="AV43" s="3">
        <f>+AU43+AV28</f>
        <v>234684.52285200002</v>
      </c>
      <c r="AW43" s="3">
        <f>+AV43+AW28</f>
        <v>358283.16742519918</v>
      </c>
      <c r="AX43" s="3">
        <f t="shared" ref="AX43:BA43" si="276">+AW43+AX28</f>
        <v>504013.28892541426</v>
      </c>
      <c r="AY43" s="3">
        <f t="shared" si="276"/>
        <v>664036.18366196775</v>
      </c>
      <c r="AZ43" s="3">
        <f t="shared" si="276"/>
        <v>841426.13953469112</v>
      </c>
      <c r="BA43" s="3">
        <f t="shared" si="276"/>
        <v>1034939.0797580157</v>
      </c>
      <c r="BB43" s="3">
        <f t="shared" ref="BB43" si="277">+BA43+BB28</f>
        <v>1245856.1103517897</v>
      </c>
      <c r="BC43" s="3">
        <f t="shared" ref="BC43" si="278">+BB43+BC28</f>
        <v>1475561.4482348186</v>
      </c>
      <c r="BD43" s="3">
        <f t="shared" ref="BD43" si="279">+BC43+BD28</f>
        <v>1725551.2057233136</v>
      </c>
      <c r="BE43" s="3">
        <f t="shared" ref="BE43" si="280">+BD43+BE28</f>
        <v>1997442.9682700185</v>
      </c>
      <c r="BF43" s="3">
        <f t="shared" ref="BF43" si="281">+BE43+BF28</f>
        <v>2292986.2402268802</v>
      </c>
    </row>
    <row r="44" spans="2:61" s="3" customFormat="1" x14ac:dyDescent="0.2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>
        <f>100725+34172</f>
        <v>134897</v>
      </c>
      <c r="Y44" s="11">
        <f>93230+36177</f>
        <v>129407</v>
      </c>
      <c r="Z44" s="11">
        <f>23466+72191+37982</f>
        <v>133639</v>
      </c>
      <c r="AA44" s="11"/>
      <c r="AB44" s="11"/>
      <c r="AC44" s="11"/>
      <c r="AD44" s="11"/>
      <c r="AE44" s="11"/>
      <c r="AS44" s="3">
        <f>R44</f>
        <v>144254</v>
      </c>
      <c r="AT44" s="3">
        <f>+V44</f>
        <v>141924</v>
      </c>
      <c r="AU44" s="3">
        <f t="shared" ref="AU44:AU53" si="282">Z44</f>
        <v>133639</v>
      </c>
    </row>
    <row r="45" spans="2:61" s="3" customFormat="1" x14ac:dyDescent="0.2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>
        <v>47087</v>
      </c>
      <c r="Y45" s="11">
        <v>49104</v>
      </c>
      <c r="Z45" s="11">
        <v>52340</v>
      </c>
      <c r="AA45" s="11"/>
      <c r="AB45" s="11"/>
      <c r="AC45" s="11"/>
      <c r="AD45" s="11"/>
      <c r="AE45" s="11"/>
      <c r="AS45" s="3">
        <f t="shared" ref="AS45:AS53" si="283">R45</f>
        <v>40258</v>
      </c>
      <c r="AT45" s="3">
        <f t="shared" ref="AT45:AT53" si="284">+V45</f>
        <v>47964</v>
      </c>
      <c r="AU45" s="3">
        <f t="shared" si="282"/>
        <v>52340</v>
      </c>
    </row>
    <row r="46" spans="2:61" s="3" customFormat="1" x14ac:dyDescent="0.2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/>
      <c r="AB46" s="11"/>
      <c r="AC46" s="11"/>
      <c r="AD46" s="11"/>
      <c r="AE46" s="11"/>
      <c r="AS46" s="3">
        <f t="shared" si="283"/>
        <v>0</v>
      </c>
      <c r="AT46" s="3">
        <f t="shared" si="284"/>
        <v>0</v>
      </c>
      <c r="AU46" s="3">
        <f t="shared" si="282"/>
        <v>0</v>
      </c>
    </row>
    <row r="47" spans="2:61" s="3" customFormat="1" x14ac:dyDescent="0.2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/>
      <c r="AB47" s="11"/>
      <c r="AC47" s="11"/>
      <c r="AD47" s="11"/>
      <c r="AE47" s="11"/>
      <c r="AS47" s="3">
        <f t="shared" si="283"/>
        <v>2670</v>
      </c>
      <c r="AT47" s="3">
        <f t="shared" si="284"/>
        <v>0</v>
      </c>
      <c r="AU47" s="3">
        <f t="shared" si="282"/>
        <v>0</v>
      </c>
    </row>
    <row r="48" spans="2:61" s="3" customFormat="1" x14ac:dyDescent="0.2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>
        <v>14183</v>
      </c>
      <c r="Y48" s="11">
        <v>15207</v>
      </c>
      <c r="Z48" s="11">
        <v>15714</v>
      </c>
      <c r="AA48" s="11"/>
      <c r="AB48" s="11"/>
      <c r="AC48" s="11"/>
      <c r="AD48" s="11"/>
      <c r="AE48" s="11"/>
      <c r="AS48" s="3">
        <f t="shared" si="283"/>
        <v>8105</v>
      </c>
      <c r="AT48" s="3">
        <f t="shared" si="284"/>
        <v>12650</v>
      </c>
      <c r="AU48" s="3">
        <f t="shared" si="282"/>
        <v>15714</v>
      </c>
    </row>
    <row r="49" spans="2:47" x14ac:dyDescent="0.2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>
        <v>14958</v>
      </c>
      <c r="Y49" s="11">
        <v>15915</v>
      </c>
      <c r="Z49" s="11">
        <v>17180</v>
      </c>
      <c r="AA49" s="11"/>
      <c r="AB49" s="11"/>
      <c r="AC49" s="11"/>
      <c r="AD49" s="11"/>
      <c r="AE49" s="11"/>
      <c r="AS49" s="3">
        <f t="shared" si="283"/>
        <v>5261</v>
      </c>
      <c r="AT49" s="3">
        <f t="shared" si="284"/>
        <v>12169</v>
      </c>
      <c r="AU49" s="3">
        <f t="shared" si="282"/>
        <v>17180</v>
      </c>
    </row>
    <row r="50" spans="2:47" x14ac:dyDescent="0.2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>
        <v>151155</v>
      </c>
      <c r="Y50" s="11">
        <v>161270</v>
      </c>
      <c r="Z50" s="11">
        <v>171036</v>
      </c>
      <c r="AA50" s="11"/>
      <c r="AB50" s="11"/>
      <c r="AC50" s="11"/>
      <c r="AD50" s="11"/>
      <c r="AE50" s="11"/>
      <c r="AS50" s="3">
        <f t="shared" si="283"/>
        <v>112668</v>
      </c>
      <c r="AT50" s="3">
        <f t="shared" si="284"/>
        <v>134345</v>
      </c>
      <c r="AU50" s="3">
        <f t="shared" si="282"/>
        <v>171036</v>
      </c>
    </row>
    <row r="51" spans="2:47" x14ac:dyDescent="0.2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>
        <v>13606</v>
      </c>
      <c r="Y51" s="11">
        <v>13561</v>
      </c>
      <c r="Z51" s="11">
        <v>13588</v>
      </c>
      <c r="AA51" s="11"/>
      <c r="AB51" s="11"/>
      <c r="AC51" s="11"/>
      <c r="AD51" s="11"/>
      <c r="AE51" s="11"/>
      <c r="AS51" s="3">
        <f t="shared" si="283"/>
        <v>14381</v>
      </c>
      <c r="AT51" s="3">
        <f t="shared" si="284"/>
        <v>14091</v>
      </c>
      <c r="AU51" s="3">
        <f t="shared" si="282"/>
        <v>13588</v>
      </c>
    </row>
    <row r="52" spans="2:47" x14ac:dyDescent="0.2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>
        <v>29185</v>
      </c>
      <c r="Y52" s="11">
        <v>31935</v>
      </c>
      <c r="Z52" s="11">
        <v>31885</v>
      </c>
      <c r="AA52" s="11"/>
      <c r="AB52" s="11"/>
      <c r="AC52" s="11"/>
      <c r="AD52" s="11"/>
      <c r="AE52" s="11"/>
      <c r="AS52" s="3">
        <f t="shared" si="283"/>
        <v>31044</v>
      </c>
      <c r="AT52" s="3">
        <f t="shared" si="284"/>
        <v>29198</v>
      </c>
      <c r="AU52" s="3">
        <f t="shared" si="282"/>
        <v>31885</v>
      </c>
    </row>
    <row r="53" spans="2:47" x14ac:dyDescent="0.2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>
        <v>9699</v>
      </c>
      <c r="Y53" s="11">
        <v>13867</v>
      </c>
      <c r="Z53" s="11">
        <v>14874</v>
      </c>
      <c r="AA53" s="11"/>
      <c r="AB53" s="11"/>
      <c r="AC53" s="11"/>
      <c r="AD53" s="11"/>
      <c r="AE53" s="11"/>
      <c r="AS53" s="3">
        <f t="shared" si="283"/>
        <v>6623</v>
      </c>
      <c r="AT53" s="3">
        <f t="shared" si="284"/>
        <v>10051</v>
      </c>
      <c r="AU53" s="3">
        <f t="shared" si="282"/>
        <v>14874</v>
      </c>
    </row>
    <row r="54" spans="2:47" x14ac:dyDescent="0.2">
      <c r="B54" s="3" t="s">
        <v>59</v>
      </c>
      <c r="G54" s="11">
        <f>SUM(G44:G53)</f>
        <v>273403</v>
      </c>
      <c r="N54" s="11">
        <f t="shared" ref="N54:Z54" si="285">SUM(N44:N53)</f>
        <v>359268</v>
      </c>
      <c r="O54" s="11">
        <f t="shared" si="285"/>
        <v>357096</v>
      </c>
      <c r="P54" s="11">
        <f t="shared" si="285"/>
        <v>355185</v>
      </c>
      <c r="Q54" s="11">
        <f t="shared" si="285"/>
        <v>358255</v>
      </c>
      <c r="R54" s="11">
        <f t="shared" si="285"/>
        <v>365264</v>
      </c>
      <c r="S54" s="11">
        <f t="shared" si="285"/>
        <v>369491</v>
      </c>
      <c r="T54" s="11">
        <f t="shared" si="285"/>
        <v>383044</v>
      </c>
      <c r="U54" s="11">
        <f t="shared" si="285"/>
        <v>396711</v>
      </c>
      <c r="V54" s="11">
        <f t="shared" si="285"/>
        <v>402392</v>
      </c>
      <c r="W54" s="11">
        <f t="shared" si="285"/>
        <v>407350</v>
      </c>
      <c r="X54" s="11">
        <f t="shared" si="285"/>
        <v>414770</v>
      </c>
      <c r="Y54" s="11">
        <f t="shared" si="285"/>
        <v>430266</v>
      </c>
      <c r="Z54" s="11">
        <f t="shared" si="285"/>
        <v>450256</v>
      </c>
      <c r="AA54" s="11"/>
      <c r="AB54" s="11"/>
      <c r="AC54" s="11"/>
      <c r="AD54" s="11"/>
      <c r="AE54" s="11"/>
      <c r="AS54" s="3">
        <f>SUM(AS44:AS53)</f>
        <v>365264</v>
      </c>
      <c r="AT54" s="3">
        <f>SUM(AT44:AT53)</f>
        <v>402392</v>
      </c>
      <c r="AU54" s="3">
        <f>SUM(AU44:AU53)</f>
        <v>450256</v>
      </c>
    </row>
    <row r="55" spans="2:47" x14ac:dyDescent="0.2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2:47" x14ac:dyDescent="0.2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>
        <v>6198</v>
      </c>
      <c r="X56" s="11">
        <v>6092</v>
      </c>
      <c r="Y56" s="11">
        <v>7049</v>
      </c>
      <c r="Z56" s="11">
        <v>7987</v>
      </c>
      <c r="AA56" s="11"/>
      <c r="AB56" s="11"/>
      <c r="AC56" s="11"/>
      <c r="AD56" s="11"/>
      <c r="AE56" s="11"/>
      <c r="AS56" s="3">
        <f t="shared" ref="AS56:AS65" si="286">R56</f>
        <v>5128</v>
      </c>
      <c r="AT56" s="3">
        <f t="shared" ref="AT56:AT65" si="287">+V56</f>
        <v>7493</v>
      </c>
      <c r="AU56" s="3">
        <f>Z56</f>
        <v>7987</v>
      </c>
    </row>
    <row r="57" spans="2:47" x14ac:dyDescent="0.2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>
        <v>9703</v>
      </c>
      <c r="X57" s="11">
        <v>11373</v>
      </c>
      <c r="Y57" s="11">
        <v>12908</v>
      </c>
      <c r="Z57" s="11">
        <v>15069</v>
      </c>
      <c r="AA57" s="11"/>
      <c r="AB57" s="11"/>
      <c r="AC57" s="11"/>
      <c r="AD57" s="11"/>
      <c r="AE57" s="11"/>
      <c r="AS57" s="3">
        <f t="shared" si="286"/>
        <v>14028</v>
      </c>
      <c r="AT57" s="3">
        <f t="shared" si="287"/>
        <v>15140</v>
      </c>
      <c r="AU57" s="3">
        <f t="shared" ref="AU57:AU65" si="288">Z57</f>
        <v>15069</v>
      </c>
    </row>
    <row r="58" spans="2:47" x14ac:dyDescent="0.2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>
        <v>48603</v>
      </c>
      <c r="X58" s="11">
        <v>47298</v>
      </c>
      <c r="Y58" s="11">
        <v>46585</v>
      </c>
      <c r="Z58" s="11">
        <v>51228</v>
      </c>
      <c r="AA58" s="11"/>
      <c r="AB58" s="11"/>
      <c r="AC58" s="11"/>
      <c r="AD58" s="11"/>
      <c r="AE58" s="11"/>
      <c r="AS58" s="3">
        <f t="shared" si="286"/>
        <v>37866</v>
      </c>
      <c r="AT58" s="3">
        <f t="shared" si="287"/>
        <v>46168</v>
      </c>
      <c r="AU58" s="3">
        <f t="shared" si="288"/>
        <v>51228</v>
      </c>
    </row>
    <row r="59" spans="2:47" x14ac:dyDescent="0.2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>
        <v>8520</v>
      </c>
      <c r="X59" s="11">
        <v>8899</v>
      </c>
      <c r="Y59" s="11">
        <v>9365</v>
      </c>
      <c r="Z59" s="11">
        <v>9802</v>
      </c>
      <c r="AA59" s="11"/>
      <c r="AB59" s="11"/>
      <c r="AC59" s="11"/>
      <c r="AD59" s="11"/>
      <c r="AE59" s="11"/>
      <c r="AS59" s="3">
        <f t="shared" si="286"/>
        <v>8370</v>
      </c>
      <c r="AT59" s="3">
        <f t="shared" si="287"/>
        <v>8876</v>
      </c>
      <c r="AU59" s="3">
        <f t="shared" si="288"/>
        <v>9802</v>
      </c>
    </row>
    <row r="60" spans="2:47" x14ac:dyDescent="0.2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>
        <f>3973+921</f>
        <v>4894</v>
      </c>
      <c r="X60" s="11">
        <f>4251+985</f>
        <v>5236</v>
      </c>
      <c r="Y60" s="11">
        <f>4896+1015</f>
        <v>5911</v>
      </c>
      <c r="Z60" s="11">
        <v>5036</v>
      </c>
      <c r="AA60" s="11"/>
      <c r="AB60" s="11"/>
      <c r="AC60" s="11"/>
      <c r="AD60" s="11"/>
      <c r="AE60" s="11"/>
      <c r="AS60" s="3">
        <f t="shared" si="286"/>
        <v>4507</v>
      </c>
      <c r="AT60" s="3">
        <f t="shared" si="287"/>
        <v>5048</v>
      </c>
      <c r="AU60" s="3">
        <f t="shared" si="288"/>
        <v>5036</v>
      </c>
    </row>
    <row r="61" spans="2:47" x14ac:dyDescent="0.2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>
        <f>9234+486</f>
        <v>9720</v>
      </c>
      <c r="X61" s="11">
        <f>7703+717</f>
        <v>8420</v>
      </c>
      <c r="Y61" s="11">
        <f>8219+706</f>
        <v>8925</v>
      </c>
      <c r="Z61" s="11">
        <v>8782</v>
      </c>
      <c r="AA61" s="11"/>
      <c r="AB61" s="11"/>
      <c r="AC61" s="11"/>
      <c r="AD61" s="11"/>
      <c r="AE61" s="11"/>
      <c r="AS61" s="3">
        <f t="shared" si="286"/>
        <v>9772</v>
      </c>
      <c r="AT61" s="3">
        <f t="shared" si="287"/>
        <v>8959</v>
      </c>
      <c r="AU61" s="3">
        <f t="shared" si="288"/>
        <v>8782</v>
      </c>
    </row>
    <row r="62" spans="2:47" x14ac:dyDescent="0.2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>
        <v>13228</v>
      </c>
      <c r="X62" s="11">
        <v>13238</v>
      </c>
      <c r="Y62" s="11">
        <v>12297</v>
      </c>
      <c r="Z62" s="11">
        <v>10883</v>
      </c>
      <c r="AA62" s="11"/>
      <c r="AB62" s="11"/>
      <c r="AC62" s="11"/>
      <c r="AD62" s="11"/>
      <c r="AE62" s="11"/>
      <c r="AS62" s="3">
        <f t="shared" si="286"/>
        <v>14701</v>
      </c>
      <c r="AT62" s="3">
        <f t="shared" si="287"/>
        <v>13253</v>
      </c>
      <c r="AU62" s="3">
        <f t="shared" si="288"/>
        <v>10883</v>
      </c>
    </row>
    <row r="63" spans="2:47" x14ac:dyDescent="0.2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>
        <v>11957</v>
      </c>
      <c r="X63" s="11">
        <v>11708</v>
      </c>
      <c r="Y63" s="11">
        <v>11654</v>
      </c>
      <c r="Z63" s="11">
        <v>11691</v>
      </c>
      <c r="AA63" s="11"/>
      <c r="AB63" s="11"/>
      <c r="AC63" s="11"/>
      <c r="AD63" s="11"/>
      <c r="AE63" s="11"/>
      <c r="AS63" s="3">
        <f t="shared" si="286"/>
        <v>12501</v>
      </c>
      <c r="AT63" s="3">
        <f t="shared" si="287"/>
        <v>12460</v>
      </c>
      <c r="AU63" s="3">
        <f t="shared" si="288"/>
        <v>11691</v>
      </c>
    </row>
    <row r="64" spans="2:47" x14ac:dyDescent="0.2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>
        <v>1683</v>
      </c>
      <c r="X64" s="11">
        <v>1753</v>
      </c>
      <c r="Y64" s="11">
        <v>1453</v>
      </c>
      <c r="Z64" s="11">
        <v>4694</v>
      </c>
      <c r="AA64" s="11"/>
      <c r="AB64" s="11"/>
      <c r="AC64" s="11"/>
      <c r="AD64" s="11"/>
      <c r="AE64" s="11"/>
      <c r="AS64" s="3">
        <f t="shared" si="286"/>
        <v>2247</v>
      </c>
      <c r="AT64" s="3">
        <f t="shared" si="287"/>
        <v>1616</v>
      </c>
      <c r="AU64" s="3">
        <f t="shared" si="288"/>
        <v>4694</v>
      </c>
    </row>
    <row r="65" spans="2:47" x14ac:dyDescent="0.2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>
        <v>292844</v>
      </c>
      <c r="X65" s="11">
        <v>300753</v>
      </c>
      <c r="Y65" s="11">
        <v>314119</v>
      </c>
      <c r="Z65" s="11">
        <v>325084</v>
      </c>
      <c r="AA65" s="11"/>
      <c r="AB65" s="11"/>
      <c r="AC65" s="11"/>
      <c r="AD65" s="11"/>
      <c r="AE65" s="11"/>
      <c r="AS65" s="3">
        <f t="shared" si="286"/>
        <v>256144</v>
      </c>
      <c r="AT65" s="3">
        <f t="shared" si="287"/>
        <v>283379</v>
      </c>
      <c r="AU65" s="3">
        <f t="shared" si="288"/>
        <v>325084</v>
      </c>
    </row>
    <row r="66" spans="2:47" x14ac:dyDescent="0.2">
      <c r="B66" s="3" t="s">
        <v>67</v>
      </c>
      <c r="G66" s="11">
        <f>SUM(G56:G65)</f>
        <v>273403</v>
      </c>
      <c r="N66" s="11">
        <f t="shared" ref="N66:Z66" si="289">SUM(N56:N65)</f>
        <v>359268</v>
      </c>
      <c r="O66" s="11">
        <f t="shared" si="289"/>
        <v>357096</v>
      </c>
      <c r="P66" s="11">
        <f t="shared" si="289"/>
        <v>355185</v>
      </c>
      <c r="Q66" s="11">
        <f t="shared" si="289"/>
        <v>358255</v>
      </c>
      <c r="R66" s="11">
        <f t="shared" si="289"/>
        <v>365264</v>
      </c>
      <c r="S66" s="11">
        <f t="shared" si="289"/>
        <v>369491</v>
      </c>
      <c r="T66" s="11">
        <f t="shared" si="289"/>
        <v>383044</v>
      </c>
      <c r="U66" s="11">
        <f t="shared" si="289"/>
        <v>396711</v>
      </c>
      <c r="V66" s="11">
        <f t="shared" si="289"/>
        <v>402392</v>
      </c>
      <c r="W66" s="11">
        <f t="shared" si="289"/>
        <v>407350</v>
      </c>
      <c r="X66" s="11">
        <f t="shared" si="289"/>
        <v>414770</v>
      </c>
      <c r="Y66" s="11">
        <f t="shared" si="289"/>
        <v>430266</v>
      </c>
      <c r="Z66" s="11">
        <f t="shared" si="289"/>
        <v>450256</v>
      </c>
      <c r="AA66" s="11"/>
      <c r="AB66" s="11"/>
      <c r="AC66" s="11"/>
      <c r="AD66" s="11"/>
      <c r="AE66" s="11"/>
      <c r="AS66" s="3">
        <f>SUM(AS56:AS65)</f>
        <v>365264</v>
      </c>
      <c r="AT66" s="3">
        <f>SUM(AT56:AT65)</f>
        <v>402392</v>
      </c>
      <c r="AU66" s="3">
        <f>SUM(AU56:AU65)</f>
        <v>450256</v>
      </c>
    </row>
    <row r="68" spans="2:47" s="3" customFormat="1" x14ac:dyDescent="0.2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Z68" si="290">+H28</f>
        <v>6959</v>
      </c>
      <c r="I68" s="11">
        <f t="shared" si="290"/>
        <v>11247</v>
      </c>
      <c r="J68" s="11">
        <f t="shared" si="290"/>
        <v>15227</v>
      </c>
      <c r="K68" s="11">
        <f t="shared" si="290"/>
        <v>17930</v>
      </c>
      <c r="L68" s="11">
        <f t="shared" si="290"/>
        <v>18165</v>
      </c>
      <c r="M68" s="11">
        <f t="shared" si="290"/>
        <v>18936</v>
      </c>
      <c r="N68" s="11">
        <f t="shared" si="290"/>
        <v>20642</v>
      </c>
      <c r="O68" s="11">
        <f t="shared" si="290"/>
        <v>16436</v>
      </c>
      <c r="P68" s="11">
        <f t="shared" si="290"/>
        <v>16002</v>
      </c>
      <c r="Q68" s="11">
        <f t="shared" si="290"/>
        <v>13910</v>
      </c>
      <c r="R68" s="11">
        <f t="shared" si="290"/>
        <v>13624</v>
      </c>
      <c r="S68" s="11">
        <f t="shared" si="290"/>
        <v>15051</v>
      </c>
      <c r="T68" s="11">
        <f t="shared" si="290"/>
        <v>18368</v>
      </c>
      <c r="U68" s="11">
        <f t="shared" si="290"/>
        <v>19689</v>
      </c>
      <c r="V68" s="11">
        <f t="shared" si="290"/>
        <v>20216</v>
      </c>
      <c r="W68" s="11">
        <f t="shared" si="290"/>
        <v>23662</v>
      </c>
      <c r="X68" s="11">
        <f t="shared" si="290"/>
        <v>23619</v>
      </c>
      <c r="Y68" s="11">
        <f t="shared" si="290"/>
        <v>23116</v>
      </c>
      <c r="Z68" s="11">
        <f t="shared" si="290"/>
        <v>26603</v>
      </c>
      <c r="AA68" s="11"/>
      <c r="AB68" s="11"/>
      <c r="AC68" s="11"/>
      <c r="AD68" s="11"/>
      <c r="AE68" s="11"/>
      <c r="AS68" s="3">
        <f>SUM(O68:R68)</f>
        <v>59972</v>
      </c>
      <c r="AT68" s="3">
        <f>SUM(S68:V68)</f>
        <v>73324</v>
      </c>
      <c r="AU68" s="3">
        <f>SUM(W68:Z68)</f>
        <v>97000</v>
      </c>
    </row>
    <row r="69" spans="2:47" s="3" customFormat="1" x14ac:dyDescent="0.2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>
        <v>23662</v>
      </c>
      <c r="X69" s="11">
        <f>47281-W69</f>
        <v>23619</v>
      </c>
      <c r="Y69" s="11">
        <f>73582-X69-W69</f>
        <v>26301</v>
      </c>
      <c r="Z69" s="11">
        <f>100118-Y69-X69-W69</f>
        <v>26536</v>
      </c>
      <c r="AA69" s="11"/>
      <c r="AB69" s="11"/>
      <c r="AC69" s="11"/>
      <c r="AD69" s="11"/>
      <c r="AE69" s="11"/>
      <c r="AS69" s="3">
        <f t="shared" ref="AS69:AS76" si="291">SUM(O69:R69)</f>
        <v>59972</v>
      </c>
      <c r="AT69" s="3">
        <f t="shared" ref="AT69:AT76" si="292">SUM(S69:V69)</f>
        <v>73795</v>
      </c>
      <c r="AU69" s="3">
        <f>SUM(W69:Z69)</f>
        <v>100118</v>
      </c>
    </row>
    <row r="70" spans="2:47" s="3" customFormat="1" x14ac:dyDescent="0.2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>
        <v>3413</v>
      </c>
      <c r="X70" s="11">
        <f>7121-W70</f>
        <v>3708</v>
      </c>
      <c r="Y70" s="11">
        <f>11106-X70-W70</f>
        <v>3985</v>
      </c>
      <c r="Z70" s="11">
        <f>15311-Y70-X70-W70</f>
        <v>4205</v>
      </c>
      <c r="AA70" s="11"/>
      <c r="AB70" s="11"/>
      <c r="AC70" s="11"/>
      <c r="AD70" s="11"/>
      <c r="AE70" s="11"/>
      <c r="AS70" s="3">
        <f t="shared" si="291"/>
        <v>15287</v>
      </c>
      <c r="AT70" s="3">
        <f t="shared" si="292"/>
        <v>13326</v>
      </c>
      <c r="AU70" s="3">
        <f t="shared" ref="AU70:AU76" si="293">SUM(W70:Z70)</f>
        <v>15311</v>
      </c>
    </row>
    <row r="71" spans="2:47" s="3" customFormat="1" x14ac:dyDescent="0.2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/>
      <c r="AB71" s="11"/>
      <c r="AC71" s="11"/>
      <c r="AD71" s="11"/>
      <c r="AE71" s="11"/>
      <c r="AS71" s="3">
        <f t="shared" si="291"/>
        <v>641</v>
      </c>
      <c r="AT71" s="3">
        <f t="shared" si="292"/>
        <v>373</v>
      </c>
      <c r="AU71" s="3">
        <f t="shared" si="293"/>
        <v>0</v>
      </c>
    </row>
    <row r="72" spans="2:47" s="3" customFormat="1" x14ac:dyDescent="0.2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>
        <v>5264</v>
      </c>
      <c r="X72" s="11">
        <f>11129-W72</f>
        <v>5865</v>
      </c>
      <c r="Y72" s="11">
        <f>16975-X72-W72</f>
        <v>5846</v>
      </c>
      <c r="Z72" s="11">
        <f>22785-Y72-X72-W72</f>
        <v>5810</v>
      </c>
      <c r="AA72" s="11"/>
      <c r="AB72" s="11"/>
      <c r="AC72" s="11"/>
      <c r="AD72" s="11"/>
      <c r="AE72" s="11"/>
      <c r="AS72" s="3">
        <f t="shared" si="291"/>
        <v>19362</v>
      </c>
      <c r="AT72" s="3">
        <f t="shared" si="292"/>
        <v>22460</v>
      </c>
      <c r="AU72" s="3">
        <f t="shared" si="293"/>
        <v>22785</v>
      </c>
    </row>
    <row r="73" spans="2:47" s="3" customFormat="1" x14ac:dyDescent="0.2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>
        <v>419</v>
      </c>
      <c r="X73" s="11">
        <f>-2738-W73</f>
        <v>-3157</v>
      </c>
      <c r="Y73" s="11">
        <f>-3809-X73-W73</f>
        <v>-1071</v>
      </c>
      <c r="Z73" s="11">
        <f>-5257-Y73-X73-W73</f>
        <v>-1448</v>
      </c>
      <c r="AA73" s="11"/>
      <c r="AB73" s="11"/>
      <c r="AC73" s="11"/>
      <c r="AD73" s="11"/>
      <c r="AE73" s="11"/>
      <c r="AS73" s="3">
        <f t="shared" si="291"/>
        <v>-8081</v>
      </c>
      <c r="AT73" s="3">
        <f t="shared" si="292"/>
        <v>-7763</v>
      </c>
      <c r="AU73" s="3">
        <f t="shared" si="293"/>
        <v>-5257</v>
      </c>
    </row>
    <row r="74" spans="2:47" s="3" customFormat="1" x14ac:dyDescent="0.2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>
        <v>-1781</v>
      </c>
      <c r="X74" s="11">
        <f>-757-W74</f>
        <v>1024</v>
      </c>
      <c r="Y74" s="11">
        <f>-2738-X74-W74</f>
        <v>-1981</v>
      </c>
      <c r="Z74" s="11">
        <f>-2671-Y74-X74-W74</f>
        <v>67</v>
      </c>
      <c r="AA74" s="11"/>
      <c r="AB74" s="11"/>
      <c r="AC74" s="11"/>
      <c r="AD74" s="11"/>
      <c r="AE74" s="11"/>
      <c r="AS74" s="3">
        <f t="shared" si="291"/>
        <v>5519</v>
      </c>
      <c r="AT74" s="3">
        <f t="shared" si="292"/>
        <v>823</v>
      </c>
      <c r="AU74" s="3">
        <f t="shared" si="293"/>
        <v>-2671</v>
      </c>
    </row>
    <row r="75" spans="2:47" s="3" customFormat="1" x14ac:dyDescent="0.2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>
        <v>334</v>
      </c>
      <c r="X75" s="11">
        <f>1185-W75</f>
        <v>851</v>
      </c>
      <c r="Y75" s="11">
        <f>2592-X75-W75</f>
        <v>1407</v>
      </c>
      <c r="Z75" s="11">
        <f>3419-Y75-X75-W75</f>
        <v>827</v>
      </c>
      <c r="AA75" s="11"/>
      <c r="AB75" s="11"/>
      <c r="AC75" s="11"/>
      <c r="AD75" s="11"/>
      <c r="AE75" s="11"/>
      <c r="AS75" s="3">
        <f t="shared" si="291"/>
        <v>1030</v>
      </c>
      <c r="AT75" s="3">
        <f t="shared" si="292"/>
        <v>2577</v>
      </c>
      <c r="AU75" s="3">
        <f t="shared" si="293"/>
        <v>3419</v>
      </c>
    </row>
    <row r="76" spans="2:47" s="3" customFormat="1" x14ac:dyDescent="0.2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>
        <f>3167+3011-1000-2124-5054-322-141</f>
        <v>-2463</v>
      </c>
      <c r="X76" s="11">
        <f>110-889-1532-563-5176+97+220-W76</f>
        <v>-5270</v>
      </c>
      <c r="Y76" s="11">
        <f>-1321-2797-2334-42-6366+478+860-X76-W76</f>
        <v>-3789</v>
      </c>
      <c r="Z76" s="11">
        <f>-5891-2418-1397+359-1161+1059+1043-Y76-X76-W76</f>
        <v>3116</v>
      </c>
      <c r="AA76" s="11"/>
      <c r="AB76" s="11"/>
      <c r="AC76" s="11"/>
      <c r="AD76" s="11"/>
      <c r="AE76" s="11"/>
      <c r="AS76" s="3">
        <f t="shared" si="291"/>
        <v>-2235</v>
      </c>
      <c r="AT76" s="3">
        <f t="shared" si="292"/>
        <v>-3845</v>
      </c>
      <c r="AU76" s="3">
        <f t="shared" si="293"/>
        <v>-8406</v>
      </c>
    </row>
    <row r="77" spans="2:47" s="3" customFormat="1" x14ac:dyDescent="0.2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Z77" si="294">SUM(N69:N76)</f>
        <v>0</v>
      </c>
      <c r="O77" s="11">
        <f t="shared" si="294"/>
        <v>25106</v>
      </c>
      <c r="P77" s="11">
        <f t="shared" si="294"/>
        <v>19422</v>
      </c>
      <c r="Q77" s="11">
        <f t="shared" si="294"/>
        <v>23353</v>
      </c>
      <c r="R77" s="11">
        <f t="shared" si="294"/>
        <v>23614</v>
      </c>
      <c r="S77" s="11">
        <f t="shared" si="294"/>
        <v>23509</v>
      </c>
      <c r="T77" s="11">
        <f t="shared" si="294"/>
        <v>28666</v>
      </c>
      <c r="U77" s="11">
        <f t="shared" si="294"/>
        <v>30656</v>
      </c>
      <c r="V77" s="11">
        <f t="shared" si="294"/>
        <v>18915</v>
      </c>
      <c r="W77" s="11">
        <f t="shared" si="294"/>
        <v>28848</v>
      </c>
      <c r="X77" s="11">
        <f>SUM(X69:X76)</f>
        <v>26640</v>
      </c>
      <c r="Y77" s="11">
        <f t="shared" si="294"/>
        <v>30698</v>
      </c>
      <c r="Z77" s="11">
        <f t="shared" si="294"/>
        <v>39113</v>
      </c>
      <c r="AA77" s="11"/>
      <c r="AB77" s="11"/>
      <c r="AC77" s="11"/>
      <c r="AD77" s="11"/>
      <c r="AE77" s="11"/>
      <c r="AS77" s="3">
        <f>SUM(AS69:AS76)</f>
        <v>91495</v>
      </c>
      <c r="AT77" s="3">
        <f>SUM(AT69:AT76)</f>
        <v>101746</v>
      </c>
      <c r="AU77" s="3">
        <f>SUM(AU69:AU76)</f>
        <v>125299</v>
      </c>
    </row>
    <row r="78" spans="2:47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T78" s="22">
        <f>+AT77/AS77-1</f>
        <v>0.11203890923001247</v>
      </c>
      <c r="AU78" s="22">
        <f>+AU77/AT77-1</f>
        <v>0.23148821575295342</v>
      </c>
    </row>
    <row r="79" spans="2:47" s="3" customFormat="1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2:47" s="3" customFormat="1" x14ac:dyDescent="0.2">
      <c r="B80" s="3" t="s">
        <v>36</v>
      </c>
      <c r="C80" s="11">
        <v>-4638</v>
      </c>
      <c r="D80" s="11"/>
      <c r="E80" s="11"/>
      <c r="F80" s="11"/>
      <c r="G80" s="11">
        <v>-6005</v>
      </c>
      <c r="H80" s="11"/>
      <c r="I80" s="11"/>
      <c r="J80" s="11">
        <v>-5479</v>
      </c>
      <c r="K80" s="11">
        <v>-5942</v>
      </c>
      <c r="L80" s="11">
        <v>-5496</v>
      </c>
      <c r="M80" s="11">
        <v>-6819</v>
      </c>
      <c r="N80" s="11">
        <v>-6383</v>
      </c>
      <c r="O80" s="11">
        <v>-9786</v>
      </c>
      <c r="P80" s="11">
        <v>-6828</v>
      </c>
      <c r="Q80" s="11">
        <v>-7276</v>
      </c>
      <c r="R80" s="11">
        <v>-7595</v>
      </c>
      <c r="S80" s="11">
        <v>-6289</v>
      </c>
      <c r="T80" s="11">
        <f>-13177-S80</f>
        <v>-6888</v>
      </c>
      <c r="U80" s="11">
        <v>-8055</v>
      </c>
      <c r="V80" s="11">
        <v>-11019</v>
      </c>
      <c r="W80" s="11">
        <v>-12012</v>
      </c>
      <c r="X80" s="11">
        <f>-25198-W80</f>
        <v>-13186</v>
      </c>
      <c r="Y80" s="11">
        <f>-38259-X80-W80</f>
        <v>-13061</v>
      </c>
      <c r="Z80" s="11">
        <f>-52535-Y80-X80-W80</f>
        <v>-14276</v>
      </c>
      <c r="AA80" s="11"/>
      <c r="AB80" s="11"/>
      <c r="AC80" s="11"/>
      <c r="AD80" s="11"/>
      <c r="AE80" s="11"/>
      <c r="AS80" s="3">
        <f t="shared" ref="AS80:AS83" si="295">SUM(O80:R80)</f>
        <v>-31485</v>
      </c>
      <c r="AT80" s="3">
        <f t="shared" ref="AT80:AT83" si="296">SUM(S80:V80)</f>
        <v>-32251</v>
      </c>
      <c r="AU80" s="3">
        <f t="shared" ref="AU80:AU83" si="297">SUM(W80:Z80)</f>
        <v>-52535</v>
      </c>
    </row>
    <row r="81" spans="2:47" s="3" customFormat="1" x14ac:dyDescent="0.2">
      <c r="B81" s="3" t="s">
        <v>89</v>
      </c>
      <c r="C81" s="11">
        <f>-20883+21006-907+99</f>
        <v>-685</v>
      </c>
      <c r="D81" s="11"/>
      <c r="E81" s="11"/>
      <c r="F81" s="11"/>
      <c r="G81" s="11">
        <f>-37563+41811-572+260</f>
        <v>3936</v>
      </c>
      <c r="H81" s="11"/>
      <c r="I81" s="11"/>
      <c r="J81" s="11"/>
      <c r="K81" s="11"/>
      <c r="L81" s="11"/>
      <c r="M81" s="11"/>
      <c r="N81" s="11"/>
      <c r="O81" s="11">
        <f>-28462+29779-776+12</f>
        <v>553</v>
      </c>
      <c r="P81" s="11">
        <f>-21737+25595-488+113</f>
        <v>3483</v>
      </c>
      <c r="Q81" s="11"/>
      <c r="R81" s="11">
        <f>-11621+13735-903+19</f>
        <v>1230</v>
      </c>
      <c r="S81" s="11">
        <f>-14227+18327-626+36</f>
        <v>3510</v>
      </c>
      <c r="T81" s="11">
        <f>-35589+37049-1513-S81+181</f>
        <v>-3382</v>
      </c>
      <c r="U81" s="11">
        <f>-13833+15593-663+562</f>
        <v>1659</v>
      </c>
      <c r="V81" s="11">
        <f>-28436+34030-851+204</f>
        <v>4947</v>
      </c>
      <c r="W81" s="11">
        <f>-20684+24985-1206+313</f>
        <v>3408</v>
      </c>
      <c r="X81" s="11">
        <f>-43011+58577-2199+605-W81</f>
        <v>10564</v>
      </c>
      <c r="Y81" s="11">
        <f>-65034+81779-3234+732-X81-W81</f>
        <v>271</v>
      </c>
      <c r="Z81" s="11">
        <f>-86679+103428-5034+882-Y81-X81-W81</f>
        <v>-1646</v>
      </c>
      <c r="AA81" s="11"/>
      <c r="AB81" s="11"/>
      <c r="AC81" s="11"/>
      <c r="AD81" s="11"/>
      <c r="AE81" s="11"/>
      <c r="AS81" s="3">
        <f t="shared" si="295"/>
        <v>5266</v>
      </c>
      <c r="AT81" s="3">
        <f t="shared" si="296"/>
        <v>6734</v>
      </c>
      <c r="AU81" s="3">
        <f t="shared" si="297"/>
        <v>12597</v>
      </c>
    </row>
    <row r="82" spans="2:47" s="3" customFormat="1" x14ac:dyDescent="0.2">
      <c r="B82" s="3" t="s">
        <v>91</v>
      </c>
      <c r="C82" s="11">
        <v>-99</v>
      </c>
      <c r="D82" s="11"/>
      <c r="E82" s="11"/>
      <c r="F82" s="11"/>
      <c r="G82" s="11">
        <v>-190</v>
      </c>
      <c r="H82" s="11"/>
      <c r="I82" s="11"/>
      <c r="J82" s="11"/>
      <c r="K82" s="11"/>
      <c r="L82" s="11"/>
      <c r="M82" s="11"/>
      <c r="N82" s="11"/>
      <c r="O82" s="11">
        <v>-173</v>
      </c>
      <c r="P82" s="11">
        <v>-1063</v>
      </c>
      <c r="Q82" s="11"/>
      <c r="R82" s="11">
        <v>-84</v>
      </c>
      <c r="S82" s="11">
        <v>-42</v>
      </c>
      <c r="T82" s="11">
        <f>-340-S82</f>
        <v>-298</v>
      </c>
      <c r="U82" s="11">
        <v>-126</v>
      </c>
      <c r="V82" s="11">
        <v>-29</v>
      </c>
      <c r="W82" s="11">
        <v>-61</v>
      </c>
      <c r="X82" s="11">
        <f>-87-W82</f>
        <v>-26</v>
      </c>
      <c r="Y82" s="11">
        <f>-2840-X82-W82</f>
        <v>-2753</v>
      </c>
      <c r="Z82" s="11">
        <f>-2931-Y82-X82-W82</f>
        <v>-91</v>
      </c>
      <c r="AA82" s="11"/>
      <c r="AB82" s="11"/>
      <c r="AC82" s="11"/>
      <c r="AD82" s="11"/>
      <c r="AE82" s="11"/>
      <c r="AS82" s="3">
        <f t="shared" si="295"/>
        <v>-1320</v>
      </c>
      <c r="AT82" s="3">
        <f t="shared" si="296"/>
        <v>-495</v>
      </c>
      <c r="AU82" s="3">
        <f t="shared" si="297"/>
        <v>-2931</v>
      </c>
    </row>
    <row r="83" spans="2:47" s="3" customFormat="1" x14ac:dyDescent="0.2">
      <c r="B83" s="3" t="s">
        <v>28</v>
      </c>
      <c r="C83" s="11">
        <v>34</v>
      </c>
      <c r="D83" s="11"/>
      <c r="E83" s="11"/>
      <c r="F83" s="11"/>
      <c r="G83" s="11">
        <v>412</v>
      </c>
      <c r="H83" s="11"/>
      <c r="I83" s="11"/>
      <c r="J83" s="11"/>
      <c r="K83" s="11"/>
      <c r="L83" s="11"/>
      <c r="M83" s="11"/>
      <c r="N83" s="11"/>
      <c r="O83" s="11">
        <v>355</v>
      </c>
      <c r="P83" s="11">
        <v>221</v>
      </c>
      <c r="Q83" s="11"/>
      <c r="R83" s="11">
        <v>222</v>
      </c>
      <c r="S83" s="11">
        <v>-125</v>
      </c>
      <c r="T83" s="11">
        <f>-357-S83</f>
        <v>-232</v>
      </c>
      <c r="U83" s="11">
        <v>-628</v>
      </c>
      <c r="V83" s="11">
        <v>-66</v>
      </c>
      <c r="W83" s="11">
        <v>101</v>
      </c>
      <c r="X83" s="11">
        <f>-32-W83</f>
        <v>-133</v>
      </c>
      <c r="Y83" s="11">
        <f>-2500-X83-W83</f>
        <v>-2468</v>
      </c>
      <c r="Z83" s="11">
        <f>-2667-Y83-X83-W83</f>
        <v>-167</v>
      </c>
      <c r="AA83" s="11"/>
      <c r="AB83" s="11"/>
      <c r="AC83" s="11"/>
      <c r="AD83" s="11"/>
      <c r="AE83" s="11"/>
      <c r="AS83" s="3">
        <f t="shared" si="295"/>
        <v>798</v>
      </c>
      <c r="AT83" s="3">
        <f t="shared" si="296"/>
        <v>-1051</v>
      </c>
      <c r="AU83" s="3">
        <f t="shared" si="297"/>
        <v>-2667</v>
      </c>
    </row>
    <row r="84" spans="2:47" s="3" customFormat="1" x14ac:dyDescent="0.2">
      <c r="B84" s="3" t="s">
        <v>92</v>
      </c>
      <c r="C84" s="11">
        <f>SUM(C80:C83)</f>
        <v>-5388</v>
      </c>
      <c r="D84" s="11"/>
      <c r="E84" s="11"/>
      <c r="F84" s="11"/>
      <c r="G84" s="11">
        <f>SUM(G80:G83)</f>
        <v>-1847</v>
      </c>
      <c r="H84" s="11"/>
      <c r="I84" s="11"/>
      <c r="J84" s="11"/>
      <c r="K84" s="11"/>
      <c r="L84" s="11"/>
      <c r="M84" s="11"/>
      <c r="N84" s="11"/>
      <c r="O84" s="11">
        <f>SUM(O80:O83)</f>
        <v>-9051</v>
      </c>
      <c r="P84" s="11">
        <f>SUM(P80:P83)</f>
        <v>-4187</v>
      </c>
      <c r="Q84" s="11"/>
      <c r="R84" s="11">
        <f t="shared" ref="R84:Z84" si="298">SUM(R80:R83)</f>
        <v>-6227</v>
      </c>
      <c r="S84" s="11">
        <f t="shared" si="298"/>
        <v>-2946</v>
      </c>
      <c r="T84" s="11">
        <f t="shared" si="298"/>
        <v>-10800</v>
      </c>
      <c r="U84" s="11">
        <f t="shared" si="298"/>
        <v>-7150</v>
      </c>
      <c r="V84" s="11">
        <f t="shared" si="298"/>
        <v>-6167</v>
      </c>
      <c r="W84" s="11">
        <f t="shared" si="298"/>
        <v>-8564</v>
      </c>
      <c r="X84" s="11">
        <f t="shared" si="298"/>
        <v>-2781</v>
      </c>
      <c r="Y84" s="11">
        <f t="shared" si="298"/>
        <v>-18011</v>
      </c>
      <c r="Z84" s="11">
        <f t="shared" si="298"/>
        <v>-16180</v>
      </c>
      <c r="AA84" s="11"/>
      <c r="AB84" s="11"/>
      <c r="AC84" s="11"/>
      <c r="AD84" s="11"/>
      <c r="AE84" s="11"/>
      <c r="AS84" s="3">
        <f>SUM(AS80:AS83)</f>
        <v>-26741</v>
      </c>
      <c r="AT84" s="3">
        <f>SUM(AT80:AT83)</f>
        <v>-27063</v>
      </c>
      <c r="AU84" s="3">
        <f>SUM(AU80:AU83)</f>
        <v>-45536</v>
      </c>
    </row>
    <row r="85" spans="2:47" s="3" customFormat="1" x14ac:dyDescent="0.2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2:47" s="3" customFormat="1" x14ac:dyDescent="0.2">
      <c r="B86" s="3" t="s">
        <v>86</v>
      </c>
      <c r="C86" s="11">
        <v>-1175</v>
      </c>
      <c r="D86" s="11"/>
      <c r="E86" s="11"/>
      <c r="F86" s="11"/>
      <c r="G86" s="11">
        <v>-1241</v>
      </c>
      <c r="H86" s="11"/>
      <c r="I86" s="11"/>
      <c r="J86" s="11"/>
      <c r="K86" s="11"/>
      <c r="L86" s="11"/>
      <c r="M86" s="11"/>
      <c r="N86" s="11"/>
      <c r="O86" s="11">
        <v>-2916</v>
      </c>
      <c r="P86" s="11">
        <v>-2264</v>
      </c>
      <c r="Q86" s="11"/>
      <c r="R86" s="11">
        <v>-2079</v>
      </c>
      <c r="S86" s="11">
        <v>-1989</v>
      </c>
      <c r="T86" s="11">
        <f>-4725-S86</f>
        <v>-2736</v>
      </c>
      <c r="U86" s="11">
        <v>-2432</v>
      </c>
      <c r="V86" s="11">
        <v>-2680</v>
      </c>
      <c r="W86" s="11">
        <v>-2929</v>
      </c>
      <c r="X86" s="11">
        <f>-6138-W86</f>
        <v>-3209</v>
      </c>
      <c r="Y86" s="11">
        <f>-9141-X86-W86</f>
        <v>-3003</v>
      </c>
      <c r="Z86" s="11">
        <f>-12190-Y86-X86-W86</f>
        <v>-3049</v>
      </c>
      <c r="AA86" s="11"/>
      <c r="AB86" s="11"/>
      <c r="AC86" s="11"/>
      <c r="AD86" s="11"/>
      <c r="AE86" s="11"/>
      <c r="AS86" s="3">
        <f t="shared" ref="AS86:AS92" si="299">SUM(O86:R86)</f>
        <v>-7259</v>
      </c>
      <c r="AT86" s="3">
        <f t="shared" ref="AT86:AT90" si="300">SUM(S86:V86)</f>
        <v>-9837</v>
      </c>
      <c r="AU86" s="3">
        <f t="shared" ref="AU86:AU92" si="301">SUM(W86:Z86)</f>
        <v>-12190</v>
      </c>
    </row>
    <row r="87" spans="2:47" s="3" customFormat="1" x14ac:dyDescent="0.2">
      <c r="B87" s="3" t="s">
        <v>93</v>
      </c>
      <c r="C87" s="11">
        <v>-3025</v>
      </c>
      <c r="D87" s="11"/>
      <c r="E87" s="11"/>
      <c r="F87" s="11"/>
      <c r="G87" s="11">
        <v>-8496</v>
      </c>
      <c r="H87" s="11"/>
      <c r="I87" s="11"/>
      <c r="J87" s="11"/>
      <c r="K87" s="11"/>
      <c r="L87" s="11"/>
      <c r="M87" s="11"/>
      <c r="N87" s="11"/>
      <c r="O87" s="11">
        <v>-13300</v>
      </c>
      <c r="P87" s="11">
        <v>-15197</v>
      </c>
      <c r="Q87" s="11"/>
      <c r="R87" s="11">
        <v>-15407</v>
      </c>
      <c r="S87" s="11">
        <v>-14557</v>
      </c>
      <c r="T87" s="11">
        <f>-29526-S87</f>
        <v>-14969</v>
      </c>
      <c r="U87" s="11">
        <v>-15787</v>
      </c>
      <c r="V87" s="11">
        <v>-16191</v>
      </c>
      <c r="W87" s="11">
        <v>-15696</v>
      </c>
      <c r="X87" s="11">
        <f>-31380-W87</f>
        <v>-15684</v>
      </c>
      <c r="Y87" s="11">
        <f>-46671-X87-W87</f>
        <v>-15291</v>
      </c>
      <c r="Z87" s="11">
        <f>-62222-Y87-X87-W87</f>
        <v>-15551</v>
      </c>
      <c r="AA87" s="11"/>
      <c r="AB87" s="11"/>
      <c r="AC87" s="11"/>
      <c r="AD87" s="11"/>
      <c r="AE87" s="11"/>
      <c r="AS87" s="3">
        <f t="shared" si="299"/>
        <v>-43904</v>
      </c>
      <c r="AT87" s="3">
        <f t="shared" si="300"/>
        <v>-61504</v>
      </c>
      <c r="AU87" s="3">
        <f t="shared" si="301"/>
        <v>-62222</v>
      </c>
    </row>
    <row r="88" spans="2:47" s="3" customFormat="1" x14ac:dyDescent="0.2">
      <c r="B88" s="3" t="s">
        <v>233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>
        <v>0</v>
      </c>
      <c r="X88" s="11">
        <f>-2466-W88</f>
        <v>-2466</v>
      </c>
      <c r="Y88" s="11">
        <f>-4921-X88-W88</f>
        <v>-2455</v>
      </c>
      <c r="Z88" s="11">
        <f>-7363-Y88-X88-W88</f>
        <v>-2442</v>
      </c>
      <c r="AA88" s="11"/>
      <c r="AB88" s="11"/>
      <c r="AC88" s="11"/>
      <c r="AD88" s="11"/>
      <c r="AE88" s="11"/>
      <c r="AS88" s="3">
        <f t="shared" si="299"/>
        <v>0</v>
      </c>
      <c r="AT88" s="3">
        <f t="shared" si="300"/>
        <v>0</v>
      </c>
      <c r="AU88" s="3">
        <f t="shared" si="301"/>
        <v>-7363</v>
      </c>
    </row>
    <row r="89" spans="2:47" s="3" customFormat="1" x14ac:dyDescent="0.2">
      <c r="B89" s="3" t="s">
        <v>4</v>
      </c>
      <c r="C89" s="11">
        <f>315-345</f>
        <v>-30</v>
      </c>
      <c r="D89" s="11"/>
      <c r="E89" s="11"/>
      <c r="F89" s="11"/>
      <c r="G89" s="11">
        <f>1898-1947</f>
        <v>-49</v>
      </c>
      <c r="H89" s="11"/>
      <c r="I89" s="11"/>
      <c r="J89" s="11"/>
      <c r="K89" s="11"/>
      <c r="L89" s="11"/>
      <c r="M89" s="11"/>
      <c r="N89" s="11"/>
      <c r="O89" s="11">
        <f>16422-16420</f>
        <v>2</v>
      </c>
      <c r="P89" s="11">
        <f>12806-13162</f>
        <v>-356</v>
      </c>
      <c r="Q89" s="11"/>
      <c r="R89" s="11">
        <f>8550-8718</f>
        <v>-168</v>
      </c>
      <c r="S89" s="11">
        <f>6927-6952</f>
        <v>-25</v>
      </c>
      <c r="T89" s="11">
        <f>8050-8207-S89</f>
        <v>-132</v>
      </c>
      <c r="U89" s="11">
        <f>1248-1414</f>
        <v>-166</v>
      </c>
      <c r="V89" s="11">
        <f>1492-1929</f>
        <v>-437</v>
      </c>
      <c r="W89" s="11">
        <f>1982-3079</f>
        <v>-1097</v>
      </c>
      <c r="X89" s="11">
        <f>4875-5502-W89</f>
        <v>470</v>
      </c>
      <c r="Y89" s="11">
        <f>8694-8951-X89-W89</f>
        <v>370</v>
      </c>
      <c r="Z89" s="11">
        <f>13589-12701-Y89-X89-W89</f>
        <v>1145</v>
      </c>
      <c r="AA89" s="11"/>
      <c r="AB89" s="11"/>
      <c r="AC89" s="11"/>
      <c r="AD89" s="11"/>
      <c r="AE89" s="11"/>
      <c r="AS89" s="3">
        <f t="shared" si="299"/>
        <v>-522</v>
      </c>
      <c r="AT89" s="3">
        <f t="shared" si="300"/>
        <v>-760</v>
      </c>
      <c r="AU89" s="3">
        <f t="shared" si="301"/>
        <v>888</v>
      </c>
    </row>
    <row r="90" spans="2:47" s="3" customFormat="1" x14ac:dyDescent="0.2">
      <c r="B90" s="3" t="s">
        <v>94</v>
      </c>
      <c r="C90" s="11">
        <v>47</v>
      </c>
      <c r="D90" s="11"/>
      <c r="E90" s="11"/>
      <c r="F90" s="11"/>
      <c r="G90" s="11">
        <v>1600</v>
      </c>
      <c r="H90" s="11"/>
      <c r="I90" s="11"/>
      <c r="J90" s="11"/>
      <c r="K90" s="11"/>
      <c r="L90" s="11"/>
      <c r="M90" s="11"/>
      <c r="N90" s="11"/>
      <c r="O90" s="11">
        <v>0</v>
      </c>
      <c r="P90" s="11">
        <v>0</v>
      </c>
      <c r="Q90" s="11"/>
      <c r="R90" s="11">
        <v>25</v>
      </c>
      <c r="S90" s="11">
        <v>3</v>
      </c>
      <c r="T90" s="11">
        <f>5-S90</f>
        <v>2</v>
      </c>
      <c r="U90" s="11">
        <v>3</v>
      </c>
      <c r="V90" s="11">
        <v>0</v>
      </c>
      <c r="W90" s="11">
        <v>8</v>
      </c>
      <c r="X90" s="11">
        <f>8-W90</f>
        <v>0</v>
      </c>
      <c r="Y90" s="11">
        <f>293-X90-W90</f>
        <v>285</v>
      </c>
      <c r="Z90" s="11">
        <f>1154-Y90-X90-W90</f>
        <v>861</v>
      </c>
      <c r="AA90" s="11"/>
      <c r="AB90" s="11"/>
      <c r="AC90" s="11"/>
      <c r="AD90" s="11"/>
      <c r="AE90" s="11"/>
      <c r="AS90" s="3">
        <f t="shared" si="299"/>
        <v>25</v>
      </c>
      <c r="AT90" s="3">
        <f t="shared" si="300"/>
        <v>8</v>
      </c>
      <c r="AU90" s="3">
        <f t="shared" si="301"/>
        <v>1154</v>
      </c>
    </row>
    <row r="91" spans="2:47" s="3" customFormat="1" x14ac:dyDescent="0.2">
      <c r="B91" s="3" t="s">
        <v>90</v>
      </c>
      <c r="C91" s="11">
        <f>SUM(C86:C90)</f>
        <v>-4183</v>
      </c>
      <c r="D91" s="11"/>
      <c r="E91" s="11"/>
      <c r="F91" s="11"/>
      <c r="G91" s="11">
        <f>SUM(G86:G90)</f>
        <v>-8186</v>
      </c>
      <c r="H91" s="11"/>
      <c r="I91" s="11"/>
      <c r="J91" s="11"/>
      <c r="K91" s="11"/>
      <c r="L91" s="11"/>
      <c r="M91" s="11"/>
      <c r="N91" s="11"/>
      <c r="O91" s="11">
        <f>SUM(O86:O90)</f>
        <v>-16214</v>
      </c>
      <c r="P91" s="11">
        <f>SUM(P86:P90)</f>
        <v>-17817</v>
      </c>
      <c r="Q91" s="11"/>
      <c r="R91" s="11">
        <f t="shared" ref="R91:Z91" si="302">SUM(R86:R90)</f>
        <v>-17629</v>
      </c>
      <c r="S91" s="11">
        <f t="shared" si="302"/>
        <v>-16568</v>
      </c>
      <c r="T91" s="11">
        <f t="shared" si="302"/>
        <v>-17835</v>
      </c>
      <c r="U91" s="11">
        <f t="shared" si="302"/>
        <v>-18382</v>
      </c>
      <c r="V91" s="11">
        <f t="shared" si="302"/>
        <v>-19308</v>
      </c>
      <c r="W91" s="11">
        <f t="shared" si="302"/>
        <v>-19714</v>
      </c>
      <c r="X91" s="11">
        <f t="shared" si="302"/>
        <v>-20889</v>
      </c>
      <c r="Y91" s="11">
        <f t="shared" si="302"/>
        <v>-20094</v>
      </c>
      <c r="Z91" s="11">
        <f t="shared" si="302"/>
        <v>-19036</v>
      </c>
      <c r="AA91" s="11"/>
      <c r="AB91" s="11"/>
      <c r="AC91" s="11"/>
      <c r="AD91" s="11"/>
      <c r="AE91" s="11"/>
      <c r="AS91" s="3">
        <f>SUM(AS86:AS90)</f>
        <v>-51660</v>
      </c>
      <c r="AT91" s="3">
        <f>SUM(AT86:AT90)</f>
        <v>-72093</v>
      </c>
      <c r="AU91" s="3">
        <f>SUM(AU86:AU90)</f>
        <v>-79733</v>
      </c>
    </row>
    <row r="92" spans="2:47" s="3" customFormat="1" x14ac:dyDescent="0.2">
      <c r="B92" s="3" t="s">
        <v>41</v>
      </c>
      <c r="C92" s="11">
        <v>18</v>
      </c>
      <c r="D92" s="11"/>
      <c r="E92" s="11"/>
      <c r="F92" s="11"/>
      <c r="G92" s="11">
        <v>-272</v>
      </c>
      <c r="H92" s="11"/>
      <c r="I92" s="11"/>
      <c r="J92" s="11"/>
      <c r="K92" s="11"/>
      <c r="L92" s="11"/>
      <c r="M92" s="11"/>
      <c r="N92" s="11"/>
      <c r="O92" s="11">
        <v>100</v>
      </c>
      <c r="P92" s="11">
        <v>-368</v>
      </c>
      <c r="Q92" s="11"/>
      <c r="R92" s="11">
        <v>137</v>
      </c>
      <c r="S92" s="11">
        <v>50</v>
      </c>
      <c r="T92" s="11">
        <f>24-S92</f>
        <v>-26</v>
      </c>
      <c r="U92" s="11">
        <v>-351</v>
      </c>
      <c r="V92" s="11">
        <v>-94</v>
      </c>
      <c r="W92" s="11">
        <v>-125</v>
      </c>
      <c r="X92" s="11">
        <f>-363-W92</f>
        <v>-238</v>
      </c>
      <c r="Y92" s="11">
        <f>-222-X92-W92</f>
        <v>141</v>
      </c>
      <c r="Z92" s="11">
        <f>-612-Y92-X92-W92</f>
        <v>-390</v>
      </c>
      <c r="AA92" s="11"/>
      <c r="AB92" s="11"/>
      <c r="AC92" s="11"/>
      <c r="AD92" s="11"/>
      <c r="AE92" s="11"/>
      <c r="AS92" s="3">
        <f t="shared" si="299"/>
        <v>-131</v>
      </c>
      <c r="AT92" s="3">
        <f>SUM(S92:V92)</f>
        <v>-421</v>
      </c>
      <c r="AU92" s="3">
        <f t="shared" si="301"/>
        <v>-612</v>
      </c>
    </row>
    <row r="93" spans="2:47" s="3" customFormat="1" x14ac:dyDescent="0.2">
      <c r="B93" s="3" t="s">
        <v>95</v>
      </c>
      <c r="C93" s="11">
        <f>+C92+C91+C84+C77</f>
        <v>2447</v>
      </c>
      <c r="D93" s="11"/>
      <c r="E93" s="11"/>
      <c r="F93" s="11"/>
      <c r="G93" s="11">
        <f>+G92+G91+G84+G77</f>
        <v>1146</v>
      </c>
      <c r="H93" s="11"/>
      <c r="I93" s="11"/>
      <c r="J93" s="11"/>
      <c r="K93" s="11"/>
      <c r="L93" s="11"/>
      <c r="M93" s="11"/>
      <c r="N93" s="11"/>
      <c r="O93" s="11">
        <f>+O92+O91+O84+O77</f>
        <v>-59</v>
      </c>
      <c r="P93" s="11">
        <f>+P92+P91+P84+P77</f>
        <v>-2950</v>
      </c>
      <c r="Q93" s="11"/>
      <c r="R93" s="11">
        <f t="shared" ref="R93:Z93" si="303">+R92+R91+R84+R77</f>
        <v>-105</v>
      </c>
      <c r="S93" s="11">
        <f t="shared" si="303"/>
        <v>4045</v>
      </c>
      <c r="T93" s="11">
        <f t="shared" si="303"/>
        <v>5</v>
      </c>
      <c r="U93" s="11">
        <f t="shared" si="303"/>
        <v>4773</v>
      </c>
      <c r="V93" s="11">
        <f t="shared" si="303"/>
        <v>-6654</v>
      </c>
      <c r="W93" s="11">
        <f t="shared" si="303"/>
        <v>445</v>
      </c>
      <c r="X93" s="11">
        <f t="shared" si="303"/>
        <v>2732</v>
      </c>
      <c r="Y93" s="11">
        <f t="shared" si="303"/>
        <v>-7266</v>
      </c>
      <c r="Z93" s="11">
        <f t="shared" si="303"/>
        <v>3507</v>
      </c>
      <c r="AA93" s="11"/>
      <c r="AB93" s="11"/>
      <c r="AC93" s="11"/>
      <c r="AD93" s="11"/>
      <c r="AE93" s="11"/>
      <c r="AS93" s="3">
        <f>+AS92+AS91+AS84+AS77</f>
        <v>12963</v>
      </c>
      <c r="AT93" s="3">
        <f>+AT92+AT91+AT84+AT77</f>
        <v>2169</v>
      </c>
      <c r="AU93" s="3">
        <f>+AU92+AU91+AU84+AU77</f>
        <v>-582</v>
      </c>
    </row>
    <row r="94" spans="2:47" s="3" customFormat="1" x14ac:dyDescent="0.2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2:47" s="3" customFormat="1" x14ac:dyDescent="0.2">
      <c r="B95" s="3" t="s">
        <v>37</v>
      </c>
      <c r="C95" s="11"/>
      <c r="D95" s="11"/>
      <c r="E95" s="11"/>
      <c r="F95" s="11"/>
      <c r="G95" s="11"/>
      <c r="H95" s="11"/>
      <c r="I95" s="11"/>
      <c r="J95" s="11">
        <f>J77-J80</f>
        <v>28156</v>
      </c>
      <c r="K95" s="11">
        <f>K77-K80</f>
        <v>25231</v>
      </c>
      <c r="L95" s="11"/>
      <c r="M95" s="11">
        <f t="shared" ref="M95:N95" si="304">M77-M80</f>
        <v>32358</v>
      </c>
      <c r="N95" s="11">
        <f t="shared" si="304"/>
        <v>6383</v>
      </c>
      <c r="O95" s="11">
        <f>O77+O80</f>
        <v>15320</v>
      </c>
      <c r="P95" s="11">
        <f t="shared" ref="P95:S95" si="305">P77+P80</f>
        <v>12594</v>
      </c>
      <c r="Q95" s="11">
        <f t="shared" si="305"/>
        <v>16077</v>
      </c>
      <c r="R95" s="11">
        <f t="shared" si="305"/>
        <v>16019</v>
      </c>
      <c r="S95" s="11">
        <f t="shared" si="305"/>
        <v>17220</v>
      </c>
      <c r="T95" s="11">
        <f t="shared" ref="T95:Z95" si="306">T77+T80</f>
        <v>21778</v>
      </c>
      <c r="U95" s="11">
        <f t="shared" si="306"/>
        <v>22601</v>
      </c>
      <c r="V95" s="11">
        <f t="shared" si="306"/>
        <v>7896</v>
      </c>
      <c r="W95" s="11">
        <f t="shared" si="306"/>
        <v>16836</v>
      </c>
      <c r="X95" s="11">
        <f t="shared" si="306"/>
        <v>13454</v>
      </c>
      <c r="Y95" s="11">
        <f t="shared" si="306"/>
        <v>17637</v>
      </c>
      <c r="Z95" s="11">
        <f t="shared" si="306"/>
        <v>24837</v>
      </c>
      <c r="AA95" s="11"/>
      <c r="AB95" s="11"/>
      <c r="AC95" s="11"/>
      <c r="AD95" s="11"/>
      <c r="AE95" s="11"/>
      <c r="AS95" s="11">
        <f>AS77+AS80</f>
        <v>60010</v>
      </c>
      <c r="AT95" s="11">
        <f>AT77+AT80</f>
        <v>69495</v>
      </c>
      <c r="AU95" s="11">
        <f>AU77+AU80</f>
        <v>72764</v>
      </c>
    </row>
    <row r="96" spans="2:47" s="9" customFormat="1" x14ac:dyDescent="0.2">
      <c r="B96" s="9" t="s">
        <v>205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>
        <f t="shared" ref="N96:T96" si="307">SUM(K95:N95)</f>
        <v>63972</v>
      </c>
      <c r="O96" s="10">
        <f t="shared" si="307"/>
        <v>54061</v>
      </c>
      <c r="P96" s="10">
        <f t="shared" si="307"/>
        <v>66655</v>
      </c>
      <c r="Q96" s="10">
        <f t="shared" si="307"/>
        <v>50374</v>
      </c>
      <c r="R96" s="10">
        <f t="shared" si="307"/>
        <v>60010</v>
      </c>
      <c r="S96" s="10">
        <f t="shared" si="307"/>
        <v>61910</v>
      </c>
      <c r="T96" s="10">
        <f t="shared" si="307"/>
        <v>71094</v>
      </c>
      <c r="U96" s="10">
        <f t="shared" ref="U96:Z96" si="308">SUM(R95:U95)</f>
        <v>77618</v>
      </c>
      <c r="V96" s="10">
        <f t="shared" si="308"/>
        <v>69495</v>
      </c>
      <c r="W96" s="10">
        <f t="shared" si="308"/>
        <v>69111</v>
      </c>
      <c r="X96" s="10">
        <f t="shared" si="308"/>
        <v>60787</v>
      </c>
      <c r="Y96" s="10">
        <f t="shared" si="308"/>
        <v>55823</v>
      </c>
      <c r="Z96" s="10">
        <f>SUM(W95:Z95)</f>
        <v>72764</v>
      </c>
      <c r="AA96" s="10"/>
      <c r="AB96" s="10"/>
      <c r="AC96" s="10"/>
      <c r="AD96" s="10"/>
      <c r="AE96" s="10"/>
      <c r="AS96" s="10" t="s">
        <v>239</v>
      </c>
      <c r="AT96" s="10" t="s">
        <v>239</v>
      </c>
      <c r="AU96" s="10" t="s">
        <v>239</v>
      </c>
    </row>
    <row r="97" spans="2:47" x14ac:dyDescent="0.2">
      <c r="R97" s="11"/>
    </row>
    <row r="98" spans="2:47" s="3" customFormat="1" x14ac:dyDescent="0.2">
      <c r="B98" s="3" t="s">
        <v>52</v>
      </c>
      <c r="C98" s="11">
        <v>103459</v>
      </c>
      <c r="D98" s="11"/>
      <c r="E98" s="11"/>
      <c r="F98" s="11"/>
      <c r="G98" s="11">
        <v>123048</v>
      </c>
      <c r="H98" s="11"/>
      <c r="I98" s="11"/>
      <c r="J98" s="11"/>
      <c r="K98" s="11">
        <v>139995</v>
      </c>
      <c r="L98" s="11">
        <v>144056</v>
      </c>
      <c r="M98" s="11">
        <v>150028</v>
      </c>
      <c r="N98" s="11">
        <v>156500</v>
      </c>
      <c r="O98" s="11">
        <v>163906</v>
      </c>
      <c r="P98" s="11">
        <v>174014</v>
      </c>
      <c r="Q98" s="11">
        <v>186779</v>
      </c>
      <c r="R98" s="11">
        <v>190234</v>
      </c>
      <c r="S98" s="11">
        <v>190711</v>
      </c>
      <c r="T98" s="11">
        <v>181798</v>
      </c>
      <c r="U98" s="11">
        <v>182381</v>
      </c>
      <c r="V98" s="11">
        <v>182502</v>
      </c>
      <c r="W98" s="11">
        <v>180895</v>
      </c>
      <c r="X98" s="11">
        <v>181798</v>
      </c>
      <c r="Y98" s="11">
        <v>181269</v>
      </c>
      <c r="Z98" s="11">
        <v>182323</v>
      </c>
      <c r="AA98" s="11"/>
      <c r="AB98" s="11"/>
      <c r="AC98" s="11"/>
      <c r="AD98" s="11"/>
      <c r="AE98" s="11"/>
      <c r="AS98" s="3">
        <f t="shared" ref="AS98:AT98" si="309">R98</f>
        <v>190234</v>
      </c>
      <c r="AT98" s="3">
        <f t="shared" si="309"/>
        <v>190711</v>
      </c>
      <c r="AU98" s="3">
        <f>T98</f>
        <v>181798</v>
      </c>
    </row>
    <row r="99" spans="2:47" x14ac:dyDescent="0.2">
      <c r="B99" s="3" t="s">
        <v>81</v>
      </c>
      <c r="O99" s="15">
        <f t="shared" ref="O99:Z99" si="310">+O98/K98-1</f>
        <v>0.17079895710561099</v>
      </c>
      <c r="P99" s="15">
        <f t="shared" si="310"/>
        <v>0.20796079302493475</v>
      </c>
      <c r="Q99" s="15">
        <f t="shared" si="310"/>
        <v>0.24496094062441687</v>
      </c>
      <c r="R99" s="15">
        <f t="shared" si="310"/>
        <v>0.21555271565495215</v>
      </c>
      <c r="S99" s="15">
        <f t="shared" si="310"/>
        <v>0.16353885763791443</v>
      </c>
      <c r="T99" s="15">
        <f t="shared" si="310"/>
        <v>4.4732033054811771E-2</v>
      </c>
      <c r="U99" s="15">
        <f t="shared" si="310"/>
        <v>-2.3546544311726647E-2</v>
      </c>
      <c r="V99" s="15">
        <f t="shared" si="310"/>
        <v>-4.0644679710251541E-2</v>
      </c>
      <c r="W99" s="15">
        <f t="shared" si="310"/>
        <v>-5.1470549679882072E-2</v>
      </c>
      <c r="X99" s="15">
        <f t="shared" si="310"/>
        <v>0</v>
      </c>
      <c r="Y99" s="15">
        <f t="shared" si="310"/>
        <v>-6.0971263453978297E-3</v>
      </c>
      <c r="Z99" s="15">
        <f t="shared" si="310"/>
        <v>-9.8081116919268574E-4</v>
      </c>
      <c r="AT99" s="5">
        <f>+AT98/AS98-1</f>
        <v>2.5074382076810675E-3</v>
      </c>
      <c r="AU99" s="5">
        <f>+AU98/AT98-1</f>
        <v>-4.6735636643927214E-2</v>
      </c>
    </row>
    <row r="100" spans="2:47" x14ac:dyDescent="0.2">
      <c r="B100" s="3" t="s">
        <v>100</v>
      </c>
      <c r="G100" s="11">
        <f>+G16/G98*1000</f>
        <v>334.49548143813797</v>
      </c>
      <c r="K100" s="11">
        <f t="shared" ref="K100:Z100" si="311">+K16/K98*1000</f>
        <v>395.11411121825779</v>
      </c>
      <c r="L100" s="11">
        <f t="shared" si="311"/>
        <v>429.55517298828232</v>
      </c>
      <c r="M100" s="11">
        <f t="shared" si="311"/>
        <v>434.03897939051376</v>
      </c>
      <c r="N100" s="11">
        <f t="shared" si="311"/>
        <v>481.30990415335464</v>
      </c>
      <c r="O100" s="11">
        <f t="shared" si="311"/>
        <v>414.93905043134475</v>
      </c>
      <c r="P100" s="11">
        <f t="shared" si="311"/>
        <v>400.45628512648409</v>
      </c>
      <c r="Q100" s="11">
        <f t="shared" si="311"/>
        <v>369.91310586307884</v>
      </c>
      <c r="R100" s="11">
        <f t="shared" si="311"/>
        <v>399.76029521536634</v>
      </c>
      <c r="S100" s="11">
        <f t="shared" si="311"/>
        <v>365.93064899245451</v>
      </c>
      <c r="T100" s="11">
        <f t="shared" si="311"/>
        <v>410.36755079813861</v>
      </c>
      <c r="U100" s="11">
        <f t="shared" si="311"/>
        <v>420.50981187733373</v>
      </c>
      <c r="V100" s="11">
        <f t="shared" si="311"/>
        <v>472.92632409507837</v>
      </c>
      <c r="W100" s="11">
        <f t="shared" si="311"/>
        <v>445.22513060062471</v>
      </c>
      <c r="X100" s="11">
        <f t="shared" si="311"/>
        <v>466.1327407342215</v>
      </c>
      <c r="Y100" s="11">
        <f t="shared" si="311"/>
        <v>486.9448168192024</v>
      </c>
      <c r="Z100" s="11">
        <f t="shared" si="311"/>
        <v>529.11042490525062</v>
      </c>
      <c r="AS100" s="11">
        <f t="shared" ref="AS100:AU100" si="312">+AS16/AS98*1000</f>
        <v>1486.779440058034</v>
      </c>
      <c r="AT100" s="11">
        <f t="shared" si="312"/>
        <v>1611.8315147002534</v>
      </c>
      <c r="AU100" s="11">
        <f t="shared" si="312"/>
        <v>1925.3127097107779</v>
      </c>
    </row>
    <row r="101" spans="2:47" x14ac:dyDescent="0.2">
      <c r="AS101" s="11"/>
    </row>
    <row r="103" spans="2:47" x14ac:dyDescent="0.2">
      <c r="B103" s="3" t="s">
        <v>241</v>
      </c>
      <c r="AL103">
        <v>37.94</v>
      </c>
      <c r="AM103">
        <v>38.590000000000003</v>
      </c>
      <c r="AN103">
        <v>52.32</v>
      </c>
      <c r="AO103">
        <v>51.78</v>
      </c>
      <c r="AP103">
        <v>66.849999999999994</v>
      </c>
      <c r="AQ103">
        <v>87.59</v>
      </c>
      <c r="AR103">
        <v>144.68</v>
      </c>
      <c r="AS103">
        <v>88.73</v>
      </c>
    </row>
    <row r="104" spans="2:47" x14ac:dyDescent="0.2">
      <c r="AS104" s="5">
        <f>AS103/AL103-1</f>
        <v>1.3386926726410122</v>
      </c>
    </row>
    <row r="106" spans="2:47" x14ac:dyDescent="0.2">
      <c r="B106" t="s">
        <v>240</v>
      </c>
      <c r="AL106" s="3">
        <v>5007.41</v>
      </c>
      <c r="AM106" s="3">
        <v>5383.12</v>
      </c>
      <c r="AN106" s="3">
        <v>6903.39</v>
      </c>
      <c r="AO106" s="3">
        <v>6635.28</v>
      </c>
      <c r="AP106" s="3">
        <v>8972.6</v>
      </c>
      <c r="AQ106" s="3">
        <v>12888.28</v>
      </c>
      <c r="AR106" s="3">
        <v>15644.97</v>
      </c>
      <c r="AS106" s="3">
        <v>10466.48</v>
      </c>
    </row>
    <row r="107" spans="2:47" x14ac:dyDescent="0.2">
      <c r="AS107" s="5">
        <f>AS106/AL106-1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2025-04-04T15:20:26Z</dcterms:modified>
</cp:coreProperties>
</file>